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BF\BFI\BUDŻET 2023\PROJEKT BUDŻETU 2023\PROJEKT BUDŻETU 15.11\materiały informacyjne 2023\"/>
    </mc:Choice>
  </mc:AlternateContent>
  <xr:revisionPtr revIDLastSave="0" documentId="13_ncr:1_{EDDD2906-668E-40EC-9479-C02556776B8B}" xr6:coauthVersionLast="36" xr6:coauthVersionMax="47" xr10:uidLastSave="{00000000-0000-0000-0000-000000000000}"/>
  <bookViews>
    <workbookView xWindow="1905" yWindow="210" windowWidth="17340" windowHeight="15390" tabRatio="731" activeTab="20" xr2:uid="{00000000-000D-0000-FFFF-FFFF00000000}"/>
  </bookViews>
  <sheets>
    <sheet name="KS" sheetId="37" r:id="rId1"/>
    <sheet name="KZ" sheetId="40" r:id="rId2"/>
    <sheet name="OR" sheetId="38" r:id="rId3"/>
    <sheet name="RR" sheetId="44" r:id="rId4"/>
    <sheet name="RP" sheetId="45" r:id="rId5"/>
    <sheet name="GR" sheetId="46" r:id="rId6"/>
    <sheet name="WP" sheetId="1" r:id="rId7"/>
    <sheet name="OZ" sheetId="39" r:id="rId8"/>
    <sheet name="RG" sheetId="3" r:id="rId9"/>
    <sheet name="OS" sheetId="5" r:id="rId10"/>
    <sheet name="OW" sheetId="2" r:id="rId11"/>
    <sheet name="DT " sheetId="41" r:id="rId12"/>
    <sheet name="EN" sheetId="36" r:id="rId13"/>
    <sheet name="DO" sheetId="42" r:id="rId14"/>
    <sheet name="PG " sheetId="43" r:id="rId15"/>
    <sheet name="SI" sheetId="4" r:id="rId16"/>
    <sheet name="NW" sheetId="9" r:id="rId17"/>
    <sheet name="BI" sheetId="47" r:id="rId18"/>
    <sheet name="OT" sheetId="48" r:id="rId19"/>
    <sheet name="REZ" sheetId="35" r:id="rId20"/>
    <sheet name="DŁUG" sheetId="30" r:id="rId21"/>
  </sheets>
  <definedNames>
    <definedName name="_xlnm.Print_Area" localSheetId="17">BI!$A$1:$M$50</definedName>
    <definedName name="_xlnm.Print_Area" localSheetId="20">DŁUG!$A$1:$L$37</definedName>
    <definedName name="_xlnm.Print_Area" localSheetId="13">DO!$A$1:$M$215</definedName>
    <definedName name="_xlnm.Print_Area" localSheetId="11">'DT '!$A$1:$M$328</definedName>
    <definedName name="_xlnm.Print_Area" localSheetId="12">EN!$A$2:$M$553</definedName>
    <definedName name="_xlnm.Print_Area" localSheetId="5">GR!$A$1:$M$294</definedName>
    <definedName name="_xlnm.Print_Area" localSheetId="0">KS!$A$1:$M$81</definedName>
    <definedName name="_xlnm.Print_Area" localSheetId="1">KZ!$A$1:$M$175</definedName>
    <definedName name="_xlnm.Print_Area" localSheetId="16">NW!$A$1:$L$54</definedName>
    <definedName name="_xlnm.Print_Area" localSheetId="2">OR!$A$1:$M$414</definedName>
    <definedName name="_xlnm.Print_Area" localSheetId="9">OS!$A$1:$L$130</definedName>
    <definedName name="_xlnm.Print_Area" localSheetId="18">OT!$A$1:$M$34</definedName>
    <definedName name="_xlnm.Print_Area" localSheetId="10">OW!$A$1:$L$516</definedName>
    <definedName name="_xlnm.Print_Area" localSheetId="7">OZ!$A$1:$N$614</definedName>
    <definedName name="_xlnm.Print_Area" localSheetId="14">'PG '!$A$1:$M$141</definedName>
    <definedName name="_xlnm.Print_Area" localSheetId="19">REZ!$A$1:$L$22</definedName>
    <definedName name="_xlnm.Print_Area" localSheetId="8">RG!$A$1:$L$230</definedName>
    <definedName name="_xlnm.Print_Area" localSheetId="4">RP!$A$1:$M$395</definedName>
    <definedName name="_xlnm.Print_Area" localSheetId="3">RR!$A$1:$M$183</definedName>
    <definedName name="_xlnm.Print_Area" localSheetId="15">SI!$A$1:$L$86</definedName>
    <definedName name="_xlnm.Print_Area" localSheetId="6">WP!$A$1:$L$23</definedName>
    <definedName name="_xlnm.Print_Titles" localSheetId="17">BI!#REF!</definedName>
    <definedName name="_xlnm.Print_Titles" localSheetId="20">DŁUG!$3:$4</definedName>
    <definedName name="_xlnm.Print_Titles" localSheetId="13">DO!$3:$4</definedName>
    <definedName name="_xlnm.Print_Titles" localSheetId="11">'DT '!$4:$6</definedName>
    <definedName name="_xlnm.Print_Titles" localSheetId="12">EN!$4:$6</definedName>
    <definedName name="_xlnm.Print_Titles" localSheetId="5">GR!$3:$4</definedName>
    <definedName name="_xlnm.Print_Titles" localSheetId="0">KS!$3:$5</definedName>
    <definedName name="_xlnm.Print_Titles" localSheetId="1">KZ!$3:$5</definedName>
    <definedName name="_xlnm.Print_Titles" localSheetId="16">NW!$3:$4</definedName>
    <definedName name="_xlnm.Print_Titles" localSheetId="2">OR!$3:$5</definedName>
    <definedName name="_xlnm.Print_Titles" localSheetId="9">OS!$3:$5</definedName>
    <definedName name="_xlnm.Print_Titles" localSheetId="18">OT!$3:$3</definedName>
    <definedName name="_xlnm.Print_Titles" localSheetId="10">OW!$3:$5</definedName>
    <definedName name="_xlnm.Print_Titles" localSheetId="7">OZ!$3:$5</definedName>
    <definedName name="_xlnm.Print_Titles" localSheetId="14">'PG '!$3:$4</definedName>
    <definedName name="_xlnm.Print_Titles" localSheetId="19">REZ!$3:$5</definedName>
    <definedName name="_xlnm.Print_Titles" localSheetId="8">RG!$3:$4</definedName>
    <definedName name="_xlnm.Print_Titles" localSheetId="4">RP!$3:$4</definedName>
    <definedName name="_xlnm.Print_Titles" localSheetId="3">RR!$3:$4</definedName>
    <definedName name="_xlnm.Print_Titles" localSheetId="15">SI!$3:$5</definedName>
    <definedName name="_xlnm.Print_Titles" localSheetId="6">WP!$3:$3</definedName>
  </definedNames>
  <calcPr calcId="191029"/>
</workbook>
</file>

<file path=xl/calcChain.xml><?xml version="1.0" encoding="utf-8"?>
<calcChain xmlns="http://schemas.openxmlformats.org/spreadsheetml/2006/main">
  <c r="K72" i="37" l="1"/>
  <c r="K69" i="37"/>
  <c r="K33" i="37"/>
  <c r="K36" i="37"/>
  <c r="J11" i="35" l="1"/>
  <c r="J98" i="43"/>
  <c r="K227" i="38" l="1"/>
  <c r="K228" i="38"/>
  <c r="F313" i="38"/>
  <c r="E313" i="38"/>
  <c r="E397" i="38"/>
  <c r="H403" i="38"/>
  <c r="F379" i="38" l="1"/>
  <c r="E379" i="38"/>
  <c r="J63" i="42"/>
  <c r="J62" i="42"/>
  <c r="K31" i="48" l="1"/>
  <c r="K30" i="48"/>
  <c r="J29" i="48"/>
  <c r="H29" i="48"/>
  <c r="F29" i="48"/>
  <c r="E29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J13" i="48"/>
  <c r="H13" i="48"/>
  <c r="G13" i="48"/>
  <c r="F13" i="48"/>
  <c r="E13" i="48"/>
  <c r="L10" i="48"/>
  <c r="L9" i="48"/>
  <c r="K8" i="48"/>
  <c r="J8" i="48"/>
  <c r="H8" i="48"/>
  <c r="G8" i="48"/>
  <c r="F8" i="48"/>
  <c r="E8" i="48"/>
  <c r="K45" i="47"/>
  <c r="J45" i="47"/>
  <c r="H45" i="47"/>
  <c r="F45" i="47"/>
  <c r="E45" i="47"/>
  <c r="K42" i="47"/>
  <c r="L42" i="47" s="1"/>
  <c r="K41" i="47"/>
  <c r="L41" i="47" s="1"/>
  <c r="K40" i="47"/>
  <c r="L40" i="47" s="1"/>
  <c r="K39" i="47"/>
  <c r="L39" i="47" s="1"/>
  <c r="I39" i="47"/>
  <c r="K38" i="47"/>
  <c r="L38" i="47" s="1"/>
  <c r="I38" i="47"/>
  <c r="K37" i="47"/>
  <c r="L37" i="47" s="1"/>
  <c r="I37" i="47"/>
  <c r="K36" i="47"/>
  <c r="L36" i="47" s="1"/>
  <c r="I36" i="47"/>
  <c r="K35" i="47"/>
  <c r="L35" i="47" s="1"/>
  <c r="I35" i="47"/>
  <c r="K34" i="47"/>
  <c r="L34" i="47" s="1"/>
  <c r="I34" i="47"/>
  <c r="K33" i="47"/>
  <c r="L33" i="47" s="1"/>
  <c r="I33" i="47"/>
  <c r="K32" i="47"/>
  <c r="L32" i="47" s="1"/>
  <c r="I32" i="47"/>
  <c r="K31" i="47"/>
  <c r="L31" i="47" s="1"/>
  <c r="I31" i="47"/>
  <c r="K30" i="47"/>
  <c r="L30" i="47" s="1"/>
  <c r="I30" i="47"/>
  <c r="K29" i="47"/>
  <c r="L29" i="47" s="1"/>
  <c r="I29" i="47"/>
  <c r="K28" i="47"/>
  <c r="L28" i="47" s="1"/>
  <c r="I28" i="47"/>
  <c r="K27" i="47"/>
  <c r="L27" i="47" s="1"/>
  <c r="I27" i="47"/>
  <c r="K26" i="47"/>
  <c r="L26" i="47" s="1"/>
  <c r="I26" i="47"/>
  <c r="K25" i="47"/>
  <c r="L25" i="47" s="1"/>
  <c r="I25" i="47"/>
  <c r="K24" i="47"/>
  <c r="L24" i="47" s="1"/>
  <c r="I24" i="47"/>
  <c r="K23" i="47"/>
  <c r="L23" i="47" s="1"/>
  <c r="I23" i="47"/>
  <c r="K22" i="47"/>
  <c r="L22" i="47" s="1"/>
  <c r="I22" i="47"/>
  <c r="K21" i="47"/>
  <c r="L21" i="47" s="1"/>
  <c r="I21" i="47"/>
  <c r="K20" i="47"/>
  <c r="L20" i="47" s="1"/>
  <c r="I20" i="47"/>
  <c r="K19" i="47"/>
  <c r="L19" i="47" s="1"/>
  <c r="I19" i="47"/>
  <c r="K18" i="47"/>
  <c r="L18" i="47" s="1"/>
  <c r="I18" i="47"/>
  <c r="K17" i="47"/>
  <c r="L17" i="47" s="1"/>
  <c r="I17" i="47"/>
  <c r="K16" i="47"/>
  <c r="L16" i="47" s="1"/>
  <c r="I16" i="47"/>
  <c r="K15" i="47"/>
  <c r="L15" i="47" s="1"/>
  <c r="I15" i="47"/>
  <c r="K14" i="47"/>
  <c r="I14" i="47"/>
  <c r="J13" i="47"/>
  <c r="H13" i="47"/>
  <c r="G13" i="47"/>
  <c r="F13" i="47"/>
  <c r="E13" i="47"/>
  <c r="K8" i="47"/>
  <c r="J8" i="47"/>
  <c r="H8" i="47"/>
  <c r="G8" i="47"/>
  <c r="F8" i="47"/>
  <c r="E8" i="47"/>
  <c r="J289" i="46"/>
  <c r="H289" i="46"/>
  <c r="F289" i="46"/>
  <c r="E289" i="46"/>
  <c r="K284" i="46"/>
  <c r="K283" i="46"/>
  <c r="K282" i="46"/>
  <c r="K281" i="46"/>
  <c r="I281" i="46"/>
  <c r="J280" i="46"/>
  <c r="H280" i="46"/>
  <c r="F280" i="46"/>
  <c r="F276" i="46" s="1"/>
  <c r="E280" i="46"/>
  <c r="J277" i="46"/>
  <c r="H277" i="46"/>
  <c r="K271" i="46"/>
  <c r="L271" i="46" s="1"/>
  <c r="I271" i="46"/>
  <c r="K270" i="46"/>
  <c r="I270" i="46"/>
  <c r="J269" i="46"/>
  <c r="J268" i="46" s="1"/>
  <c r="H269" i="46"/>
  <c r="H268" i="46" s="1"/>
  <c r="F269" i="46"/>
  <c r="F268" i="46" s="1"/>
  <c r="E269" i="46"/>
  <c r="E268" i="46" s="1"/>
  <c r="K265" i="46"/>
  <c r="K264" i="46"/>
  <c r="L264" i="46" s="1"/>
  <c r="I264" i="46"/>
  <c r="K263" i="46"/>
  <c r="L263" i="46" s="1"/>
  <c r="I263" i="46"/>
  <c r="K262" i="46"/>
  <c r="L262" i="46" s="1"/>
  <c r="I262" i="46"/>
  <c r="K261" i="46"/>
  <c r="L261" i="46" s="1"/>
  <c r="I261" i="46"/>
  <c r="K260" i="46"/>
  <c r="L260" i="46" s="1"/>
  <c r="I260" i="46"/>
  <c r="K259" i="46"/>
  <c r="I259" i="46"/>
  <c r="K258" i="46"/>
  <c r="K257" i="46"/>
  <c r="K256" i="46"/>
  <c r="L256" i="46" s="1"/>
  <c r="I256" i="46"/>
  <c r="K255" i="46"/>
  <c r="L255" i="46" s="1"/>
  <c r="I255" i="46"/>
  <c r="K254" i="46"/>
  <c r="L254" i="46" s="1"/>
  <c r="I254" i="46"/>
  <c r="K253" i="46"/>
  <c r="L253" i="46" s="1"/>
  <c r="I253" i="46"/>
  <c r="K252" i="46"/>
  <c r="L252" i="46" s="1"/>
  <c r="I252" i="46"/>
  <c r="K251" i="46"/>
  <c r="L251" i="46" s="1"/>
  <c r="I251" i="46"/>
  <c r="K250" i="46"/>
  <c r="L250" i="46" s="1"/>
  <c r="I250" i="46"/>
  <c r="K249" i="46"/>
  <c r="L249" i="46" s="1"/>
  <c r="I249" i="46"/>
  <c r="K248" i="46"/>
  <c r="L248" i="46" s="1"/>
  <c r="I248" i="46"/>
  <c r="K247" i="46"/>
  <c r="L247" i="46" s="1"/>
  <c r="I247" i="46"/>
  <c r="K246" i="46"/>
  <c r="L246" i="46" s="1"/>
  <c r="I246" i="46"/>
  <c r="K245" i="46"/>
  <c r="L245" i="46" s="1"/>
  <c r="I245" i="46"/>
  <c r="K244" i="46"/>
  <c r="L244" i="46" s="1"/>
  <c r="I244" i="46"/>
  <c r="K243" i="46"/>
  <c r="L243" i="46" s="1"/>
  <c r="I243" i="46"/>
  <c r="K242" i="46"/>
  <c r="L242" i="46" s="1"/>
  <c r="I242" i="46"/>
  <c r="K241" i="46"/>
  <c r="L241" i="46" s="1"/>
  <c r="I241" i="46"/>
  <c r="K240" i="46"/>
  <c r="L240" i="46" s="1"/>
  <c r="I240" i="46"/>
  <c r="K239" i="46"/>
  <c r="L239" i="46" s="1"/>
  <c r="I239" i="46"/>
  <c r="K238" i="46"/>
  <c r="L238" i="46" s="1"/>
  <c r="I238" i="46"/>
  <c r="K237" i="46"/>
  <c r="L237" i="46" s="1"/>
  <c r="I237" i="46"/>
  <c r="K236" i="46"/>
  <c r="L236" i="46" s="1"/>
  <c r="I236" i="46"/>
  <c r="K235" i="46"/>
  <c r="L235" i="46" s="1"/>
  <c r="I235" i="46"/>
  <c r="K234" i="46"/>
  <c r="L234" i="46" s="1"/>
  <c r="I234" i="46"/>
  <c r="K233" i="46"/>
  <c r="L233" i="46" s="1"/>
  <c r="I233" i="46"/>
  <c r="J232" i="46"/>
  <c r="H232" i="46"/>
  <c r="G232" i="46"/>
  <c r="F232" i="46"/>
  <c r="E232" i="46"/>
  <c r="K231" i="46"/>
  <c r="L231" i="46" s="1"/>
  <c r="I231" i="46"/>
  <c r="K230" i="46"/>
  <c r="I230" i="46"/>
  <c r="J229" i="46"/>
  <c r="H229" i="46"/>
  <c r="F229" i="46"/>
  <c r="E229" i="46"/>
  <c r="K227" i="46"/>
  <c r="L227" i="46" s="1"/>
  <c r="I227" i="46"/>
  <c r="K226" i="46"/>
  <c r="L226" i="46" s="1"/>
  <c r="I226" i="46"/>
  <c r="K225" i="46"/>
  <c r="L225" i="46" s="1"/>
  <c r="I225" i="46"/>
  <c r="K224" i="46"/>
  <c r="L224" i="46" s="1"/>
  <c r="I224" i="46"/>
  <c r="K223" i="46"/>
  <c r="L223" i="46" s="1"/>
  <c r="I223" i="46"/>
  <c r="K222" i="46"/>
  <c r="L222" i="46" s="1"/>
  <c r="I222" i="46"/>
  <c r="K221" i="46"/>
  <c r="L221" i="46" s="1"/>
  <c r="I221" i="46"/>
  <c r="K220" i="46"/>
  <c r="L220" i="46" s="1"/>
  <c r="I220" i="46"/>
  <c r="K219" i="46"/>
  <c r="L219" i="46" s="1"/>
  <c r="I219" i="46"/>
  <c r="K218" i="46"/>
  <c r="L218" i="46" s="1"/>
  <c r="I218" i="46"/>
  <c r="K217" i="46"/>
  <c r="L217" i="46" s="1"/>
  <c r="I217" i="46"/>
  <c r="K216" i="46"/>
  <c r="L216" i="46" s="1"/>
  <c r="I216" i="46"/>
  <c r="K215" i="46"/>
  <c r="L215" i="46" s="1"/>
  <c r="I215" i="46"/>
  <c r="K214" i="46"/>
  <c r="L214" i="46" s="1"/>
  <c r="I214" i="46"/>
  <c r="K213" i="46"/>
  <c r="L213" i="46" s="1"/>
  <c r="I213" i="46"/>
  <c r="K212" i="46"/>
  <c r="L212" i="46" s="1"/>
  <c r="I212" i="46"/>
  <c r="K211" i="46"/>
  <c r="L211" i="46" s="1"/>
  <c r="I211" i="46"/>
  <c r="K210" i="46"/>
  <c r="L210" i="46" s="1"/>
  <c r="I210" i="46"/>
  <c r="K209" i="46"/>
  <c r="I209" i="46"/>
  <c r="J208" i="46"/>
  <c r="H208" i="46"/>
  <c r="F208" i="46"/>
  <c r="E208" i="46"/>
  <c r="K207" i="46"/>
  <c r="L207" i="46" s="1"/>
  <c r="I207" i="46"/>
  <c r="K206" i="46"/>
  <c r="L206" i="46" s="1"/>
  <c r="I206" i="46"/>
  <c r="K205" i="46"/>
  <c r="L205" i="46" s="1"/>
  <c r="I205" i="46"/>
  <c r="K204" i="46"/>
  <c r="L204" i="46" s="1"/>
  <c r="I204" i="46"/>
  <c r="K203" i="46"/>
  <c r="L203" i="46" s="1"/>
  <c r="I203" i="46"/>
  <c r="K202" i="46"/>
  <c r="L202" i="46" s="1"/>
  <c r="I202" i="46"/>
  <c r="J201" i="46"/>
  <c r="H201" i="46"/>
  <c r="F201" i="46"/>
  <c r="E201" i="46"/>
  <c r="J192" i="46"/>
  <c r="H192" i="46"/>
  <c r="F192" i="46"/>
  <c r="E192" i="46"/>
  <c r="K189" i="46"/>
  <c r="L189" i="46" s="1"/>
  <c r="I189" i="46"/>
  <c r="K188" i="46"/>
  <c r="L188" i="46" s="1"/>
  <c r="I188" i="46"/>
  <c r="K187" i="46"/>
  <c r="L187" i="46" s="1"/>
  <c r="I187" i="46"/>
  <c r="K186" i="46"/>
  <c r="L186" i="46" s="1"/>
  <c r="I186" i="46"/>
  <c r="K185" i="46"/>
  <c r="L185" i="46" s="1"/>
  <c r="I185" i="46"/>
  <c r="K184" i="46"/>
  <c r="L184" i="46" s="1"/>
  <c r="I184" i="46"/>
  <c r="K183" i="46"/>
  <c r="L183" i="46" s="1"/>
  <c r="I183" i="46"/>
  <c r="K182" i="46"/>
  <c r="L182" i="46" s="1"/>
  <c r="I182" i="46"/>
  <c r="K181" i="46"/>
  <c r="L181" i="46" s="1"/>
  <c r="I181" i="46"/>
  <c r="K180" i="46"/>
  <c r="L180" i="46" s="1"/>
  <c r="I180" i="46"/>
  <c r="K179" i="46"/>
  <c r="L179" i="46" s="1"/>
  <c r="I179" i="46"/>
  <c r="K178" i="46"/>
  <c r="L178" i="46" s="1"/>
  <c r="I178" i="46"/>
  <c r="K177" i="46"/>
  <c r="L177" i="46" s="1"/>
  <c r="I177" i="46"/>
  <c r="K176" i="46"/>
  <c r="L176" i="46" s="1"/>
  <c r="I176" i="46"/>
  <c r="K175" i="46"/>
  <c r="L175" i="46" s="1"/>
  <c r="I175" i="46"/>
  <c r="K174" i="46"/>
  <c r="L174" i="46" s="1"/>
  <c r="I174" i="46"/>
  <c r="K173" i="46"/>
  <c r="L173" i="46" s="1"/>
  <c r="I173" i="46"/>
  <c r="K172" i="46"/>
  <c r="I172" i="46"/>
  <c r="K171" i="46"/>
  <c r="L171" i="46" s="1"/>
  <c r="I171" i="46"/>
  <c r="K170" i="46"/>
  <c r="L170" i="46" s="1"/>
  <c r="I170" i="46"/>
  <c r="K169" i="46"/>
  <c r="L169" i="46" s="1"/>
  <c r="I169" i="46"/>
  <c r="K168" i="46"/>
  <c r="L168" i="46" s="1"/>
  <c r="I168" i="46"/>
  <c r="K167" i="46"/>
  <c r="L167" i="46" s="1"/>
  <c r="I167" i="46"/>
  <c r="K166" i="46"/>
  <c r="L166" i="46" s="1"/>
  <c r="I166" i="46"/>
  <c r="J165" i="46"/>
  <c r="H165" i="46"/>
  <c r="G165" i="46"/>
  <c r="F165" i="46"/>
  <c r="E165" i="46"/>
  <c r="K162" i="46"/>
  <c r="L162" i="46" s="1"/>
  <c r="I162" i="46"/>
  <c r="K161" i="46"/>
  <c r="L161" i="46" s="1"/>
  <c r="I161" i="46"/>
  <c r="K160" i="46"/>
  <c r="L160" i="46" s="1"/>
  <c r="I160" i="46"/>
  <c r="K159" i="46"/>
  <c r="L159" i="46" s="1"/>
  <c r="I159" i="46"/>
  <c r="K158" i="46"/>
  <c r="L158" i="46" s="1"/>
  <c r="I158" i="46"/>
  <c r="K157" i="46"/>
  <c r="L157" i="46" s="1"/>
  <c r="I157" i="46"/>
  <c r="K156" i="46"/>
  <c r="L156" i="46" s="1"/>
  <c r="I156" i="46"/>
  <c r="K155" i="46"/>
  <c r="L155" i="46" s="1"/>
  <c r="I155" i="46"/>
  <c r="K154" i="46"/>
  <c r="J153" i="46"/>
  <c r="H153" i="46"/>
  <c r="F153" i="46"/>
  <c r="E153" i="46"/>
  <c r="J144" i="46"/>
  <c r="H144" i="46"/>
  <c r="F144" i="46"/>
  <c r="E144" i="46"/>
  <c r="K141" i="46"/>
  <c r="L141" i="46" s="1"/>
  <c r="I141" i="46"/>
  <c r="K140" i="46"/>
  <c r="L140" i="46" s="1"/>
  <c r="I140" i="46"/>
  <c r="K139" i="46"/>
  <c r="L139" i="46" s="1"/>
  <c r="I139" i="46"/>
  <c r="K138" i="46"/>
  <c r="L138" i="46" s="1"/>
  <c r="I138" i="46"/>
  <c r="K137" i="46"/>
  <c r="L137" i="46" s="1"/>
  <c r="I137" i="46"/>
  <c r="K136" i="46"/>
  <c r="L136" i="46" s="1"/>
  <c r="I136" i="46"/>
  <c r="K135" i="46"/>
  <c r="L135" i="46" s="1"/>
  <c r="I135" i="46"/>
  <c r="K134" i="46"/>
  <c r="L134" i="46" s="1"/>
  <c r="I134" i="46"/>
  <c r="K133" i="46"/>
  <c r="L133" i="46" s="1"/>
  <c r="I133" i="46"/>
  <c r="K132" i="46"/>
  <c r="L132" i="46" s="1"/>
  <c r="I132" i="46"/>
  <c r="J131" i="46"/>
  <c r="H131" i="46"/>
  <c r="G131" i="46"/>
  <c r="F131" i="46"/>
  <c r="E131" i="46"/>
  <c r="E125" i="46" s="1"/>
  <c r="J126" i="46"/>
  <c r="H126" i="46"/>
  <c r="K121" i="46"/>
  <c r="K120" i="46"/>
  <c r="J119" i="46"/>
  <c r="I119" i="46"/>
  <c r="H119" i="46"/>
  <c r="G119" i="46"/>
  <c r="F119" i="46"/>
  <c r="E119" i="46"/>
  <c r="K118" i="46"/>
  <c r="K117" i="46"/>
  <c r="J116" i="46"/>
  <c r="J115" i="46" s="1"/>
  <c r="I116" i="46"/>
  <c r="H116" i="46"/>
  <c r="H115" i="46" s="1"/>
  <c r="G116" i="46"/>
  <c r="F116" i="46"/>
  <c r="F115" i="46" s="1"/>
  <c r="E116" i="46"/>
  <c r="E115" i="46" s="1"/>
  <c r="K112" i="46"/>
  <c r="I112" i="46"/>
  <c r="K111" i="46"/>
  <c r="I111" i="46"/>
  <c r="K110" i="46"/>
  <c r="I110" i="46"/>
  <c r="K109" i="46"/>
  <c r="I109" i="46"/>
  <c r="J108" i="46"/>
  <c r="H108" i="46"/>
  <c r="G108" i="46"/>
  <c r="F108" i="46"/>
  <c r="E108" i="46"/>
  <c r="J103" i="46"/>
  <c r="H103" i="46"/>
  <c r="G100" i="46"/>
  <c r="J95" i="46"/>
  <c r="H95" i="46"/>
  <c r="F95" i="46"/>
  <c r="E95" i="46"/>
  <c r="K92" i="46"/>
  <c r="L92" i="46" s="1"/>
  <c r="I92" i="46"/>
  <c r="K91" i="46"/>
  <c r="L91" i="46" s="1"/>
  <c r="I91" i="46"/>
  <c r="K90" i="46"/>
  <c r="L90" i="46" s="1"/>
  <c r="I90" i="46"/>
  <c r="K89" i="46"/>
  <c r="L89" i="46" s="1"/>
  <c r="I89" i="46"/>
  <c r="K88" i="46"/>
  <c r="L88" i="46" s="1"/>
  <c r="I88" i="46"/>
  <c r="K87" i="46"/>
  <c r="L87" i="46" s="1"/>
  <c r="I87" i="46"/>
  <c r="K86" i="46"/>
  <c r="L86" i="46" s="1"/>
  <c r="I86" i="46"/>
  <c r="K85" i="46"/>
  <c r="L85" i="46" s="1"/>
  <c r="I85" i="46"/>
  <c r="K84" i="46"/>
  <c r="L84" i="46" s="1"/>
  <c r="I84" i="46"/>
  <c r="K83" i="46"/>
  <c r="L83" i="46" s="1"/>
  <c r="I83" i="46"/>
  <c r="K82" i="46"/>
  <c r="L82" i="46" s="1"/>
  <c r="I82" i="46"/>
  <c r="K81" i="46"/>
  <c r="L81" i="46" s="1"/>
  <c r="I81" i="46"/>
  <c r="K80" i="46"/>
  <c r="L80" i="46" s="1"/>
  <c r="I80" i="46"/>
  <c r="K79" i="46"/>
  <c r="I79" i="46"/>
  <c r="J78" i="46"/>
  <c r="H78" i="46"/>
  <c r="G78" i="46"/>
  <c r="F78" i="46"/>
  <c r="E78" i="46"/>
  <c r="J73" i="46"/>
  <c r="H73" i="46"/>
  <c r="J65" i="46"/>
  <c r="H65" i="46"/>
  <c r="F65" i="46"/>
  <c r="E65" i="46"/>
  <c r="K62" i="46"/>
  <c r="I62" i="46"/>
  <c r="K61" i="46"/>
  <c r="L61" i="46" s="1"/>
  <c r="I61" i="46"/>
  <c r="J60" i="46"/>
  <c r="H60" i="46"/>
  <c r="G60" i="46"/>
  <c r="G54" i="46" s="1"/>
  <c r="F60" i="46"/>
  <c r="F54" i="46" s="1"/>
  <c r="E60" i="46"/>
  <c r="J55" i="46"/>
  <c r="H55" i="46"/>
  <c r="K52" i="46"/>
  <c r="L52" i="46" s="1"/>
  <c r="K51" i="46"/>
  <c r="L51" i="46" s="1"/>
  <c r="K50" i="46"/>
  <c r="L50" i="46" s="1"/>
  <c r="K49" i="46"/>
  <c r="L49" i="46" s="1"/>
  <c r="J48" i="46"/>
  <c r="H48" i="46"/>
  <c r="F48" i="46"/>
  <c r="E48" i="46"/>
  <c r="K47" i="46"/>
  <c r="L47" i="46" s="1"/>
  <c r="K46" i="46"/>
  <c r="L46" i="46" s="1"/>
  <c r="K45" i="46"/>
  <c r="L45" i="46" s="1"/>
  <c r="I45" i="46"/>
  <c r="K44" i="46"/>
  <c r="L44" i="46" s="1"/>
  <c r="I44" i="46"/>
  <c r="K43" i="46"/>
  <c r="L43" i="46" s="1"/>
  <c r="I43" i="46"/>
  <c r="K42" i="46"/>
  <c r="L42" i="46" s="1"/>
  <c r="I42" i="46"/>
  <c r="K41" i="46"/>
  <c r="L41" i="46" s="1"/>
  <c r="I41" i="46"/>
  <c r="K40" i="46"/>
  <c r="L40" i="46" s="1"/>
  <c r="I40" i="46"/>
  <c r="K39" i="46"/>
  <c r="L39" i="46" s="1"/>
  <c r="K38" i="46"/>
  <c r="L38" i="46" s="1"/>
  <c r="K37" i="46"/>
  <c r="L37" i="46" s="1"/>
  <c r="I37" i="46"/>
  <c r="K36" i="46"/>
  <c r="L36" i="46" s="1"/>
  <c r="I36" i="46"/>
  <c r="K35" i="46"/>
  <c r="L35" i="46" s="1"/>
  <c r="I35" i="46"/>
  <c r="K34" i="46"/>
  <c r="L34" i="46" s="1"/>
  <c r="I34" i="46"/>
  <c r="K33" i="46"/>
  <c r="L33" i="46" s="1"/>
  <c r="I33" i="46"/>
  <c r="K32" i="46"/>
  <c r="I32" i="46"/>
  <c r="J31" i="46"/>
  <c r="H31" i="46"/>
  <c r="G31" i="46"/>
  <c r="G25" i="46" s="1"/>
  <c r="F31" i="46"/>
  <c r="E31" i="46"/>
  <c r="K30" i="46"/>
  <c r="L30" i="46" s="1"/>
  <c r="K29" i="46"/>
  <c r="L29" i="46" s="1"/>
  <c r="K28" i="46"/>
  <c r="L28" i="46" s="1"/>
  <c r="K27" i="46"/>
  <c r="J26" i="46"/>
  <c r="H26" i="46"/>
  <c r="F26" i="46"/>
  <c r="E26" i="46"/>
  <c r="G23" i="46"/>
  <c r="J18" i="46"/>
  <c r="H18" i="46"/>
  <c r="F18" i="46"/>
  <c r="E18" i="46"/>
  <c r="K15" i="46"/>
  <c r="L15" i="46" s="1"/>
  <c r="I15" i="46"/>
  <c r="K14" i="46"/>
  <c r="I14" i="46"/>
  <c r="J13" i="46"/>
  <c r="H13" i="46"/>
  <c r="G13" i="46"/>
  <c r="G7" i="46" s="1"/>
  <c r="F13" i="46"/>
  <c r="E13" i="46"/>
  <c r="K11" i="46"/>
  <c r="J8" i="46"/>
  <c r="H8" i="46"/>
  <c r="G5" i="46"/>
  <c r="K391" i="45"/>
  <c r="K390" i="45" s="1"/>
  <c r="I391" i="45"/>
  <c r="J390" i="45"/>
  <c r="H390" i="45"/>
  <c r="G390" i="45"/>
  <c r="F390" i="45"/>
  <c r="E390" i="45"/>
  <c r="J382" i="45"/>
  <c r="J381" i="45" s="1"/>
  <c r="H382" i="45"/>
  <c r="H381" i="45" s="1"/>
  <c r="F381" i="45"/>
  <c r="E381" i="45"/>
  <c r="G381" i="45"/>
  <c r="K376" i="45"/>
  <c r="K375" i="45" s="1"/>
  <c r="J375" i="45"/>
  <c r="H375" i="45"/>
  <c r="G375" i="45"/>
  <c r="F375" i="45"/>
  <c r="E375" i="45"/>
  <c r="J367" i="45"/>
  <c r="J366" i="45" s="1"/>
  <c r="H367" i="45"/>
  <c r="H366" i="45" s="1"/>
  <c r="E366" i="45"/>
  <c r="G366" i="45"/>
  <c r="F366" i="45"/>
  <c r="K361" i="45"/>
  <c r="K360" i="45"/>
  <c r="J359" i="45"/>
  <c r="J358" i="45" s="1"/>
  <c r="H359" i="45"/>
  <c r="H358" i="45" s="1"/>
  <c r="G359" i="45"/>
  <c r="G358" i="45" s="1"/>
  <c r="F359" i="45"/>
  <c r="F358" i="45" s="1"/>
  <c r="E359" i="45"/>
  <c r="E358" i="45" s="1"/>
  <c r="J350" i="45"/>
  <c r="J349" i="45" s="1"/>
  <c r="H350" i="45"/>
  <c r="H349" i="45" s="1"/>
  <c r="E349" i="45"/>
  <c r="G349" i="45"/>
  <c r="F349" i="45"/>
  <c r="K344" i="45"/>
  <c r="L344" i="45" s="1"/>
  <c r="J343" i="45"/>
  <c r="H343" i="45"/>
  <c r="G343" i="45"/>
  <c r="F343" i="45"/>
  <c r="E343" i="45"/>
  <c r="J335" i="45"/>
  <c r="J334" i="45" s="1"/>
  <c r="H335" i="45"/>
  <c r="H334" i="45" s="1"/>
  <c r="F334" i="45"/>
  <c r="E334" i="45"/>
  <c r="G334" i="45"/>
  <c r="G332" i="45"/>
  <c r="K331" i="45"/>
  <c r="L331" i="45" s="1"/>
  <c r="K330" i="45"/>
  <c r="L330" i="45" s="1"/>
  <c r="K329" i="45"/>
  <c r="L329" i="45" s="1"/>
  <c r="K328" i="45"/>
  <c r="L328" i="45" s="1"/>
  <c r="J327" i="45"/>
  <c r="H327" i="45"/>
  <c r="G327" i="45"/>
  <c r="F327" i="45"/>
  <c r="E327" i="45"/>
  <c r="K326" i="45"/>
  <c r="L326" i="45" s="1"/>
  <c r="K325" i="45"/>
  <c r="L325" i="45" s="1"/>
  <c r="K324" i="45"/>
  <c r="L324" i="45" s="1"/>
  <c r="K323" i="45"/>
  <c r="L323" i="45" s="1"/>
  <c r="K322" i="45"/>
  <c r="L322" i="45" s="1"/>
  <c r="K321" i="45"/>
  <c r="L321" i="45" s="1"/>
  <c r="K320" i="45"/>
  <c r="J319" i="45"/>
  <c r="J318" i="45" s="1"/>
  <c r="H319" i="45"/>
  <c r="H318" i="45" s="1"/>
  <c r="F319" i="45"/>
  <c r="F318" i="45" s="1"/>
  <c r="E319" i="45"/>
  <c r="E318" i="45" s="1"/>
  <c r="G318" i="45"/>
  <c r="G316" i="45"/>
  <c r="K312" i="45"/>
  <c r="K311" i="45"/>
  <c r="L311" i="45" s="1"/>
  <c r="J310" i="45"/>
  <c r="J309" i="45" s="1"/>
  <c r="H310" i="45"/>
  <c r="H309" i="45" s="1"/>
  <c r="G310" i="45"/>
  <c r="G309" i="45" s="1"/>
  <c r="F310" i="45"/>
  <c r="F309" i="45" s="1"/>
  <c r="E310" i="45"/>
  <c r="E309" i="45" s="1"/>
  <c r="K304" i="45"/>
  <c r="K303" i="45"/>
  <c r="K302" i="45"/>
  <c r="L302" i="45" s="1"/>
  <c r="I302" i="45"/>
  <c r="K301" i="45"/>
  <c r="L301" i="45" s="1"/>
  <c r="I301" i="45"/>
  <c r="J300" i="45"/>
  <c r="H300" i="45"/>
  <c r="G300" i="45"/>
  <c r="G296" i="45" s="1"/>
  <c r="F300" i="45"/>
  <c r="F296" i="45" s="1"/>
  <c r="E300" i="45"/>
  <c r="J297" i="45"/>
  <c r="H297" i="45"/>
  <c r="J290" i="45"/>
  <c r="H290" i="45"/>
  <c r="F290" i="45"/>
  <c r="E290" i="45"/>
  <c r="K287" i="45"/>
  <c r="K286" i="45"/>
  <c r="L286" i="45" s="1"/>
  <c r="I286" i="45"/>
  <c r="K285" i="45"/>
  <c r="L285" i="45" s="1"/>
  <c r="I285" i="45"/>
  <c r="K284" i="45"/>
  <c r="L284" i="45" s="1"/>
  <c r="I284" i="45"/>
  <c r="K283" i="45"/>
  <c r="L283" i="45" s="1"/>
  <c r="I283" i="45"/>
  <c r="K282" i="45"/>
  <c r="L282" i="45" s="1"/>
  <c r="I282" i="45"/>
  <c r="K281" i="45"/>
  <c r="L281" i="45" s="1"/>
  <c r="I281" i="45"/>
  <c r="K280" i="45"/>
  <c r="K279" i="45"/>
  <c r="K278" i="45"/>
  <c r="L278" i="45" s="1"/>
  <c r="I278" i="45"/>
  <c r="K277" i="45"/>
  <c r="L277" i="45" s="1"/>
  <c r="I277" i="45"/>
  <c r="K276" i="45"/>
  <c r="K275" i="45"/>
  <c r="K274" i="45"/>
  <c r="L274" i="45" s="1"/>
  <c r="I274" i="45"/>
  <c r="K273" i="45"/>
  <c r="L273" i="45" s="1"/>
  <c r="I273" i="45"/>
  <c r="K272" i="45"/>
  <c r="L272" i="45" s="1"/>
  <c r="I272" i="45"/>
  <c r="K271" i="45"/>
  <c r="L271" i="45" s="1"/>
  <c r="I271" i="45"/>
  <c r="K270" i="45"/>
  <c r="L270" i="45" s="1"/>
  <c r="I270" i="45"/>
  <c r="K269" i="45"/>
  <c r="L269" i="45" s="1"/>
  <c r="I269" i="45"/>
  <c r="K268" i="45"/>
  <c r="L268" i="45" s="1"/>
  <c r="I268" i="45"/>
  <c r="K267" i="45"/>
  <c r="L267" i="45" s="1"/>
  <c r="I267" i="45"/>
  <c r="K266" i="45"/>
  <c r="L266" i="45" s="1"/>
  <c r="I266" i="45"/>
  <c r="K265" i="45"/>
  <c r="L265" i="45" s="1"/>
  <c r="I265" i="45"/>
  <c r="K264" i="45"/>
  <c r="L264" i="45" s="1"/>
  <c r="I264" i="45"/>
  <c r="K263" i="45"/>
  <c r="L263" i="45" s="1"/>
  <c r="I263" i="45"/>
  <c r="K262" i="45"/>
  <c r="L262" i="45" s="1"/>
  <c r="I262" i="45"/>
  <c r="K261" i="45"/>
  <c r="L261" i="45" s="1"/>
  <c r="I261" i="45"/>
  <c r="K260" i="45"/>
  <c r="L260" i="45" s="1"/>
  <c r="I260" i="45"/>
  <c r="K259" i="45"/>
  <c r="L259" i="45" s="1"/>
  <c r="I259" i="45"/>
  <c r="K258" i="45"/>
  <c r="L258" i="45" s="1"/>
  <c r="I258" i="45"/>
  <c r="K257" i="45"/>
  <c r="L257" i="45" s="1"/>
  <c r="I257" i="45"/>
  <c r="K256" i="45"/>
  <c r="L256" i="45" s="1"/>
  <c r="I256" i="45"/>
  <c r="K255" i="45"/>
  <c r="L255" i="45" s="1"/>
  <c r="I255" i="45"/>
  <c r="K254" i="45"/>
  <c r="L254" i="45" s="1"/>
  <c r="I254" i="45"/>
  <c r="K253" i="45"/>
  <c r="L253" i="45" s="1"/>
  <c r="I253" i="45"/>
  <c r="K252" i="45"/>
  <c r="L252" i="45" s="1"/>
  <c r="I252" i="45"/>
  <c r="K251" i="45"/>
  <c r="L251" i="45" s="1"/>
  <c r="I251" i="45"/>
  <c r="K250" i="45"/>
  <c r="L250" i="45" s="1"/>
  <c r="I250" i="45"/>
  <c r="K249" i="45"/>
  <c r="L249" i="45" s="1"/>
  <c r="I249" i="45"/>
  <c r="J248" i="45"/>
  <c r="H248" i="45"/>
  <c r="G248" i="45"/>
  <c r="F248" i="45"/>
  <c r="E248" i="45"/>
  <c r="J243" i="45"/>
  <c r="H243" i="45"/>
  <c r="G240" i="45"/>
  <c r="K236" i="45"/>
  <c r="K234" i="45"/>
  <c r="L234" i="45" s="1"/>
  <c r="I234" i="45"/>
  <c r="K233" i="45"/>
  <c r="I233" i="45"/>
  <c r="J232" i="45"/>
  <c r="J231" i="45" s="1"/>
  <c r="H232" i="45"/>
  <c r="H231" i="45" s="1"/>
  <c r="G232" i="45"/>
  <c r="G231" i="45" s="1"/>
  <c r="F232" i="45"/>
  <c r="F231" i="45" s="1"/>
  <c r="E232" i="45"/>
  <c r="E231" i="45" s="1"/>
  <c r="K226" i="45"/>
  <c r="K225" i="45"/>
  <c r="K224" i="45"/>
  <c r="L224" i="45" s="1"/>
  <c r="I224" i="45"/>
  <c r="K223" i="45"/>
  <c r="I223" i="45"/>
  <c r="J222" i="45"/>
  <c r="H222" i="45"/>
  <c r="G222" i="45"/>
  <c r="G218" i="45" s="1"/>
  <c r="F222" i="45"/>
  <c r="F218" i="45" s="1"/>
  <c r="E222" i="45"/>
  <c r="J219" i="45"/>
  <c r="H219" i="45"/>
  <c r="K213" i="45"/>
  <c r="K212" i="45" s="1"/>
  <c r="J212" i="45"/>
  <c r="H212" i="45"/>
  <c r="F212" i="45"/>
  <c r="E212" i="45"/>
  <c r="K209" i="45"/>
  <c r="K208" i="45"/>
  <c r="K207" i="45"/>
  <c r="K206" i="45"/>
  <c r="K205" i="45"/>
  <c r="K204" i="45"/>
  <c r="K203" i="45"/>
  <c r="K202" i="45"/>
  <c r="K201" i="45"/>
  <c r="K200" i="45"/>
  <c r="K199" i="45"/>
  <c r="K198" i="45"/>
  <c r="K197" i="45"/>
  <c r="K196" i="45"/>
  <c r="K195" i="45"/>
  <c r="K194" i="45"/>
  <c r="K193" i="45"/>
  <c r="K192" i="45"/>
  <c r="K191" i="45"/>
  <c r="K190" i="45"/>
  <c r="K189" i="45"/>
  <c r="K188" i="45"/>
  <c r="J187" i="45"/>
  <c r="H187" i="45"/>
  <c r="G187" i="45"/>
  <c r="F187" i="45"/>
  <c r="E187" i="45"/>
  <c r="E181" i="45" s="1"/>
  <c r="J182" i="45"/>
  <c r="H182" i="45"/>
  <c r="G179" i="45"/>
  <c r="K175" i="45"/>
  <c r="K174" i="45"/>
  <c r="I174" i="45"/>
  <c r="J173" i="45"/>
  <c r="J172" i="45" s="1"/>
  <c r="H173" i="45"/>
  <c r="G173" i="45"/>
  <c r="G172" i="45" s="1"/>
  <c r="F173" i="45"/>
  <c r="F172" i="45" s="1"/>
  <c r="E173" i="45"/>
  <c r="E172" i="45" s="1"/>
  <c r="J164" i="45"/>
  <c r="J163" i="45" s="1"/>
  <c r="H164" i="45"/>
  <c r="H163" i="45" s="1"/>
  <c r="F163" i="45"/>
  <c r="G163" i="45"/>
  <c r="E163" i="45"/>
  <c r="G161" i="45"/>
  <c r="K157" i="45"/>
  <c r="K155" i="45"/>
  <c r="L155" i="45" s="1"/>
  <c r="I155" i="45"/>
  <c r="K154" i="45"/>
  <c r="J153" i="45"/>
  <c r="J152" i="45" s="1"/>
  <c r="H153" i="45"/>
  <c r="H152" i="45" s="1"/>
  <c r="G153" i="45"/>
  <c r="G152" i="45" s="1"/>
  <c r="F153" i="45"/>
  <c r="F152" i="45" s="1"/>
  <c r="E153" i="45"/>
  <c r="E152" i="45" s="1"/>
  <c r="K147" i="45"/>
  <c r="K146" i="45"/>
  <c r="K145" i="45"/>
  <c r="L145" i="45" s="1"/>
  <c r="I145" i="45"/>
  <c r="K144" i="45"/>
  <c r="I144" i="45"/>
  <c r="J143" i="45"/>
  <c r="H143" i="45"/>
  <c r="G143" i="45"/>
  <c r="G139" i="45" s="1"/>
  <c r="F143" i="45"/>
  <c r="F139" i="45" s="1"/>
  <c r="E143" i="45"/>
  <c r="J140" i="45"/>
  <c r="H140" i="45"/>
  <c r="K134" i="45"/>
  <c r="K133" i="45"/>
  <c r="K132" i="45"/>
  <c r="J131" i="45"/>
  <c r="J130" i="45" s="1"/>
  <c r="H131" i="45"/>
  <c r="H130" i="45" s="1"/>
  <c r="G131" i="45"/>
  <c r="G130" i="45" s="1"/>
  <c r="F131" i="45"/>
  <c r="F130" i="45" s="1"/>
  <c r="E131" i="45"/>
  <c r="E130" i="45" s="1"/>
  <c r="J121" i="45"/>
  <c r="H121" i="45"/>
  <c r="G121" i="45"/>
  <c r="G117" i="45" s="1"/>
  <c r="J118" i="45"/>
  <c r="H118" i="45"/>
  <c r="E117" i="45"/>
  <c r="F117" i="45"/>
  <c r="G115" i="45"/>
  <c r="K112" i="45"/>
  <c r="L112" i="45" s="1"/>
  <c r="I112" i="45"/>
  <c r="K111" i="45"/>
  <c r="I111" i="45"/>
  <c r="J110" i="45"/>
  <c r="H110" i="45"/>
  <c r="G110" i="45"/>
  <c r="F110" i="45"/>
  <c r="E110" i="45"/>
  <c r="K109" i="45"/>
  <c r="K108" i="45"/>
  <c r="L108" i="45" s="1"/>
  <c r="I108" i="45"/>
  <c r="K107" i="45"/>
  <c r="L107" i="45" s="1"/>
  <c r="I107" i="45"/>
  <c r="K106" i="45"/>
  <c r="I106" i="45"/>
  <c r="J105" i="45"/>
  <c r="H105" i="45"/>
  <c r="G105" i="45"/>
  <c r="F105" i="45"/>
  <c r="E105" i="45"/>
  <c r="E104" i="45" s="1"/>
  <c r="K103" i="45"/>
  <c r="K102" i="45"/>
  <c r="K101" i="45"/>
  <c r="K100" i="45"/>
  <c r="J99" i="45"/>
  <c r="I99" i="45"/>
  <c r="H99" i="45"/>
  <c r="G99" i="45"/>
  <c r="G93" i="45" s="1"/>
  <c r="F99" i="45"/>
  <c r="E99" i="45"/>
  <c r="J94" i="45"/>
  <c r="H94" i="45"/>
  <c r="F93" i="45"/>
  <c r="J87" i="45"/>
  <c r="H87" i="45"/>
  <c r="F87" i="45"/>
  <c r="E87" i="45"/>
  <c r="K84" i="45"/>
  <c r="L84" i="45" s="1"/>
  <c r="I84" i="45"/>
  <c r="K83" i="45"/>
  <c r="L83" i="45" s="1"/>
  <c r="I83" i="45"/>
  <c r="K82" i="45"/>
  <c r="K81" i="45"/>
  <c r="K80" i="45"/>
  <c r="L80" i="45" s="1"/>
  <c r="I80" i="45"/>
  <c r="K79" i="45"/>
  <c r="L79" i="45" s="1"/>
  <c r="I79" i="45"/>
  <c r="J78" i="45"/>
  <c r="H78" i="45"/>
  <c r="H72" i="45" s="1"/>
  <c r="G78" i="45"/>
  <c r="F78" i="45"/>
  <c r="E78" i="45"/>
  <c r="E72" i="45" s="1"/>
  <c r="G70" i="45"/>
  <c r="K69" i="45"/>
  <c r="L69" i="45" s="1"/>
  <c r="K68" i="45"/>
  <c r="L68" i="45" s="1"/>
  <c r="K67" i="45"/>
  <c r="L67" i="45" s="1"/>
  <c r="K66" i="45"/>
  <c r="I66" i="45"/>
  <c r="J65" i="45"/>
  <c r="H65" i="45"/>
  <c r="G65" i="45"/>
  <c r="F65" i="45"/>
  <c r="E65" i="45"/>
  <c r="K64" i="45"/>
  <c r="L64" i="45" s="1"/>
  <c r="K63" i="45"/>
  <c r="L63" i="45" s="1"/>
  <c r="K62" i="45"/>
  <c r="L62" i="45" s="1"/>
  <c r="K61" i="45"/>
  <c r="L61" i="45" s="1"/>
  <c r="K60" i="45"/>
  <c r="L60" i="45" s="1"/>
  <c r="K59" i="45"/>
  <c r="L59" i="45" s="1"/>
  <c r="K58" i="45"/>
  <c r="J57" i="45"/>
  <c r="J56" i="45" s="1"/>
  <c r="J55" i="45" s="1"/>
  <c r="H57" i="45"/>
  <c r="H56" i="45" s="1"/>
  <c r="F57" i="45"/>
  <c r="F56" i="45" s="1"/>
  <c r="E57" i="45"/>
  <c r="E56" i="45" s="1"/>
  <c r="G56" i="45"/>
  <c r="K51" i="45"/>
  <c r="I51" i="45"/>
  <c r="J50" i="45"/>
  <c r="H50" i="45"/>
  <c r="G50" i="45"/>
  <c r="F50" i="45"/>
  <c r="E50" i="45"/>
  <c r="J42" i="45"/>
  <c r="J41" i="45" s="1"/>
  <c r="H42" i="45"/>
  <c r="H41" i="45" s="1"/>
  <c r="F41" i="45"/>
  <c r="E41" i="45"/>
  <c r="G41" i="45"/>
  <c r="G39" i="45"/>
  <c r="K35" i="45"/>
  <c r="J34" i="45"/>
  <c r="H34" i="45"/>
  <c r="G34" i="45"/>
  <c r="F34" i="45"/>
  <c r="E34" i="45"/>
  <c r="J26" i="45"/>
  <c r="J25" i="45" s="1"/>
  <c r="H26" i="45"/>
  <c r="H25" i="45" s="1"/>
  <c r="F25" i="45"/>
  <c r="E25" i="45"/>
  <c r="G25" i="45"/>
  <c r="K19" i="45"/>
  <c r="J18" i="45"/>
  <c r="H18" i="45"/>
  <c r="G18" i="45"/>
  <c r="F18" i="45"/>
  <c r="E18" i="45"/>
  <c r="K13" i="45"/>
  <c r="K12" i="45"/>
  <c r="L12" i="45" s="1"/>
  <c r="I12" i="45"/>
  <c r="J11" i="45"/>
  <c r="H11" i="45"/>
  <c r="G11" i="45"/>
  <c r="G7" i="45" s="1"/>
  <c r="F11" i="45"/>
  <c r="F7" i="45" s="1"/>
  <c r="E11" i="45"/>
  <c r="E7" i="45" s="1"/>
  <c r="J8" i="45"/>
  <c r="H8" i="45"/>
  <c r="K180" i="44"/>
  <c r="L180" i="44" s="1"/>
  <c r="I180" i="44"/>
  <c r="K179" i="44"/>
  <c r="L179" i="44" s="1"/>
  <c r="I179" i="44"/>
  <c r="K178" i="44"/>
  <c r="L178" i="44" s="1"/>
  <c r="I178" i="44"/>
  <c r="K177" i="44"/>
  <c r="L177" i="44" s="1"/>
  <c r="I177" i="44"/>
  <c r="K176" i="44"/>
  <c r="L176" i="44" s="1"/>
  <c r="I176" i="44"/>
  <c r="K175" i="44"/>
  <c r="L175" i="44" s="1"/>
  <c r="I175" i="44"/>
  <c r="J174" i="44"/>
  <c r="H174" i="44"/>
  <c r="G174" i="44"/>
  <c r="F174" i="44"/>
  <c r="E174" i="44"/>
  <c r="K173" i="44"/>
  <c r="L173" i="44" s="1"/>
  <c r="I173" i="44"/>
  <c r="K172" i="44"/>
  <c r="L172" i="44" s="1"/>
  <c r="I172" i="44"/>
  <c r="K171" i="44"/>
  <c r="L171" i="44" s="1"/>
  <c r="I171" i="44"/>
  <c r="K170" i="44"/>
  <c r="L170" i="44" s="1"/>
  <c r="I170" i="44"/>
  <c r="K169" i="44"/>
  <c r="L169" i="44" s="1"/>
  <c r="I169" i="44"/>
  <c r="K168" i="44"/>
  <c r="L168" i="44" s="1"/>
  <c r="I168" i="44"/>
  <c r="J167" i="44"/>
  <c r="J166" i="44" s="1"/>
  <c r="H167" i="44"/>
  <c r="H166" i="44" s="1"/>
  <c r="G167" i="44"/>
  <c r="F167" i="44"/>
  <c r="F166" i="44" s="1"/>
  <c r="E167" i="44"/>
  <c r="E166" i="44" s="1"/>
  <c r="K163" i="44"/>
  <c r="K162" i="44"/>
  <c r="K161" i="44"/>
  <c r="L161" i="44" s="1"/>
  <c r="I161" i="44"/>
  <c r="K160" i="44"/>
  <c r="L160" i="44" s="1"/>
  <c r="I160" i="44"/>
  <c r="K159" i="44"/>
  <c r="K158" i="44"/>
  <c r="K157" i="44"/>
  <c r="K156" i="44"/>
  <c r="L156" i="44" s="1"/>
  <c r="I156" i="44"/>
  <c r="K155" i="44"/>
  <c r="L155" i="44" s="1"/>
  <c r="I155" i="44"/>
  <c r="K154" i="44"/>
  <c r="L154" i="44" s="1"/>
  <c r="I154" i="44"/>
  <c r="K153" i="44"/>
  <c r="L153" i="44" s="1"/>
  <c r="I153" i="44"/>
  <c r="K152" i="44"/>
  <c r="K151" i="44"/>
  <c r="L151" i="44" s="1"/>
  <c r="I151" i="44"/>
  <c r="K150" i="44"/>
  <c r="L150" i="44" s="1"/>
  <c r="I150" i="44"/>
  <c r="K149" i="44"/>
  <c r="L149" i="44" s="1"/>
  <c r="I149" i="44"/>
  <c r="K148" i="44"/>
  <c r="L148" i="44" s="1"/>
  <c r="I148" i="44"/>
  <c r="K147" i="44"/>
  <c r="L147" i="44" s="1"/>
  <c r="I147" i="44"/>
  <c r="K146" i="44"/>
  <c r="L146" i="44" s="1"/>
  <c r="I146" i="44"/>
  <c r="K145" i="44"/>
  <c r="L145" i="44" s="1"/>
  <c r="I145" i="44"/>
  <c r="K144" i="44"/>
  <c r="L144" i="44" s="1"/>
  <c r="I144" i="44"/>
  <c r="K143" i="44"/>
  <c r="L143" i="44" s="1"/>
  <c r="I143" i="44"/>
  <c r="K142" i="44"/>
  <c r="L142" i="44" s="1"/>
  <c r="I142" i="44"/>
  <c r="K141" i="44"/>
  <c r="L141" i="44" s="1"/>
  <c r="I141" i="44"/>
  <c r="K140" i="44"/>
  <c r="L140" i="44" s="1"/>
  <c r="I140" i="44"/>
  <c r="K139" i="44"/>
  <c r="L139" i="44" s="1"/>
  <c r="I139" i="44"/>
  <c r="K138" i="44"/>
  <c r="L138" i="44" s="1"/>
  <c r="I138" i="44"/>
  <c r="K137" i="44"/>
  <c r="L137" i="44" s="1"/>
  <c r="I137" i="44"/>
  <c r="J136" i="44"/>
  <c r="H136" i="44"/>
  <c r="G136" i="44"/>
  <c r="F136" i="44"/>
  <c r="E136" i="44"/>
  <c r="K133" i="44"/>
  <c r="L133" i="44" s="1"/>
  <c r="I133" i="44"/>
  <c r="K132" i="44"/>
  <c r="K131" i="44"/>
  <c r="L131" i="44" s="1"/>
  <c r="I131" i="44"/>
  <c r="K130" i="44"/>
  <c r="L130" i="44" s="1"/>
  <c r="I130" i="44"/>
  <c r="F130" i="44"/>
  <c r="F128" i="44" s="1"/>
  <c r="F126" i="44" s="1"/>
  <c r="K129" i="44"/>
  <c r="I129" i="44"/>
  <c r="J128" i="44"/>
  <c r="J126" i="44" s="1"/>
  <c r="H128" i="44"/>
  <c r="E128" i="44"/>
  <c r="E126" i="44" s="1"/>
  <c r="K127" i="44"/>
  <c r="I127" i="44"/>
  <c r="J119" i="44"/>
  <c r="H119" i="44"/>
  <c r="F119" i="44"/>
  <c r="E119" i="44"/>
  <c r="K113" i="44"/>
  <c r="L113" i="44" s="1"/>
  <c r="I113" i="44"/>
  <c r="K112" i="44"/>
  <c r="L112" i="44" s="1"/>
  <c r="I112" i="44"/>
  <c r="K111" i="44"/>
  <c r="J110" i="44"/>
  <c r="J108" i="44" s="1"/>
  <c r="J107" i="44" s="1"/>
  <c r="H110" i="44"/>
  <c r="H108" i="44" s="1"/>
  <c r="G110" i="44"/>
  <c r="F110" i="44"/>
  <c r="F108" i="44" s="1"/>
  <c r="F107" i="44" s="1"/>
  <c r="E110" i="44"/>
  <c r="E108" i="44" s="1"/>
  <c r="E107" i="44" s="1"/>
  <c r="J101" i="44"/>
  <c r="H101" i="44"/>
  <c r="F101" i="44"/>
  <c r="E101" i="44"/>
  <c r="K98" i="44"/>
  <c r="L98" i="44" s="1"/>
  <c r="I98" i="44"/>
  <c r="K97" i="44"/>
  <c r="L97" i="44" s="1"/>
  <c r="I97" i="44"/>
  <c r="K96" i="44"/>
  <c r="L96" i="44" s="1"/>
  <c r="I96" i="44"/>
  <c r="K95" i="44"/>
  <c r="L95" i="44" s="1"/>
  <c r="I95" i="44"/>
  <c r="K94" i="44"/>
  <c r="L94" i="44" s="1"/>
  <c r="I94" i="44"/>
  <c r="K93" i="44"/>
  <c r="I93" i="44"/>
  <c r="J92" i="44"/>
  <c r="H92" i="44"/>
  <c r="G92" i="44"/>
  <c r="F92" i="44"/>
  <c r="F86" i="44" s="1"/>
  <c r="E92" i="44"/>
  <c r="E86" i="44" s="1"/>
  <c r="J87" i="44"/>
  <c r="H87" i="44"/>
  <c r="G84" i="44"/>
  <c r="K81" i="44"/>
  <c r="L81" i="44" s="1"/>
  <c r="I81" i="44"/>
  <c r="K80" i="44"/>
  <c r="L80" i="44" s="1"/>
  <c r="I80" i="44"/>
  <c r="J79" i="44"/>
  <c r="H79" i="44"/>
  <c r="G79" i="44"/>
  <c r="F79" i="44"/>
  <c r="E79" i="44"/>
  <c r="K76" i="44"/>
  <c r="L76" i="44" s="1"/>
  <c r="I76" i="44"/>
  <c r="K75" i="44"/>
  <c r="L75" i="44" s="1"/>
  <c r="I75" i="44"/>
  <c r="K74" i="44"/>
  <c r="L74" i="44" s="1"/>
  <c r="I74" i="44"/>
  <c r="K73" i="44"/>
  <c r="L73" i="44" s="1"/>
  <c r="I73" i="44"/>
  <c r="K72" i="44"/>
  <c r="L72" i="44" s="1"/>
  <c r="I72" i="44"/>
  <c r="K71" i="44"/>
  <c r="L71" i="44" s="1"/>
  <c r="I71" i="44"/>
  <c r="K70" i="44"/>
  <c r="L70" i="44" s="1"/>
  <c r="I70" i="44"/>
  <c r="K69" i="44"/>
  <c r="L69" i="44" s="1"/>
  <c r="I69" i="44"/>
  <c r="K68" i="44"/>
  <c r="L68" i="44" s="1"/>
  <c r="I68" i="44"/>
  <c r="K67" i="44"/>
  <c r="L67" i="44" s="1"/>
  <c r="I67" i="44"/>
  <c r="K66" i="44"/>
  <c r="L66" i="44" s="1"/>
  <c r="I66" i="44"/>
  <c r="J65" i="44"/>
  <c r="H65" i="44"/>
  <c r="G65" i="44"/>
  <c r="F65" i="44"/>
  <c r="E65" i="44"/>
  <c r="J60" i="44"/>
  <c r="H60" i="44"/>
  <c r="J52" i="44"/>
  <c r="H52" i="44"/>
  <c r="G52" i="44"/>
  <c r="F52" i="44"/>
  <c r="E52" i="44"/>
  <c r="K47" i="44"/>
  <c r="J43" i="44"/>
  <c r="F43" i="44"/>
  <c r="E43" i="44"/>
  <c r="H43" i="44"/>
  <c r="G43" i="44"/>
  <c r="H37" i="44"/>
  <c r="K37" i="44" s="1"/>
  <c r="F37" i="44"/>
  <c r="E37" i="44"/>
  <c r="K33" i="44"/>
  <c r="I33" i="44"/>
  <c r="K31" i="44"/>
  <c r="L31" i="44" s="1"/>
  <c r="I31" i="44"/>
  <c r="K30" i="44"/>
  <c r="L30" i="44" s="1"/>
  <c r="I30" i="44"/>
  <c r="K29" i="44"/>
  <c r="L29" i="44" s="1"/>
  <c r="I29" i="44"/>
  <c r="K28" i="44"/>
  <c r="L28" i="44" s="1"/>
  <c r="I28" i="44"/>
  <c r="K27" i="44"/>
  <c r="L27" i="44" s="1"/>
  <c r="I27" i="44"/>
  <c r="K26" i="44"/>
  <c r="L26" i="44" s="1"/>
  <c r="I26" i="44"/>
  <c r="K25" i="44"/>
  <c r="L25" i="44" s="1"/>
  <c r="I25" i="44"/>
  <c r="K24" i="44"/>
  <c r="L24" i="44" s="1"/>
  <c r="I24" i="44"/>
  <c r="K23" i="44"/>
  <c r="L23" i="44" s="1"/>
  <c r="I23" i="44"/>
  <c r="K22" i="44"/>
  <c r="L22" i="44" s="1"/>
  <c r="I22" i="44"/>
  <c r="K21" i="44"/>
  <c r="L21" i="44" s="1"/>
  <c r="I21" i="44"/>
  <c r="K20" i="44"/>
  <c r="L20" i="44" s="1"/>
  <c r="I20" i="44"/>
  <c r="K19" i="44"/>
  <c r="L19" i="44" s="1"/>
  <c r="I19" i="44"/>
  <c r="K18" i="44"/>
  <c r="L18" i="44" s="1"/>
  <c r="I18" i="44"/>
  <c r="K17" i="44"/>
  <c r="L17" i="44" s="1"/>
  <c r="I17" i="44"/>
  <c r="J16" i="44"/>
  <c r="H16" i="44"/>
  <c r="G16" i="44"/>
  <c r="F16" i="44"/>
  <c r="E16" i="44"/>
  <c r="K15" i="44"/>
  <c r="L15" i="44" s="1"/>
  <c r="I15" i="44"/>
  <c r="K14" i="44"/>
  <c r="L14" i="44" s="1"/>
  <c r="I14" i="44"/>
  <c r="K13" i="44"/>
  <c r="L13" i="44" s="1"/>
  <c r="I13" i="44"/>
  <c r="K12" i="44"/>
  <c r="L12" i="44" s="1"/>
  <c r="I12" i="44"/>
  <c r="K11" i="44"/>
  <c r="L11" i="44" s="1"/>
  <c r="I11" i="44"/>
  <c r="K10" i="44"/>
  <c r="I10" i="44"/>
  <c r="J9" i="44"/>
  <c r="H9" i="44"/>
  <c r="G9" i="44"/>
  <c r="F9" i="44"/>
  <c r="E9" i="44"/>
  <c r="G5" i="44"/>
  <c r="E42" i="44" l="1"/>
  <c r="H8" i="44"/>
  <c r="H7" i="44" s="1"/>
  <c r="E124" i="46"/>
  <c r="J242" i="45"/>
  <c r="J241" i="45" s="1"/>
  <c r="E317" i="45"/>
  <c r="E316" i="45" s="1"/>
  <c r="J7" i="46"/>
  <c r="J6" i="46" s="1"/>
  <c r="J5" i="46" s="1"/>
  <c r="I231" i="45"/>
  <c r="E85" i="44"/>
  <c r="J106" i="44"/>
  <c r="F317" i="45"/>
  <c r="F316" i="45" s="1"/>
  <c r="F380" i="45"/>
  <c r="H42" i="44"/>
  <c r="F7" i="48"/>
  <c r="F6" i="48" s="1"/>
  <c r="F5" i="48" s="1"/>
  <c r="F34" i="48" s="1"/>
  <c r="H365" i="45"/>
  <c r="K79" i="44"/>
  <c r="L79" i="44" s="1"/>
  <c r="J125" i="44"/>
  <c r="J124" i="44" s="1"/>
  <c r="F40" i="45"/>
  <c r="K153" i="45"/>
  <c r="K152" i="45" s="1"/>
  <c r="L152" i="45" s="1"/>
  <c r="I222" i="45"/>
  <c r="J7" i="48"/>
  <c r="J6" i="48" s="1"/>
  <c r="J5" i="48" s="1"/>
  <c r="J34" i="48" s="1"/>
  <c r="J8" i="44"/>
  <c r="J7" i="44" s="1"/>
  <c r="J6" i="44" s="1"/>
  <c r="J333" i="45"/>
  <c r="E106" i="44"/>
  <c r="E71" i="45"/>
  <c r="E180" i="45"/>
  <c r="I300" i="45"/>
  <c r="E7" i="47"/>
  <c r="E6" i="47" s="1"/>
  <c r="E5" i="47" s="1"/>
  <c r="E50" i="47" s="1"/>
  <c r="J7" i="47"/>
  <c r="J6" i="47" s="1"/>
  <c r="J5" i="47" s="1"/>
  <c r="J50" i="47" s="1"/>
  <c r="H59" i="44"/>
  <c r="H58" i="44" s="1"/>
  <c r="H7" i="45"/>
  <c r="I7" i="45" s="1"/>
  <c r="I50" i="45"/>
  <c r="J93" i="45"/>
  <c r="J380" i="45"/>
  <c r="H25" i="46"/>
  <c r="J72" i="46"/>
  <c r="J71" i="46" s="1"/>
  <c r="J70" i="46" s="1"/>
  <c r="F7" i="47"/>
  <c r="F6" i="47" s="1"/>
  <c r="F5" i="47" s="1"/>
  <c r="F50" i="47" s="1"/>
  <c r="F125" i="44"/>
  <c r="F124" i="44" s="1"/>
  <c r="J24" i="45"/>
  <c r="J23" i="45" s="1"/>
  <c r="J40" i="45"/>
  <c r="J39" i="45" s="1"/>
  <c r="H93" i="45"/>
  <c r="E218" i="45"/>
  <c r="E217" i="45" s="1"/>
  <c r="E365" i="45"/>
  <c r="J162" i="45"/>
  <c r="J161" i="45" s="1"/>
  <c r="H7" i="47"/>
  <c r="H6" i="47" s="1"/>
  <c r="K232" i="45"/>
  <c r="K231" i="45" s="1"/>
  <c r="L231" i="45" s="1"/>
  <c r="J365" i="45"/>
  <c r="H24" i="46"/>
  <c r="H54" i="46"/>
  <c r="H53" i="46" s="1"/>
  <c r="J276" i="46"/>
  <c r="J275" i="46" s="1"/>
  <c r="H117" i="45"/>
  <c r="H116" i="45" s="1"/>
  <c r="H200" i="46"/>
  <c r="H199" i="46" s="1"/>
  <c r="F106" i="44"/>
  <c r="H71" i="45"/>
  <c r="K131" i="45"/>
  <c r="K130" i="45" s="1"/>
  <c r="I131" i="46"/>
  <c r="G7" i="47"/>
  <c r="G183" i="44"/>
  <c r="J42" i="44"/>
  <c r="J59" i="44"/>
  <c r="J58" i="44" s="1"/>
  <c r="J57" i="44" s="1"/>
  <c r="I79" i="44"/>
  <c r="F85" i="44"/>
  <c r="E125" i="44"/>
  <c r="E124" i="44" s="1"/>
  <c r="H24" i="45"/>
  <c r="H23" i="45" s="1"/>
  <c r="H40" i="45"/>
  <c r="I105" i="45"/>
  <c r="J296" i="45"/>
  <c r="J295" i="45" s="1"/>
  <c r="H333" i="45"/>
  <c r="J348" i="45"/>
  <c r="J125" i="46"/>
  <c r="J124" i="46" s="1"/>
  <c r="H6" i="44"/>
  <c r="H7" i="48"/>
  <c r="H6" i="48" s="1"/>
  <c r="L8" i="48"/>
  <c r="K13" i="48"/>
  <c r="K7" i="48" s="1"/>
  <c r="K13" i="47"/>
  <c r="L13" i="47" s="1"/>
  <c r="I13" i="47"/>
  <c r="K269" i="46"/>
  <c r="L269" i="46" s="1"/>
  <c r="J102" i="46"/>
  <c r="J101" i="46" s="1"/>
  <c r="E102" i="46"/>
  <c r="E101" i="46" s="1"/>
  <c r="I201" i="46"/>
  <c r="I78" i="46"/>
  <c r="I229" i="46"/>
  <c r="I280" i="46"/>
  <c r="E7" i="46"/>
  <c r="E6" i="46" s="1"/>
  <c r="E5" i="46" s="1"/>
  <c r="F53" i="46"/>
  <c r="G294" i="46"/>
  <c r="K289" i="46"/>
  <c r="H72" i="46"/>
  <c r="H71" i="46" s="1"/>
  <c r="H70" i="46" s="1"/>
  <c r="F25" i="46"/>
  <c r="F24" i="46" s="1"/>
  <c r="E72" i="46"/>
  <c r="E71" i="46" s="1"/>
  <c r="E70" i="46" s="1"/>
  <c r="F102" i="46"/>
  <c r="F101" i="46" s="1"/>
  <c r="K108" i="46"/>
  <c r="K102" i="46" s="1"/>
  <c r="K229" i="46"/>
  <c r="L229" i="46" s="1"/>
  <c r="I60" i="46"/>
  <c r="K208" i="46"/>
  <c r="L208" i="46" s="1"/>
  <c r="L230" i="46"/>
  <c r="J200" i="46"/>
  <c r="J199" i="46" s="1"/>
  <c r="J198" i="46" s="1"/>
  <c r="I268" i="46"/>
  <c r="L270" i="46"/>
  <c r="H276" i="46"/>
  <c r="H275" i="46" s="1"/>
  <c r="J54" i="46"/>
  <c r="J53" i="46" s="1"/>
  <c r="H125" i="46"/>
  <c r="H124" i="46" s="1"/>
  <c r="I124" i="46" s="1"/>
  <c r="H151" i="46"/>
  <c r="H150" i="46" s="1"/>
  <c r="K201" i="46"/>
  <c r="L201" i="46" s="1"/>
  <c r="I269" i="46"/>
  <c r="I31" i="46"/>
  <c r="K26" i="46"/>
  <c r="L26" i="46" s="1"/>
  <c r="F72" i="46"/>
  <c r="F71" i="46" s="1"/>
  <c r="F70" i="46" s="1"/>
  <c r="K131" i="46"/>
  <c r="L131" i="46" s="1"/>
  <c r="K18" i="46"/>
  <c r="L27" i="46"/>
  <c r="E54" i="46"/>
  <c r="E53" i="46" s="1"/>
  <c r="K119" i="46"/>
  <c r="K192" i="46"/>
  <c r="E55" i="45"/>
  <c r="H55" i="45"/>
  <c r="F6" i="45"/>
  <c r="F5" i="45" s="1"/>
  <c r="K50" i="45"/>
  <c r="L50" i="45" s="1"/>
  <c r="F55" i="45"/>
  <c r="E93" i="45"/>
  <c r="E92" i="45" s="1"/>
  <c r="J117" i="45"/>
  <c r="J116" i="45" s="1"/>
  <c r="J218" i="45"/>
  <c r="J217" i="45" s="1"/>
  <c r="I232" i="45"/>
  <c r="I248" i="45"/>
  <c r="E333" i="45"/>
  <c r="K343" i="45"/>
  <c r="L343" i="45" s="1"/>
  <c r="K11" i="45"/>
  <c r="K7" i="45" s="1"/>
  <c r="L51" i="45"/>
  <c r="K57" i="45"/>
  <c r="L57" i="45" s="1"/>
  <c r="F138" i="45"/>
  <c r="E242" i="45"/>
  <c r="E241" i="45" s="1"/>
  <c r="H317" i="45"/>
  <c r="H316" i="45" s="1"/>
  <c r="H348" i="45"/>
  <c r="F365" i="45"/>
  <c r="K99" i="45"/>
  <c r="K93" i="45" s="1"/>
  <c r="K359" i="45"/>
  <c r="K358" i="45" s="1"/>
  <c r="F217" i="45"/>
  <c r="L390" i="45"/>
  <c r="H218" i="45"/>
  <c r="H217" i="45" s="1"/>
  <c r="L233" i="45"/>
  <c r="K349" i="45"/>
  <c r="E380" i="45"/>
  <c r="I65" i="45"/>
  <c r="E24" i="45"/>
  <c r="E23" i="45" s="1"/>
  <c r="K163" i="45"/>
  <c r="K41" i="45"/>
  <c r="K105" i="45"/>
  <c r="J139" i="45"/>
  <c r="J138" i="45" s="1"/>
  <c r="I153" i="45"/>
  <c r="F181" i="45"/>
  <c r="F180" i="45" s="1"/>
  <c r="J181" i="45"/>
  <c r="J180" i="45" s="1"/>
  <c r="E296" i="45"/>
  <c r="K300" i="45"/>
  <c r="K296" i="45" s="1"/>
  <c r="L391" i="45"/>
  <c r="F333" i="45"/>
  <c r="L58" i="45"/>
  <c r="F116" i="45"/>
  <c r="E40" i="45"/>
  <c r="H104" i="45"/>
  <c r="I104" i="45" s="1"/>
  <c r="L106" i="45"/>
  <c r="I110" i="45"/>
  <c r="E116" i="45"/>
  <c r="H181" i="45"/>
  <c r="H180" i="45" s="1"/>
  <c r="F295" i="45"/>
  <c r="K310" i="45"/>
  <c r="L310" i="45" s="1"/>
  <c r="E348" i="45"/>
  <c r="E6" i="45"/>
  <c r="E5" i="45" s="1"/>
  <c r="K87" i="45"/>
  <c r="K173" i="45"/>
  <c r="L173" i="45" s="1"/>
  <c r="K187" i="45"/>
  <c r="H242" i="45"/>
  <c r="J317" i="45"/>
  <c r="J316" i="45" s="1"/>
  <c r="F348" i="45"/>
  <c r="I390" i="45"/>
  <c r="K18" i="45"/>
  <c r="F24" i="45"/>
  <c r="F23" i="45" s="1"/>
  <c r="K34" i="45"/>
  <c r="J104" i="45"/>
  <c r="E139" i="45"/>
  <c r="E138" i="45" s="1"/>
  <c r="F162" i="45"/>
  <c r="F161" i="45" s="1"/>
  <c r="L174" i="45"/>
  <c r="H296" i="45"/>
  <c r="H295" i="45" s="1"/>
  <c r="K334" i="45"/>
  <c r="H380" i="45"/>
  <c r="F42" i="44"/>
  <c r="K101" i="44"/>
  <c r="E8" i="44"/>
  <c r="E7" i="44" s="1"/>
  <c r="E6" i="44" s="1"/>
  <c r="E5" i="44" s="1"/>
  <c r="K92" i="44"/>
  <c r="L92" i="44" s="1"/>
  <c r="K65" i="44"/>
  <c r="L65" i="44" s="1"/>
  <c r="I136" i="44"/>
  <c r="K16" i="44"/>
  <c r="L16" i="44" s="1"/>
  <c r="I92" i="44"/>
  <c r="K52" i="44"/>
  <c r="J86" i="44"/>
  <c r="J85" i="44" s="1"/>
  <c r="K110" i="44"/>
  <c r="L110" i="44" s="1"/>
  <c r="I166" i="44"/>
  <c r="I128" i="44"/>
  <c r="F59" i="44"/>
  <c r="F58" i="44" s="1"/>
  <c r="F57" i="44" s="1"/>
  <c r="L93" i="44"/>
  <c r="I110" i="44"/>
  <c r="K174" i="44"/>
  <c r="L174" i="44" s="1"/>
  <c r="H126" i="44"/>
  <c r="K65" i="45"/>
  <c r="L65" i="45" s="1"/>
  <c r="L66" i="45"/>
  <c r="K9" i="44"/>
  <c r="L10" i="44"/>
  <c r="I72" i="45"/>
  <c r="H172" i="45"/>
  <c r="I172" i="45" s="1"/>
  <c r="I173" i="45"/>
  <c r="F8" i="44"/>
  <c r="F7" i="44" s="1"/>
  <c r="F6" i="44" s="1"/>
  <c r="E59" i="44"/>
  <c r="E58" i="44" s="1"/>
  <c r="E57" i="44" s="1"/>
  <c r="H86" i="44"/>
  <c r="I108" i="44"/>
  <c r="H107" i="44"/>
  <c r="K128" i="44"/>
  <c r="L128" i="44" s="1"/>
  <c r="L129" i="44"/>
  <c r="F72" i="45"/>
  <c r="F71" i="45" s="1"/>
  <c r="K319" i="45"/>
  <c r="L320" i="45"/>
  <c r="K222" i="45"/>
  <c r="L222" i="45" s="1"/>
  <c r="L223" i="45"/>
  <c r="J7" i="45"/>
  <c r="J6" i="45" s="1"/>
  <c r="J5" i="45" s="1"/>
  <c r="I9" i="44"/>
  <c r="I16" i="44"/>
  <c r="L33" i="44"/>
  <c r="K119" i="44"/>
  <c r="L127" i="44"/>
  <c r="K136" i="44"/>
  <c r="L136" i="44" s="1"/>
  <c r="I174" i="44"/>
  <c r="G395" i="45"/>
  <c r="E162" i="45"/>
  <c r="E161" i="45" s="1"/>
  <c r="K43" i="44"/>
  <c r="I65" i="44"/>
  <c r="K167" i="44"/>
  <c r="L167" i="44" s="1"/>
  <c r="I78" i="45"/>
  <c r="K117" i="45"/>
  <c r="H139" i="45"/>
  <c r="I143" i="45"/>
  <c r="E25" i="46"/>
  <c r="E24" i="46" s="1"/>
  <c r="J72" i="45"/>
  <c r="J71" i="45" s="1"/>
  <c r="I167" i="44"/>
  <c r="K25" i="45"/>
  <c r="K78" i="45"/>
  <c r="L78" i="45" s="1"/>
  <c r="F104" i="45"/>
  <c r="F92" i="45" s="1"/>
  <c r="K143" i="45"/>
  <c r="L144" i="45"/>
  <c r="I152" i="45"/>
  <c r="F242" i="45"/>
  <c r="F241" i="45" s="1"/>
  <c r="K381" i="45"/>
  <c r="K380" i="45" s="1"/>
  <c r="L62" i="46"/>
  <c r="K60" i="46"/>
  <c r="L60" i="46" s="1"/>
  <c r="I11" i="45"/>
  <c r="G104" i="45"/>
  <c r="K110" i="45"/>
  <c r="L110" i="45" s="1"/>
  <c r="L111" i="45"/>
  <c r="L14" i="46"/>
  <c r="K13" i="46"/>
  <c r="K7" i="46" s="1"/>
  <c r="J25" i="46"/>
  <c r="J24" i="46" s="1"/>
  <c r="K48" i="46"/>
  <c r="L48" i="46" s="1"/>
  <c r="K65" i="46"/>
  <c r="K248" i="45"/>
  <c r="L248" i="45" s="1"/>
  <c r="K366" i="45"/>
  <c r="K365" i="45" s="1"/>
  <c r="I13" i="46"/>
  <c r="K153" i="46"/>
  <c r="L259" i="46"/>
  <c r="K232" i="46"/>
  <c r="L232" i="46" s="1"/>
  <c r="F7" i="46"/>
  <c r="F6" i="46" s="1"/>
  <c r="F5" i="46" s="1"/>
  <c r="K31" i="46"/>
  <c r="L31" i="46" s="1"/>
  <c r="K78" i="46"/>
  <c r="L78" i="46" s="1"/>
  <c r="L79" i="46"/>
  <c r="K144" i="46"/>
  <c r="I153" i="46"/>
  <c r="F200" i="46"/>
  <c r="F199" i="46" s="1"/>
  <c r="F198" i="46" s="1"/>
  <c r="I208" i="46"/>
  <c r="K290" i="45"/>
  <c r="K327" i="45"/>
  <c r="L327" i="45" s="1"/>
  <c r="H7" i="46"/>
  <c r="L32" i="46"/>
  <c r="K95" i="46"/>
  <c r="L172" i="46"/>
  <c r="K165" i="46"/>
  <c r="L165" i="46" s="1"/>
  <c r="H102" i="46"/>
  <c r="I108" i="46"/>
  <c r="K116" i="46"/>
  <c r="K115" i="46" s="1"/>
  <c r="E151" i="46"/>
  <c r="E150" i="46" s="1"/>
  <c r="E149" i="46" s="1"/>
  <c r="I165" i="46"/>
  <c r="E200" i="46"/>
  <c r="E199" i="46" s="1"/>
  <c r="E198" i="46" s="1"/>
  <c r="I232" i="46"/>
  <c r="E276" i="46"/>
  <c r="E275" i="46" s="1"/>
  <c r="F275" i="46"/>
  <c r="K280" i="46"/>
  <c r="E7" i="48"/>
  <c r="E6" i="48" s="1"/>
  <c r="E5" i="48" s="1"/>
  <c r="E34" i="48" s="1"/>
  <c r="K29" i="48"/>
  <c r="F125" i="46"/>
  <c r="F124" i="46" s="1"/>
  <c r="J151" i="46"/>
  <c r="J150" i="46" s="1"/>
  <c r="J149" i="46" s="1"/>
  <c r="F151" i="46"/>
  <c r="F150" i="46" s="1"/>
  <c r="F149" i="46" s="1"/>
  <c r="L209" i="46"/>
  <c r="L281" i="46"/>
  <c r="L14" i="47"/>
  <c r="G7" i="48"/>
  <c r="G6" i="48" s="1"/>
  <c r="E39" i="45" l="1"/>
  <c r="I55" i="45"/>
  <c r="L11" i="45"/>
  <c r="J197" i="46"/>
  <c r="I218" i="45"/>
  <c r="F39" i="45"/>
  <c r="J5" i="44"/>
  <c r="J240" i="45"/>
  <c r="H23" i="46"/>
  <c r="L153" i="45"/>
  <c r="L232" i="45"/>
  <c r="E179" i="45"/>
  <c r="H6" i="45"/>
  <c r="I6" i="45" s="1"/>
  <c r="E84" i="44"/>
  <c r="E183" i="44" s="1"/>
  <c r="L380" i="45"/>
  <c r="E23" i="46"/>
  <c r="K40" i="45"/>
  <c r="L40" i="45" s="1"/>
  <c r="I71" i="45"/>
  <c r="K268" i="46"/>
  <c r="L268" i="46" s="1"/>
  <c r="J23" i="46"/>
  <c r="I217" i="45"/>
  <c r="K56" i="45"/>
  <c r="K55" i="45" s="1"/>
  <c r="E70" i="45"/>
  <c r="I7" i="47"/>
  <c r="K86" i="44"/>
  <c r="L86" i="44" s="1"/>
  <c r="F23" i="46"/>
  <c r="F84" i="44"/>
  <c r="J92" i="45"/>
  <c r="J70" i="45" s="1"/>
  <c r="K59" i="44"/>
  <c r="L59" i="44" s="1"/>
  <c r="J100" i="46"/>
  <c r="I380" i="45"/>
  <c r="F179" i="45"/>
  <c r="K116" i="45"/>
  <c r="J332" i="45"/>
  <c r="K7" i="47"/>
  <c r="L7" i="47" s="1"/>
  <c r="F70" i="45"/>
  <c r="K309" i="45"/>
  <c r="L309" i="45" s="1"/>
  <c r="I6" i="44"/>
  <c r="J84" i="44"/>
  <c r="I53" i="46"/>
  <c r="I8" i="44"/>
  <c r="I7" i="44"/>
  <c r="H5" i="44"/>
  <c r="I5" i="44" s="1"/>
  <c r="I70" i="46"/>
  <c r="K25" i="46"/>
  <c r="L25" i="46" s="1"/>
  <c r="I72" i="46"/>
  <c r="I125" i="46"/>
  <c r="K200" i="46"/>
  <c r="L200" i="46" s="1"/>
  <c r="F197" i="46"/>
  <c r="E100" i="46"/>
  <c r="I71" i="46"/>
  <c r="I151" i="46"/>
  <c r="K54" i="46"/>
  <c r="K53" i="46" s="1"/>
  <c r="L53" i="46" s="1"/>
  <c r="I54" i="46"/>
  <c r="I200" i="46"/>
  <c r="K72" i="46"/>
  <c r="L72" i="46" s="1"/>
  <c r="K125" i="46"/>
  <c r="K348" i="45"/>
  <c r="F332" i="45"/>
  <c r="K333" i="45"/>
  <c r="L333" i="45" s="1"/>
  <c r="F240" i="45"/>
  <c r="L296" i="45"/>
  <c r="H39" i="45"/>
  <c r="I39" i="45" s="1"/>
  <c r="K24" i="45"/>
  <c r="K23" i="45" s="1"/>
  <c r="L7" i="45"/>
  <c r="K6" i="45"/>
  <c r="L6" i="45" s="1"/>
  <c r="J115" i="45"/>
  <c r="E332" i="45"/>
  <c r="K181" i="45"/>
  <c r="K180" i="45" s="1"/>
  <c r="K172" i="45"/>
  <c r="L172" i="45" s="1"/>
  <c r="F115" i="45"/>
  <c r="I296" i="45"/>
  <c r="E295" i="45"/>
  <c r="E240" i="45" s="1"/>
  <c r="E115" i="45"/>
  <c r="J179" i="45"/>
  <c r="H92" i="45"/>
  <c r="I40" i="45"/>
  <c r="L300" i="45"/>
  <c r="H162" i="45"/>
  <c r="I162" i="45" s="1"/>
  <c r="H332" i="45"/>
  <c r="H241" i="45"/>
  <c r="I241" i="45" s="1"/>
  <c r="I242" i="45"/>
  <c r="L105" i="45"/>
  <c r="K104" i="45"/>
  <c r="L104" i="45" s="1"/>
  <c r="K42" i="44"/>
  <c r="F5" i="44"/>
  <c r="K108" i="44"/>
  <c r="L108" i="44" s="1"/>
  <c r="H6" i="46"/>
  <c r="I7" i="46"/>
  <c r="K72" i="45"/>
  <c r="K151" i="46"/>
  <c r="L153" i="46"/>
  <c r="K242" i="45"/>
  <c r="I58" i="44"/>
  <c r="H57" i="44"/>
  <c r="I57" i="44" s="1"/>
  <c r="H179" i="45"/>
  <c r="I150" i="46"/>
  <c r="H149" i="46"/>
  <c r="K318" i="45"/>
  <c r="L319" i="45"/>
  <c r="K6" i="48"/>
  <c r="L7" i="48"/>
  <c r="I6" i="47"/>
  <c r="H5" i="47"/>
  <c r="K276" i="46"/>
  <c r="L280" i="46"/>
  <c r="I276" i="46"/>
  <c r="L143" i="45"/>
  <c r="K139" i="45"/>
  <c r="K218" i="45"/>
  <c r="I107" i="44"/>
  <c r="H106" i="44"/>
  <c r="I106" i="44" s="1"/>
  <c r="I275" i="46"/>
  <c r="I24" i="46"/>
  <c r="I6" i="48"/>
  <c r="H5" i="48"/>
  <c r="L13" i="46"/>
  <c r="K166" i="44"/>
  <c r="L166" i="44" s="1"/>
  <c r="K126" i="44"/>
  <c r="K101" i="46"/>
  <c r="L7" i="46"/>
  <c r="K6" i="46"/>
  <c r="H198" i="46"/>
  <c r="I199" i="46"/>
  <c r="H101" i="46"/>
  <c r="I101" i="46" s="1"/>
  <c r="I102" i="46"/>
  <c r="F100" i="46"/>
  <c r="I59" i="44"/>
  <c r="E197" i="46"/>
  <c r="I7" i="48"/>
  <c r="I25" i="46"/>
  <c r="I139" i="45"/>
  <c r="H138" i="45"/>
  <c r="H85" i="44"/>
  <c r="I86" i="44"/>
  <c r="K8" i="44"/>
  <c r="L9" i="44"/>
  <c r="I126" i="44"/>
  <c r="H125" i="44"/>
  <c r="I179" i="45" l="1"/>
  <c r="L56" i="45"/>
  <c r="J183" i="44"/>
  <c r="F183" i="44"/>
  <c r="I23" i="46"/>
  <c r="H5" i="45"/>
  <c r="I5" i="45" s="1"/>
  <c r="K58" i="44"/>
  <c r="K57" i="44" s="1"/>
  <c r="L57" i="44" s="1"/>
  <c r="K6" i="47"/>
  <c r="L6" i="47" s="1"/>
  <c r="J294" i="46"/>
  <c r="K85" i="44"/>
  <c r="L85" i="44" s="1"/>
  <c r="K24" i="46"/>
  <c r="K23" i="46" s="1"/>
  <c r="L23" i="46" s="1"/>
  <c r="K199" i="46"/>
  <c r="L199" i="46" s="1"/>
  <c r="J395" i="45"/>
  <c r="H161" i="45"/>
  <c r="I161" i="45" s="1"/>
  <c r="E294" i="46"/>
  <c r="H240" i="45"/>
  <c r="I240" i="45" s="1"/>
  <c r="K332" i="45"/>
  <c r="L332" i="45" s="1"/>
  <c r="K295" i="45"/>
  <c r="L295" i="45" s="1"/>
  <c r="F294" i="46"/>
  <c r="L54" i="46"/>
  <c r="K71" i="46"/>
  <c r="K70" i="46" s="1"/>
  <c r="L70" i="46" s="1"/>
  <c r="L125" i="46"/>
  <c r="K124" i="46"/>
  <c r="L124" i="46" s="1"/>
  <c r="E395" i="45"/>
  <c r="F395" i="45"/>
  <c r="I295" i="45"/>
  <c r="K5" i="45"/>
  <c r="L5" i="45" s="1"/>
  <c r="K162" i="45"/>
  <c r="L162" i="45" s="1"/>
  <c r="K92" i="45"/>
  <c r="L92" i="45" s="1"/>
  <c r="I92" i="45"/>
  <c r="H70" i="45"/>
  <c r="I70" i="45" s="1"/>
  <c r="K107" i="44"/>
  <c r="K106" i="44" s="1"/>
  <c r="L106" i="44" s="1"/>
  <c r="I149" i="46"/>
  <c r="I100" i="46" s="1"/>
  <c r="H100" i="46"/>
  <c r="K5" i="48"/>
  <c r="L6" i="48"/>
  <c r="L242" i="45"/>
  <c r="K241" i="45"/>
  <c r="K71" i="45"/>
  <c r="L72" i="45"/>
  <c r="I85" i="44"/>
  <c r="L55" i="45"/>
  <c r="K39" i="45"/>
  <c r="L39" i="45" s="1"/>
  <c r="K217" i="45"/>
  <c r="L218" i="45"/>
  <c r="L318" i="45"/>
  <c r="K317" i="45"/>
  <c r="K5" i="46"/>
  <c r="L6" i="46"/>
  <c r="I138" i="45"/>
  <c r="H115" i="45"/>
  <c r="I115" i="45" s="1"/>
  <c r="K138" i="45"/>
  <c r="L139" i="45"/>
  <c r="I5" i="47"/>
  <c r="H50" i="47"/>
  <c r="I50" i="47" s="1"/>
  <c r="I6" i="46"/>
  <c r="H5" i="46"/>
  <c r="H34" i="48"/>
  <c r="I34" i="48" s="1"/>
  <c r="I5" i="48"/>
  <c r="I125" i="44"/>
  <c r="H124" i="44"/>
  <c r="I124" i="44" s="1"/>
  <c r="I198" i="46"/>
  <c r="H197" i="46"/>
  <c r="I197" i="46" s="1"/>
  <c r="L276" i="46"/>
  <c r="K275" i="46"/>
  <c r="L275" i="46" s="1"/>
  <c r="L8" i="44"/>
  <c r="K7" i="44"/>
  <c r="K125" i="44"/>
  <c r="L126" i="44"/>
  <c r="K150" i="46"/>
  <c r="L151" i="46"/>
  <c r="K5" i="47" l="1"/>
  <c r="L5" i="47" s="1"/>
  <c r="L58" i="44"/>
  <c r="L24" i="46"/>
  <c r="K198" i="46"/>
  <c r="K197" i="46" s="1"/>
  <c r="L197" i="46" s="1"/>
  <c r="L71" i="46"/>
  <c r="K161" i="45"/>
  <c r="L161" i="45" s="1"/>
  <c r="L107" i="44"/>
  <c r="H294" i="46"/>
  <c r="I294" i="46" s="1"/>
  <c r="I5" i="46"/>
  <c r="L217" i="45"/>
  <c r="K179" i="45"/>
  <c r="L179" i="45" s="1"/>
  <c r="L71" i="45"/>
  <c r="K70" i="45"/>
  <c r="H395" i="45"/>
  <c r="I395" i="45" s="1"/>
  <c r="L241" i="45"/>
  <c r="K240" i="45"/>
  <c r="L240" i="45" s="1"/>
  <c r="L150" i="46"/>
  <c r="K149" i="46"/>
  <c r="K50" i="47"/>
  <c r="L50" i="47" s="1"/>
  <c r="L317" i="45"/>
  <c r="K316" i="45"/>
  <c r="L316" i="45" s="1"/>
  <c r="L125" i="44"/>
  <c r="K124" i="44"/>
  <c r="L124" i="44" s="1"/>
  <c r="L138" i="45"/>
  <c r="K115" i="45"/>
  <c r="L115" i="45" s="1"/>
  <c r="L7" i="44"/>
  <c r="K6" i="44"/>
  <c r="L5" i="46"/>
  <c r="H84" i="44"/>
  <c r="L5" i="48"/>
  <c r="K34" i="48"/>
  <c r="L34" i="48" s="1"/>
  <c r="L198" i="46" l="1"/>
  <c r="L70" i="45"/>
  <c r="K395" i="45"/>
  <c r="L395" i="45" s="1"/>
  <c r="I84" i="44"/>
  <c r="H183" i="44"/>
  <c r="I183" i="44" s="1"/>
  <c r="K5" i="44"/>
  <c r="L6" i="44"/>
  <c r="L149" i="46"/>
  <c r="K100" i="46"/>
  <c r="K84" i="44"/>
  <c r="L84" i="44" s="1"/>
  <c r="K183" i="44" l="1"/>
  <c r="L183" i="44" s="1"/>
  <c r="L5" i="44"/>
  <c r="L100" i="46"/>
  <c r="K294" i="46"/>
  <c r="L294" i="46" s="1"/>
  <c r="K140" i="43" l="1"/>
  <c r="K139" i="43"/>
  <c r="K138" i="43"/>
  <c r="K137" i="43"/>
  <c r="J136" i="43"/>
  <c r="H136" i="43"/>
  <c r="G136" i="43"/>
  <c r="F136" i="43"/>
  <c r="E136" i="43"/>
  <c r="K135" i="43"/>
  <c r="K134" i="43"/>
  <c r="K133" i="43"/>
  <c r="K132" i="43"/>
  <c r="K131" i="43"/>
  <c r="K130" i="43"/>
  <c r="K129" i="43"/>
  <c r="J128" i="43"/>
  <c r="J127" i="43" s="1"/>
  <c r="J126" i="43" s="1"/>
  <c r="H128" i="43"/>
  <c r="H127" i="43" s="1"/>
  <c r="H126" i="43" s="1"/>
  <c r="F128" i="43"/>
  <c r="F127" i="43" s="1"/>
  <c r="E128" i="43"/>
  <c r="E127" i="43" s="1"/>
  <c r="G127" i="43"/>
  <c r="K123" i="43"/>
  <c r="L123" i="43" s="1"/>
  <c r="I123" i="43"/>
  <c r="K122" i="43"/>
  <c r="L122" i="43" s="1"/>
  <c r="I122" i="43"/>
  <c r="K121" i="43"/>
  <c r="L121" i="43" s="1"/>
  <c r="I121" i="43"/>
  <c r="H120" i="43"/>
  <c r="G120" i="43"/>
  <c r="G119" i="43" s="1"/>
  <c r="F120" i="43"/>
  <c r="F119" i="43" s="1"/>
  <c r="E120" i="43"/>
  <c r="J119" i="43"/>
  <c r="K116" i="43"/>
  <c r="L116" i="43" s="1"/>
  <c r="I116" i="43"/>
  <c r="K115" i="43"/>
  <c r="L115" i="43" s="1"/>
  <c r="I115" i="43"/>
  <c r="K114" i="43"/>
  <c r="K113" i="43"/>
  <c r="L113" i="43" s="1"/>
  <c r="I113" i="43"/>
  <c r="K112" i="43"/>
  <c r="L112" i="43" s="1"/>
  <c r="I112" i="43"/>
  <c r="K111" i="43"/>
  <c r="L111" i="43" s="1"/>
  <c r="I111" i="43"/>
  <c r="K110" i="43"/>
  <c r="L110" i="43" s="1"/>
  <c r="I110" i="43"/>
  <c r="K109" i="43"/>
  <c r="L109" i="43" s="1"/>
  <c r="I109" i="43"/>
  <c r="K108" i="43"/>
  <c r="L108" i="43" s="1"/>
  <c r="I108" i="43"/>
  <c r="K107" i="43"/>
  <c r="L107" i="43" s="1"/>
  <c r="I107" i="43"/>
  <c r="K106" i="43"/>
  <c r="L106" i="43" s="1"/>
  <c r="I106" i="43"/>
  <c r="K105" i="43"/>
  <c r="L105" i="43" s="1"/>
  <c r="I105" i="43"/>
  <c r="K104" i="43"/>
  <c r="L104" i="43" s="1"/>
  <c r="I104" i="43"/>
  <c r="J103" i="43"/>
  <c r="H103" i="43"/>
  <c r="G103" i="43"/>
  <c r="F103" i="43"/>
  <c r="E103" i="43"/>
  <c r="K100" i="43"/>
  <c r="K99" i="43"/>
  <c r="L99" i="43" s="1"/>
  <c r="I99" i="43"/>
  <c r="H98" i="43"/>
  <c r="K98" i="43" s="1"/>
  <c r="L98" i="43" s="1"/>
  <c r="K97" i="43"/>
  <c r="L97" i="43" s="1"/>
  <c r="I97" i="43"/>
  <c r="K96" i="43"/>
  <c r="L96" i="43" s="1"/>
  <c r="I96" i="43"/>
  <c r="J95" i="43"/>
  <c r="J93" i="43" s="1"/>
  <c r="G95" i="43"/>
  <c r="G93" i="43" s="1"/>
  <c r="G92" i="43" s="1"/>
  <c r="F95" i="43"/>
  <c r="F93" i="43" s="1"/>
  <c r="F92" i="43" s="1"/>
  <c r="E95" i="43"/>
  <c r="K94" i="43"/>
  <c r="L94" i="43" s="1"/>
  <c r="I94" i="43"/>
  <c r="K86" i="43"/>
  <c r="J86" i="43"/>
  <c r="H86" i="43"/>
  <c r="G86" i="43"/>
  <c r="F86" i="43"/>
  <c r="E86" i="43"/>
  <c r="K80" i="43"/>
  <c r="L80" i="43" s="1"/>
  <c r="I80" i="43"/>
  <c r="K79" i="43"/>
  <c r="L79" i="43" s="1"/>
  <c r="I79" i="43"/>
  <c r="J78" i="43"/>
  <c r="H78" i="43"/>
  <c r="F78" i="43"/>
  <c r="E78" i="43"/>
  <c r="G78" i="43" s="1"/>
  <c r="K77" i="43"/>
  <c r="I77" i="43"/>
  <c r="K76" i="43"/>
  <c r="L76" i="43" s="1"/>
  <c r="I76" i="43"/>
  <c r="K75" i="43"/>
  <c r="L75" i="43" s="1"/>
  <c r="I75" i="43"/>
  <c r="J74" i="43"/>
  <c r="H74" i="43"/>
  <c r="G74" i="43"/>
  <c r="F74" i="43"/>
  <c r="E74" i="43"/>
  <c r="J66" i="43"/>
  <c r="H66" i="43"/>
  <c r="G66" i="43"/>
  <c r="J63" i="43"/>
  <c r="J62" i="43" s="1"/>
  <c r="H63" i="43"/>
  <c r="H62" i="43" s="1"/>
  <c r="G63" i="43"/>
  <c r="G62" i="43" s="1"/>
  <c r="K62" i="43"/>
  <c r="F62" i="43"/>
  <c r="E62" i="43"/>
  <c r="K59" i="43"/>
  <c r="L59" i="43" s="1"/>
  <c r="I59" i="43"/>
  <c r="K58" i="43"/>
  <c r="L58" i="43" s="1"/>
  <c r="I58" i="43"/>
  <c r="K57" i="43"/>
  <c r="L57" i="43" s="1"/>
  <c r="I57" i="43"/>
  <c r="K56" i="43"/>
  <c r="L56" i="43" s="1"/>
  <c r="I56" i="43"/>
  <c r="K55" i="43"/>
  <c r="L55" i="43" s="1"/>
  <c r="I55" i="43"/>
  <c r="K54" i="43"/>
  <c r="L54" i="43" s="1"/>
  <c r="I54" i="43"/>
  <c r="K53" i="43"/>
  <c r="L53" i="43" s="1"/>
  <c r="I53" i="43"/>
  <c r="K52" i="43"/>
  <c r="L52" i="43" s="1"/>
  <c r="I52" i="43"/>
  <c r="K51" i="43"/>
  <c r="L51" i="43" s="1"/>
  <c r="I51" i="43"/>
  <c r="K50" i="43"/>
  <c r="L50" i="43" s="1"/>
  <c r="I50" i="43"/>
  <c r="J49" i="43"/>
  <c r="H49" i="43"/>
  <c r="G49" i="43"/>
  <c r="F49" i="43"/>
  <c r="E49" i="43"/>
  <c r="K44" i="43"/>
  <c r="J44" i="43"/>
  <c r="H44" i="43"/>
  <c r="G44" i="43"/>
  <c r="F44" i="43"/>
  <c r="E44" i="43"/>
  <c r="K36" i="43"/>
  <c r="J36" i="43"/>
  <c r="H36" i="43"/>
  <c r="G36" i="43"/>
  <c r="F36" i="43"/>
  <c r="E36" i="43"/>
  <c r="H28" i="43"/>
  <c r="K28" i="43" s="1"/>
  <c r="K26" i="43" s="1"/>
  <c r="K25" i="43" s="1"/>
  <c r="K24" i="43" s="1"/>
  <c r="G28" i="43"/>
  <c r="G26" i="43" s="1"/>
  <c r="G25" i="43" s="1"/>
  <c r="F28" i="43"/>
  <c r="F26" i="43" s="1"/>
  <c r="F25" i="43" s="1"/>
  <c r="E28" i="43"/>
  <c r="E26" i="43" s="1"/>
  <c r="E25" i="43" s="1"/>
  <c r="J26" i="43"/>
  <c r="J25" i="43" s="1"/>
  <c r="H25" i="43"/>
  <c r="K19" i="43"/>
  <c r="J19" i="43"/>
  <c r="H19" i="43"/>
  <c r="G19" i="43"/>
  <c r="F19" i="43"/>
  <c r="E19" i="43"/>
  <c r="K14" i="43"/>
  <c r="L14" i="43" s="1"/>
  <c r="I14" i="43"/>
  <c r="K13" i="43"/>
  <c r="L13" i="43" s="1"/>
  <c r="I13" i="43"/>
  <c r="K12" i="43"/>
  <c r="L12" i="43" s="1"/>
  <c r="I12" i="43"/>
  <c r="K11" i="43"/>
  <c r="L11" i="43" s="1"/>
  <c r="I11" i="43"/>
  <c r="J10" i="43"/>
  <c r="J8" i="43" s="1"/>
  <c r="J7" i="43" s="1"/>
  <c r="H10" i="43"/>
  <c r="G10" i="43"/>
  <c r="G8" i="43" s="1"/>
  <c r="G7" i="43" s="1"/>
  <c r="F10" i="43"/>
  <c r="F8" i="43" s="1"/>
  <c r="F7" i="43" s="1"/>
  <c r="E10" i="43"/>
  <c r="E8" i="43" s="1"/>
  <c r="E7" i="43" s="1"/>
  <c r="G212" i="42"/>
  <c r="G211" i="42"/>
  <c r="K210" i="42"/>
  <c r="J210" i="42"/>
  <c r="H210" i="42"/>
  <c r="F210" i="42"/>
  <c r="E210" i="42"/>
  <c r="K207" i="42"/>
  <c r="L207" i="42" s="1"/>
  <c r="I207" i="42"/>
  <c r="K206" i="42"/>
  <c r="L206" i="42" s="1"/>
  <c r="I206" i="42"/>
  <c r="K205" i="42"/>
  <c r="L205" i="42" s="1"/>
  <c r="I205" i="42"/>
  <c r="K204" i="42"/>
  <c r="L204" i="42" s="1"/>
  <c r="I204" i="42"/>
  <c r="K203" i="42"/>
  <c r="L203" i="42" s="1"/>
  <c r="I203" i="42"/>
  <c r="K202" i="42"/>
  <c r="L202" i="42" s="1"/>
  <c r="I202" i="42"/>
  <c r="K201" i="42"/>
  <c r="L201" i="42" s="1"/>
  <c r="I201" i="42"/>
  <c r="K200" i="42"/>
  <c r="L200" i="42" s="1"/>
  <c r="I200" i="42"/>
  <c r="K199" i="42"/>
  <c r="L199" i="42" s="1"/>
  <c r="I199" i="42"/>
  <c r="K198" i="42"/>
  <c r="L198" i="42" s="1"/>
  <c r="I198" i="42"/>
  <c r="K197" i="42"/>
  <c r="L197" i="42" s="1"/>
  <c r="I197" i="42"/>
  <c r="K196" i="42"/>
  <c r="L196" i="42" s="1"/>
  <c r="I196" i="42"/>
  <c r="K195" i="42"/>
  <c r="L195" i="42" s="1"/>
  <c r="I195" i="42"/>
  <c r="K194" i="42"/>
  <c r="L194" i="42" s="1"/>
  <c r="I194" i="42"/>
  <c r="J193" i="42"/>
  <c r="H193" i="42"/>
  <c r="G193" i="42"/>
  <c r="F193" i="42"/>
  <c r="E193" i="42"/>
  <c r="K190" i="42"/>
  <c r="L190" i="42" s="1"/>
  <c r="I190" i="42"/>
  <c r="K189" i="42"/>
  <c r="L189" i="42" s="1"/>
  <c r="I189" i="42"/>
  <c r="J188" i="42"/>
  <c r="H188" i="42"/>
  <c r="F188" i="42"/>
  <c r="E188" i="42"/>
  <c r="K187" i="42"/>
  <c r="L187" i="42" s="1"/>
  <c r="I187" i="42"/>
  <c r="K186" i="42"/>
  <c r="L186" i="42" s="1"/>
  <c r="I186" i="42"/>
  <c r="K185" i="42"/>
  <c r="L185" i="42" s="1"/>
  <c r="I185" i="42"/>
  <c r="J184" i="42"/>
  <c r="H184" i="42"/>
  <c r="G184" i="42"/>
  <c r="F184" i="42"/>
  <c r="E184" i="42"/>
  <c r="K176" i="42"/>
  <c r="J176" i="42"/>
  <c r="H176" i="42"/>
  <c r="E176" i="42"/>
  <c r="G176" i="42" s="1"/>
  <c r="K170" i="42"/>
  <c r="K169" i="42" s="1"/>
  <c r="I170" i="42"/>
  <c r="J169" i="42"/>
  <c r="H169" i="42"/>
  <c r="G169" i="42"/>
  <c r="F169" i="42"/>
  <c r="E169" i="42"/>
  <c r="K166" i="42"/>
  <c r="J166" i="42"/>
  <c r="H166" i="42"/>
  <c r="G166" i="42"/>
  <c r="F166" i="42"/>
  <c r="E166" i="42"/>
  <c r="E165" i="42" s="1"/>
  <c r="J160" i="42"/>
  <c r="J159" i="42" s="1"/>
  <c r="H160" i="42"/>
  <c r="I160" i="42" s="1"/>
  <c r="G159" i="42"/>
  <c r="F159" i="42"/>
  <c r="E159" i="42"/>
  <c r="J154" i="42"/>
  <c r="K154" i="42" s="1"/>
  <c r="I154" i="42"/>
  <c r="K153" i="42"/>
  <c r="J152" i="42"/>
  <c r="I152" i="42"/>
  <c r="H151" i="42"/>
  <c r="H147" i="42" s="1"/>
  <c r="G151" i="42"/>
  <c r="F151" i="42"/>
  <c r="F147" i="42" s="1"/>
  <c r="E151" i="42"/>
  <c r="E147" i="42" s="1"/>
  <c r="K142" i="42"/>
  <c r="K141" i="42" s="1"/>
  <c r="I142" i="42"/>
  <c r="J141" i="42"/>
  <c r="H141" i="42"/>
  <c r="G141" i="42"/>
  <c r="F141" i="42"/>
  <c r="E141" i="42"/>
  <c r="K135" i="42"/>
  <c r="L135" i="42" s="1"/>
  <c r="I135" i="42"/>
  <c r="K134" i="42"/>
  <c r="L134" i="42" s="1"/>
  <c r="I134" i="42"/>
  <c r="J133" i="42"/>
  <c r="H133" i="42"/>
  <c r="G133" i="42"/>
  <c r="F133" i="42"/>
  <c r="E133" i="42"/>
  <c r="K130" i="42"/>
  <c r="J130" i="42"/>
  <c r="H130" i="42"/>
  <c r="G130" i="42"/>
  <c r="F130" i="42"/>
  <c r="E130" i="42"/>
  <c r="J124" i="42"/>
  <c r="J123" i="42" s="1"/>
  <c r="I124" i="42"/>
  <c r="H123" i="42"/>
  <c r="G123" i="42"/>
  <c r="F123" i="42"/>
  <c r="E123" i="42"/>
  <c r="K118" i="42"/>
  <c r="L118" i="42" s="1"/>
  <c r="I118" i="42"/>
  <c r="K117" i="42"/>
  <c r="I117" i="42"/>
  <c r="J116" i="42"/>
  <c r="H116" i="42"/>
  <c r="G116" i="42"/>
  <c r="F116" i="42"/>
  <c r="E116" i="42"/>
  <c r="K113" i="42"/>
  <c r="J113" i="42"/>
  <c r="H113" i="42"/>
  <c r="G113" i="42"/>
  <c r="F113" i="42"/>
  <c r="F112" i="42" s="1"/>
  <c r="E113" i="42"/>
  <c r="K107" i="42"/>
  <c r="L107" i="42" s="1"/>
  <c r="J106" i="42"/>
  <c r="H106" i="42"/>
  <c r="G106" i="42"/>
  <c r="F106" i="42"/>
  <c r="E106" i="42"/>
  <c r="K101" i="42"/>
  <c r="L101" i="42" s="1"/>
  <c r="I101" i="42"/>
  <c r="K100" i="42"/>
  <c r="L100" i="42" s="1"/>
  <c r="I100" i="42"/>
  <c r="J99" i="42"/>
  <c r="H99" i="42"/>
  <c r="G99" i="42"/>
  <c r="F99" i="42"/>
  <c r="E99" i="42"/>
  <c r="K96" i="42"/>
  <c r="J96" i="42"/>
  <c r="H96" i="42"/>
  <c r="G96" i="42"/>
  <c r="G95" i="42" s="1"/>
  <c r="F96" i="42"/>
  <c r="E96" i="42"/>
  <c r="K91" i="42"/>
  <c r="L91" i="42" s="1"/>
  <c r="I91" i="42"/>
  <c r="K90" i="42"/>
  <c r="L90" i="42" s="1"/>
  <c r="I90" i="42"/>
  <c r="J89" i="42"/>
  <c r="H89" i="42"/>
  <c r="G89" i="42"/>
  <c r="F89" i="42"/>
  <c r="E89" i="42"/>
  <c r="K88" i="42"/>
  <c r="L88" i="42" s="1"/>
  <c r="I88" i="42"/>
  <c r="J87" i="42"/>
  <c r="I87" i="42"/>
  <c r="H86" i="42"/>
  <c r="H85" i="42" s="1"/>
  <c r="F86" i="42"/>
  <c r="E86" i="42"/>
  <c r="G85" i="42"/>
  <c r="J80" i="42"/>
  <c r="K80" i="42" s="1"/>
  <c r="L80" i="42" s="1"/>
  <c r="I80" i="42"/>
  <c r="J79" i="42"/>
  <c r="K79" i="42" s="1"/>
  <c r="I79" i="42"/>
  <c r="H78" i="42"/>
  <c r="G78" i="42"/>
  <c r="F78" i="42"/>
  <c r="E78" i="42"/>
  <c r="K75" i="42"/>
  <c r="J75" i="42"/>
  <c r="H75" i="42"/>
  <c r="G75" i="42"/>
  <c r="F75" i="42"/>
  <c r="E75" i="42"/>
  <c r="K69" i="42"/>
  <c r="K68" i="42" s="1"/>
  <c r="J68" i="42"/>
  <c r="H68" i="42"/>
  <c r="G68" i="42"/>
  <c r="F68" i="42"/>
  <c r="E68" i="42"/>
  <c r="G64" i="42"/>
  <c r="K63" i="42"/>
  <c r="L63" i="42" s="1"/>
  <c r="I63" i="42"/>
  <c r="I62" i="42"/>
  <c r="H61" i="42"/>
  <c r="H57" i="42" s="1"/>
  <c r="G61" i="42"/>
  <c r="F61" i="42"/>
  <c r="F57" i="42" s="1"/>
  <c r="E61" i="42"/>
  <c r="E57" i="42" s="1"/>
  <c r="K52" i="42"/>
  <c r="K51" i="42" s="1"/>
  <c r="I52" i="42"/>
  <c r="J51" i="42"/>
  <c r="H51" i="42"/>
  <c r="F51" i="42"/>
  <c r="E51" i="42"/>
  <c r="G51" i="42" s="1"/>
  <c r="K46" i="42"/>
  <c r="L46" i="42" s="1"/>
  <c r="I46" i="42"/>
  <c r="K45" i="42"/>
  <c r="L45" i="42" s="1"/>
  <c r="I45" i="42"/>
  <c r="J44" i="42"/>
  <c r="J40" i="42" s="1"/>
  <c r="H44" i="42"/>
  <c r="G44" i="42"/>
  <c r="G40" i="42" s="1"/>
  <c r="F44" i="42"/>
  <c r="F40" i="42" s="1"/>
  <c r="E44" i="42"/>
  <c r="E40" i="42" s="1"/>
  <c r="K34" i="42"/>
  <c r="J34" i="42"/>
  <c r="H34" i="42"/>
  <c r="G34" i="42"/>
  <c r="F34" i="42"/>
  <c r="E34" i="42"/>
  <c r="K30" i="42"/>
  <c r="L30" i="42" s="1"/>
  <c r="I30" i="42"/>
  <c r="K29" i="42"/>
  <c r="L29" i="42" s="1"/>
  <c r="I29" i="42"/>
  <c r="J28" i="42"/>
  <c r="H28" i="42"/>
  <c r="G28" i="42"/>
  <c r="F28" i="42"/>
  <c r="E28" i="42"/>
  <c r="K27" i="42"/>
  <c r="L27" i="42" s="1"/>
  <c r="I27" i="42"/>
  <c r="G27" i="42"/>
  <c r="K26" i="42"/>
  <c r="L26" i="42" s="1"/>
  <c r="I26" i="42"/>
  <c r="J24" i="42"/>
  <c r="H24" i="42"/>
  <c r="G24" i="42"/>
  <c r="F24" i="42"/>
  <c r="E24" i="42"/>
  <c r="K16" i="42"/>
  <c r="J16" i="42"/>
  <c r="H16" i="42"/>
  <c r="G16" i="42"/>
  <c r="F16" i="42"/>
  <c r="E16" i="42"/>
  <c r="K11" i="42"/>
  <c r="J8" i="42"/>
  <c r="J7" i="42" s="1"/>
  <c r="H8" i="42"/>
  <c r="H7" i="42" s="1"/>
  <c r="F7" i="42"/>
  <c r="E7" i="42"/>
  <c r="G7" i="42"/>
  <c r="K325" i="41"/>
  <c r="L325" i="41" s="1"/>
  <c r="I325" i="41"/>
  <c r="K324" i="41"/>
  <c r="L324" i="41" s="1"/>
  <c r="I324" i="41"/>
  <c r="K323" i="41"/>
  <c r="L323" i="41" s="1"/>
  <c r="I323" i="41"/>
  <c r="K322" i="41"/>
  <c r="L322" i="41" s="1"/>
  <c r="I322" i="41"/>
  <c r="K321" i="41"/>
  <c r="L321" i="41" s="1"/>
  <c r="J320" i="41"/>
  <c r="H320" i="41"/>
  <c r="F320" i="41"/>
  <c r="E320" i="41"/>
  <c r="K319" i="41"/>
  <c r="L319" i="41" s="1"/>
  <c r="I319" i="41"/>
  <c r="K318" i="41"/>
  <c r="L318" i="41" s="1"/>
  <c r="I318" i="41"/>
  <c r="K317" i="41"/>
  <c r="L317" i="41" s="1"/>
  <c r="I317" i="41"/>
  <c r="F317" i="41"/>
  <c r="F314" i="41" s="1"/>
  <c r="F313" i="41" s="1"/>
  <c r="K316" i="41"/>
  <c r="L316" i="41" s="1"/>
  <c r="I316" i="41"/>
  <c r="K315" i="41"/>
  <c r="L315" i="41" s="1"/>
  <c r="J314" i="41"/>
  <c r="J313" i="41" s="1"/>
  <c r="H314" i="41"/>
  <c r="E314" i="41"/>
  <c r="E313" i="41" s="1"/>
  <c r="K310" i="41"/>
  <c r="L310" i="41" s="1"/>
  <c r="I310" i="41"/>
  <c r="F310" i="41"/>
  <c r="F306" i="41" s="1"/>
  <c r="K309" i="41"/>
  <c r="L309" i="41" s="1"/>
  <c r="I309" i="41"/>
  <c r="K308" i="41"/>
  <c r="K307" i="41"/>
  <c r="J306" i="41"/>
  <c r="H306" i="41"/>
  <c r="H300" i="41" s="1"/>
  <c r="E306" i="41"/>
  <c r="K295" i="41"/>
  <c r="I295" i="41"/>
  <c r="K294" i="41"/>
  <c r="I294" i="41"/>
  <c r="J293" i="41"/>
  <c r="J292" i="41" s="1"/>
  <c r="H293" i="41"/>
  <c r="F293" i="41"/>
  <c r="F292" i="41" s="1"/>
  <c r="E293" i="41"/>
  <c r="E292" i="41"/>
  <c r="K288" i="41"/>
  <c r="I288" i="41"/>
  <c r="K286" i="41"/>
  <c r="I286" i="41"/>
  <c r="K285" i="41"/>
  <c r="K284" i="41"/>
  <c r="I284" i="41"/>
  <c r="K283" i="41"/>
  <c r="K282" i="41"/>
  <c r="I282" i="41"/>
  <c r="K281" i="41"/>
  <c r="I281" i="41"/>
  <c r="K280" i="41"/>
  <c r="I280" i="41"/>
  <c r="K279" i="41"/>
  <c r="I279" i="41"/>
  <c r="K278" i="41"/>
  <c r="I278" i="41"/>
  <c r="K277" i="41"/>
  <c r="I277" i="41"/>
  <c r="K276" i="41"/>
  <c r="I276" i="41"/>
  <c r="K275" i="41"/>
  <c r="I275" i="41"/>
  <c r="K274" i="41"/>
  <c r="I274" i="41"/>
  <c r="K273" i="41"/>
  <c r="I273" i="41"/>
  <c r="K272" i="41"/>
  <c r="I272" i="41"/>
  <c r="K271" i="41"/>
  <c r="I271" i="41"/>
  <c r="K270" i="41"/>
  <c r="I270" i="41"/>
  <c r="K269" i="41"/>
  <c r="I269" i="41"/>
  <c r="K268" i="41"/>
  <c r="I268" i="41"/>
  <c r="J267" i="41"/>
  <c r="H267" i="41"/>
  <c r="F267" i="41"/>
  <c r="E267" i="41"/>
  <c r="K266" i="41"/>
  <c r="I266" i="41"/>
  <c r="K265" i="41"/>
  <c r="I265" i="41"/>
  <c r="K264" i="41"/>
  <c r="I264" i="41"/>
  <c r="K263" i="41"/>
  <c r="I263" i="41"/>
  <c r="K262" i="41"/>
  <c r="I262" i="41"/>
  <c r="K261" i="41"/>
  <c r="I261" i="41"/>
  <c r="J260" i="41"/>
  <c r="H260" i="41"/>
  <c r="F260" i="41"/>
  <c r="E260" i="41"/>
  <c r="K245" i="41"/>
  <c r="K243" i="41" s="1"/>
  <c r="I245" i="41"/>
  <c r="J243" i="41"/>
  <c r="J242" i="41" s="1"/>
  <c r="J241" i="41" s="1"/>
  <c r="J240" i="41" s="1"/>
  <c r="H243" i="41"/>
  <c r="F243" i="41"/>
  <c r="F242" i="41" s="1"/>
  <c r="F241" i="41" s="1"/>
  <c r="F240" i="41" s="1"/>
  <c r="E243" i="41"/>
  <c r="E242" i="41" s="1"/>
  <c r="E241" i="41" s="1"/>
  <c r="E240" i="41" s="1"/>
  <c r="K229" i="41"/>
  <c r="K227" i="41" s="1"/>
  <c r="I229" i="41"/>
  <c r="J227" i="41"/>
  <c r="J226" i="41" s="1"/>
  <c r="J225" i="41" s="1"/>
  <c r="H227" i="41"/>
  <c r="F227" i="41"/>
  <c r="F226" i="41" s="1"/>
  <c r="F225" i="41" s="1"/>
  <c r="E227" i="41"/>
  <c r="E226" i="41" s="1"/>
  <c r="E225" i="41" s="1"/>
  <c r="K221" i="41"/>
  <c r="L221" i="41" s="1"/>
  <c r="J220" i="41"/>
  <c r="H220" i="41"/>
  <c r="F220" i="41"/>
  <c r="E220" i="41"/>
  <c r="K212" i="41"/>
  <c r="K211" i="41" s="1"/>
  <c r="J212" i="41"/>
  <c r="J211" i="41" s="1"/>
  <c r="H212" i="41"/>
  <c r="H211" i="41" s="1"/>
  <c r="F212" i="41"/>
  <c r="F211" i="41" s="1"/>
  <c r="E212" i="41"/>
  <c r="E211" i="41" s="1"/>
  <c r="K206" i="41"/>
  <c r="I206" i="41"/>
  <c r="J205" i="41"/>
  <c r="H205" i="41"/>
  <c r="F205" i="41"/>
  <c r="E205" i="41"/>
  <c r="K196" i="41"/>
  <c r="J196" i="41"/>
  <c r="H196" i="41"/>
  <c r="F196" i="41"/>
  <c r="E196" i="41"/>
  <c r="K191" i="41"/>
  <c r="K190" i="41" s="1"/>
  <c r="K180" i="41" s="1"/>
  <c r="I191" i="41"/>
  <c r="J190" i="41"/>
  <c r="J180" i="41" s="1"/>
  <c r="H190" i="41"/>
  <c r="H180" i="41" s="1"/>
  <c r="F190" i="41"/>
  <c r="F180" i="41" s="1"/>
  <c r="E190" i="41"/>
  <c r="L179" i="41"/>
  <c r="L178" i="41"/>
  <c r="L177" i="41"/>
  <c r="L176" i="41"/>
  <c r="L175" i="41"/>
  <c r="L174" i="41"/>
  <c r="L173" i="41"/>
  <c r="L172" i="41"/>
  <c r="L171" i="41"/>
  <c r="L170" i="41"/>
  <c r="L169" i="41"/>
  <c r="L168" i="41"/>
  <c r="L167" i="41"/>
  <c r="L166" i="41"/>
  <c r="L165" i="41"/>
  <c r="K161" i="41"/>
  <c r="L161" i="41" s="1"/>
  <c r="I161" i="41"/>
  <c r="J160" i="41"/>
  <c r="H160" i="41"/>
  <c r="F160" i="41"/>
  <c r="E160" i="41"/>
  <c r="K151" i="41"/>
  <c r="J151" i="41"/>
  <c r="H151" i="41"/>
  <c r="F151" i="41"/>
  <c r="E151" i="41"/>
  <c r="K147" i="41"/>
  <c r="K146" i="41"/>
  <c r="L146" i="41" s="1"/>
  <c r="I146" i="41"/>
  <c r="K145" i="41"/>
  <c r="K144" i="41"/>
  <c r="L144" i="41" s="1"/>
  <c r="I144" i="41"/>
  <c r="K143" i="41"/>
  <c r="L143" i="41" s="1"/>
  <c r="I143" i="41"/>
  <c r="K142" i="41"/>
  <c r="L142" i="41" s="1"/>
  <c r="I142" i="41"/>
  <c r="F142" i="41"/>
  <c r="K141" i="41"/>
  <c r="F141" i="41"/>
  <c r="K140" i="41"/>
  <c r="L140" i="41" s="1"/>
  <c r="I140" i="41"/>
  <c r="K139" i="41"/>
  <c r="L139" i="41" s="1"/>
  <c r="I139" i="41"/>
  <c r="F139" i="41"/>
  <c r="J138" i="41"/>
  <c r="H138" i="41"/>
  <c r="E138" i="41"/>
  <c r="K137" i="41"/>
  <c r="K136" i="41"/>
  <c r="L136" i="41" s="1"/>
  <c r="F136" i="41"/>
  <c r="F125" i="41" s="1"/>
  <c r="F124" i="41" s="1"/>
  <c r="K135" i="41"/>
  <c r="K134" i="41"/>
  <c r="K133" i="41"/>
  <c r="K132" i="41"/>
  <c r="L132" i="41" s="1"/>
  <c r="I132" i="41"/>
  <c r="K131" i="41"/>
  <c r="L131" i="41" s="1"/>
  <c r="I131" i="41"/>
  <c r="K130" i="41"/>
  <c r="L130" i="41" s="1"/>
  <c r="I130" i="41"/>
  <c r="K129" i="41"/>
  <c r="L129" i="41" s="1"/>
  <c r="I129" i="41"/>
  <c r="K128" i="41"/>
  <c r="K127" i="41"/>
  <c r="I127" i="41"/>
  <c r="K126" i="41"/>
  <c r="L126" i="41" s="1"/>
  <c r="I126" i="41"/>
  <c r="J125" i="41"/>
  <c r="J124" i="41" s="1"/>
  <c r="H125" i="41"/>
  <c r="H124" i="41" s="1"/>
  <c r="E125" i="41"/>
  <c r="K118" i="41"/>
  <c r="L118" i="41" s="1"/>
  <c r="I118" i="41"/>
  <c r="K117" i="41"/>
  <c r="L117" i="41" s="1"/>
  <c r="I117" i="41"/>
  <c r="K116" i="41"/>
  <c r="K115" i="41"/>
  <c r="L115" i="41" s="1"/>
  <c r="I115" i="41"/>
  <c r="F115" i="41"/>
  <c r="K114" i="41"/>
  <c r="K113" i="41"/>
  <c r="L113" i="41" s="1"/>
  <c r="I113" i="41"/>
  <c r="K112" i="41"/>
  <c r="L112" i="41" s="1"/>
  <c r="I112" i="41"/>
  <c r="K111" i="41"/>
  <c r="L111" i="41" s="1"/>
  <c r="I111" i="41"/>
  <c r="F111" i="41"/>
  <c r="K110" i="41"/>
  <c r="L110" i="41" s="1"/>
  <c r="I110" i="41"/>
  <c r="K109" i="41"/>
  <c r="L109" i="41" s="1"/>
  <c r="I109" i="41"/>
  <c r="F109" i="41"/>
  <c r="J108" i="41"/>
  <c r="K108" i="41" s="1"/>
  <c r="L108" i="41" s="1"/>
  <c r="I108" i="41"/>
  <c r="F108" i="41"/>
  <c r="J107" i="41"/>
  <c r="K107" i="41" s="1"/>
  <c r="L107" i="41" s="1"/>
  <c r="I107" i="41"/>
  <c r="F107" i="41"/>
  <c r="K106" i="41"/>
  <c r="L106" i="41" s="1"/>
  <c r="I106" i="41"/>
  <c r="K105" i="41"/>
  <c r="L105" i="41" s="1"/>
  <c r="I105" i="41"/>
  <c r="F105" i="41"/>
  <c r="H104" i="41"/>
  <c r="H102" i="41" s="1"/>
  <c r="E104" i="41"/>
  <c r="K103" i="41"/>
  <c r="K90" i="41"/>
  <c r="L90" i="41" s="1"/>
  <c r="I90" i="41"/>
  <c r="K89" i="41"/>
  <c r="I89" i="41"/>
  <c r="J87" i="41"/>
  <c r="J86" i="41" s="1"/>
  <c r="J85" i="41" s="1"/>
  <c r="H87" i="41"/>
  <c r="H86" i="41" s="1"/>
  <c r="F87" i="41"/>
  <c r="F86" i="41" s="1"/>
  <c r="F85" i="41" s="1"/>
  <c r="E87" i="41"/>
  <c r="E86" i="41" s="1"/>
  <c r="E85" i="41" s="1"/>
  <c r="L75" i="41"/>
  <c r="I75" i="41"/>
  <c r="K74" i="41"/>
  <c r="L74" i="41" s="1"/>
  <c r="I74" i="41"/>
  <c r="K73" i="41"/>
  <c r="L73" i="41" s="1"/>
  <c r="I73" i="41"/>
  <c r="K72" i="41"/>
  <c r="L72" i="41" s="1"/>
  <c r="I72" i="41"/>
  <c r="K71" i="41"/>
  <c r="I71" i="41"/>
  <c r="J70" i="41"/>
  <c r="J66" i="41" s="1"/>
  <c r="J65" i="41" s="1"/>
  <c r="H70" i="41"/>
  <c r="H66" i="41" s="1"/>
  <c r="F70" i="41"/>
  <c r="F66" i="41" s="1"/>
  <c r="F65" i="41" s="1"/>
  <c r="E70" i="41"/>
  <c r="E66" i="41" s="1"/>
  <c r="E65" i="41" s="1"/>
  <c r="K62" i="41"/>
  <c r="K61" i="41"/>
  <c r="K60" i="41"/>
  <c r="K59" i="41"/>
  <c r="K58" i="41"/>
  <c r="K57" i="41"/>
  <c r="L57" i="41" s="1"/>
  <c r="I57" i="41"/>
  <c r="K56" i="41"/>
  <c r="L56" i="41" s="1"/>
  <c r="I56" i="41"/>
  <c r="K55" i="41"/>
  <c r="L55" i="41" s="1"/>
  <c r="I55" i="41"/>
  <c r="J54" i="41"/>
  <c r="H54" i="41"/>
  <c r="F54" i="41"/>
  <c r="E54" i="41"/>
  <c r="K53" i="41"/>
  <c r="K52" i="41"/>
  <c r="K51" i="41"/>
  <c r="K50" i="41"/>
  <c r="K49" i="41"/>
  <c r="K48" i="41"/>
  <c r="L48" i="41" s="1"/>
  <c r="I48" i="41"/>
  <c r="K47" i="41"/>
  <c r="L47" i="41" s="1"/>
  <c r="I47" i="41"/>
  <c r="K46" i="41"/>
  <c r="L46" i="41" s="1"/>
  <c r="I46" i="41"/>
  <c r="J45" i="41"/>
  <c r="J44" i="41" s="1"/>
  <c r="H45" i="41"/>
  <c r="H44" i="41" s="1"/>
  <c r="F45" i="41"/>
  <c r="F44" i="41" s="1"/>
  <c r="E45" i="41"/>
  <c r="E44" i="41" s="1"/>
  <c r="K35" i="41"/>
  <c r="J35" i="41"/>
  <c r="H35" i="41"/>
  <c r="F35" i="41"/>
  <c r="E35" i="41"/>
  <c r="K31" i="41"/>
  <c r="K30" i="41"/>
  <c r="K29" i="41"/>
  <c r="L29" i="41" s="1"/>
  <c r="I29" i="41"/>
  <c r="J28" i="41"/>
  <c r="H28" i="41"/>
  <c r="F28" i="41"/>
  <c r="E28" i="41"/>
  <c r="K27" i="41"/>
  <c r="K26" i="41"/>
  <c r="K25" i="41"/>
  <c r="L25" i="41" s="1"/>
  <c r="I25" i="41"/>
  <c r="J24" i="41"/>
  <c r="H24" i="41"/>
  <c r="F24" i="41"/>
  <c r="F23" i="41" s="1"/>
  <c r="E24" i="41"/>
  <c r="E23" i="41" s="1"/>
  <c r="K18" i="41"/>
  <c r="J17" i="41"/>
  <c r="K17" i="41" s="1"/>
  <c r="L17" i="41" s="1"/>
  <c r="I17" i="41"/>
  <c r="K16" i="41"/>
  <c r="H15" i="41"/>
  <c r="F15" i="41"/>
  <c r="E15" i="41"/>
  <c r="K14" i="41"/>
  <c r="L14" i="41" s="1"/>
  <c r="I14" i="41"/>
  <c r="K13" i="41"/>
  <c r="L13" i="41" s="1"/>
  <c r="I13" i="41"/>
  <c r="J12" i="41"/>
  <c r="J10" i="41" s="1"/>
  <c r="H12" i="41"/>
  <c r="F12" i="41"/>
  <c r="F10" i="41" s="1"/>
  <c r="E12" i="41"/>
  <c r="E10" i="41" s="1"/>
  <c r="K170" i="40"/>
  <c r="J170" i="40"/>
  <c r="H170" i="40"/>
  <c r="G170" i="40"/>
  <c r="F170" i="40"/>
  <c r="E170" i="40"/>
  <c r="K164" i="40"/>
  <c r="L164" i="40" s="1"/>
  <c r="I164" i="40"/>
  <c r="K163" i="40"/>
  <c r="I163" i="40"/>
  <c r="J162" i="40"/>
  <c r="J160" i="40" s="1"/>
  <c r="J159" i="40" s="1"/>
  <c r="H162" i="40"/>
  <c r="G162" i="40"/>
  <c r="G160" i="40" s="1"/>
  <c r="G159" i="40" s="1"/>
  <c r="F162" i="40"/>
  <c r="F160" i="40" s="1"/>
  <c r="F159" i="40" s="1"/>
  <c r="E162" i="40"/>
  <c r="E160" i="40" s="1"/>
  <c r="E159" i="40" s="1"/>
  <c r="K161" i="40"/>
  <c r="L161" i="40" s="1"/>
  <c r="I161" i="40"/>
  <c r="K152" i="40"/>
  <c r="J152" i="40"/>
  <c r="H152" i="40"/>
  <c r="G152" i="40"/>
  <c r="F152" i="40"/>
  <c r="E152" i="40"/>
  <c r="K147" i="40"/>
  <c r="K143" i="40" s="1"/>
  <c r="G146" i="40"/>
  <c r="J143" i="40"/>
  <c r="H143" i="40"/>
  <c r="G143" i="40"/>
  <c r="F143" i="40"/>
  <c r="E143" i="40"/>
  <c r="K136" i="40"/>
  <c r="J136" i="40"/>
  <c r="H136" i="40"/>
  <c r="G136" i="40"/>
  <c r="F136" i="40"/>
  <c r="E136" i="40"/>
  <c r="K131" i="40"/>
  <c r="K127" i="40" s="1"/>
  <c r="G130" i="40"/>
  <c r="J127" i="40"/>
  <c r="H127" i="40"/>
  <c r="G127" i="40"/>
  <c r="F127" i="40"/>
  <c r="E127" i="40"/>
  <c r="K120" i="40"/>
  <c r="J120" i="40"/>
  <c r="H120" i="40"/>
  <c r="G120" i="40"/>
  <c r="F120" i="40"/>
  <c r="E120" i="40"/>
  <c r="K116" i="40"/>
  <c r="I116" i="40"/>
  <c r="K114" i="40"/>
  <c r="L114" i="40" s="1"/>
  <c r="I114" i="40"/>
  <c r="K113" i="40"/>
  <c r="L113" i="40" s="1"/>
  <c r="I113" i="40"/>
  <c r="K112" i="40"/>
  <c r="L112" i="40" s="1"/>
  <c r="I112" i="40"/>
  <c r="K111" i="40"/>
  <c r="L111" i="40" s="1"/>
  <c r="I111" i="40"/>
  <c r="K110" i="40"/>
  <c r="I110" i="40"/>
  <c r="J109" i="40"/>
  <c r="H109" i="40"/>
  <c r="G109" i="40"/>
  <c r="G107" i="40" s="1"/>
  <c r="G106" i="40" s="1"/>
  <c r="F109" i="40"/>
  <c r="E109" i="40"/>
  <c r="E107" i="40" s="1"/>
  <c r="E106" i="40" s="1"/>
  <c r="K100" i="40"/>
  <c r="J100" i="40"/>
  <c r="H100" i="40"/>
  <c r="G100" i="40"/>
  <c r="F100" i="40"/>
  <c r="E100" i="40"/>
  <c r="K96" i="40"/>
  <c r="L96" i="40" s="1"/>
  <c r="I96" i="40"/>
  <c r="K94" i="40"/>
  <c r="L94" i="40" s="1"/>
  <c r="I94" i="40"/>
  <c r="K93" i="40"/>
  <c r="L93" i="40" s="1"/>
  <c r="I93" i="40"/>
  <c r="K92" i="40"/>
  <c r="L92" i="40" s="1"/>
  <c r="I92" i="40"/>
  <c r="K91" i="40"/>
  <c r="L91" i="40" s="1"/>
  <c r="I91" i="40"/>
  <c r="K90" i="40"/>
  <c r="L90" i="40" s="1"/>
  <c r="I90" i="40"/>
  <c r="K89" i="40"/>
  <c r="I89" i="40"/>
  <c r="J88" i="40"/>
  <c r="H88" i="40"/>
  <c r="G88" i="40"/>
  <c r="F88" i="40"/>
  <c r="E88" i="40"/>
  <c r="K87" i="40"/>
  <c r="L87" i="40" s="1"/>
  <c r="I87" i="40"/>
  <c r="K86" i="40"/>
  <c r="L86" i="40" s="1"/>
  <c r="I86" i="40"/>
  <c r="K85" i="40"/>
  <c r="L85" i="40" s="1"/>
  <c r="I85" i="40"/>
  <c r="K84" i="40"/>
  <c r="L84" i="40" s="1"/>
  <c r="I84" i="40"/>
  <c r="J83" i="40"/>
  <c r="H83" i="40"/>
  <c r="G83" i="40"/>
  <c r="F83" i="40"/>
  <c r="E83" i="40"/>
  <c r="K75" i="40"/>
  <c r="J75" i="40"/>
  <c r="H75" i="40"/>
  <c r="G75" i="40"/>
  <c r="F75" i="40"/>
  <c r="E75" i="40"/>
  <c r="H66" i="40"/>
  <c r="H64" i="40" s="1"/>
  <c r="H63" i="40" s="1"/>
  <c r="G66" i="40"/>
  <c r="F66" i="40"/>
  <c r="F64" i="40" s="1"/>
  <c r="F63" i="40" s="1"/>
  <c r="E66" i="40"/>
  <c r="E64" i="40" s="1"/>
  <c r="E63" i="40" s="1"/>
  <c r="G65" i="40"/>
  <c r="K64" i="40"/>
  <c r="K63" i="40" s="1"/>
  <c r="J64" i="40"/>
  <c r="J63" i="40" s="1"/>
  <c r="K57" i="40"/>
  <c r="J57" i="40"/>
  <c r="H57" i="40"/>
  <c r="G57" i="40"/>
  <c r="F57" i="40"/>
  <c r="E57" i="40"/>
  <c r="K53" i="40"/>
  <c r="K52" i="40"/>
  <c r="L52" i="40" s="1"/>
  <c r="I52" i="40"/>
  <c r="K51" i="40"/>
  <c r="L51" i="40" s="1"/>
  <c r="I51" i="40"/>
  <c r="K50" i="40"/>
  <c r="L50" i="40" s="1"/>
  <c r="I50" i="40"/>
  <c r="K49" i="40"/>
  <c r="L49" i="40" s="1"/>
  <c r="I49" i="40"/>
  <c r="K48" i="40"/>
  <c r="I48" i="40"/>
  <c r="J47" i="40"/>
  <c r="H47" i="40"/>
  <c r="G47" i="40"/>
  <c r="F47" i="40"/>
  <c r="E47" i="40"/>
  <c r="K46" i="40"/>
  <c r="L46" i="40" s="1"/>
  <c r="I46" i="40"/>
  <c r="K45" i="40"/>
  <c r="L45" i="40" s="1"/>
  <c r="I45" i="40"/>
  <c r="K44" i="40"/>
  <c r="L44" i="40" s="1"/>
  <c r="I44" i="40"/>
  <c r="J43" i="40"/>
  <c r="H43" i="40"/>
  <c r="G43" i="40"/>
  <c r="F43" i="40"/>
  <c r="E43" i="40"/>
  <c r="K35" i="40"/>
  <c r="J35" i="40"/>
  <c r="H35" i="40"/>
  <c r="G35" i="40"/>
  <c r="F35" i="40"/>
  <c r="E35" i="40"/>
  <c r="G30" i="40"/>
  <c r="K29" i="40"/>
  <c r="L29" i="40" s="1"/>
  <c r="I29" i="40"/>
  <c r="K28" i="40"/>
  <c r="I28" i="40"/>
  <c r="J27" i="40"/>
  <c r="J25" i="40" s="1"/>
  <c r="J24" i="40" s="1"/>
  <c r="H27" i="40"/>
  <c r="F27" i="40"/>
  <c r="F25" i="40" s="1"/>
  <c r="F24" i="40" s="1"/>
  <c r="E27" i="40"/>
  <c r="E25" i="40" s="1"/>
  <c r="E24" i="40" s="1"/>
  <c r="G25" i="40"/>
  <c r="K21" i="40"/>
  <c r="K20" i="40"/>
  <c r="K19" i="40"/>
  <c r="K18" i="40"/>
  <c r="J17" i="40"/>
  <c r="H17" i="40"/>
  <c r="G17" i="40"/>
  <c r="F17" i="40"/>
  <c r="E17" i="40"/>
  <c r="K16" i="40"/>
  <c r="K15" i="40"/>
  <c r="K14" i="40"/>
  <c r="K13" i="40"/>
  <c r="K12" i="40"/>
  <c r="K11" i="40"/>
  <c r="K10" i="40"/>
  <c r="J9" i="40"/>
  <c r="J8" i="40" s="1"/>
  <c r="J7" i="40" s="1"/>
  <c r="J6" i="40" s="1"/>
  <c r="H9" i="40"/>
  <c r="H8" i="40" s="1"/>
  <c r="F9" i="40"/>
  <c r="F8" i="40" s="1"/>
  <c r="E9" i="40"/>
  <c r="E8" i="40" s="1"/>
  <c r="G8" i="40"/>
  <c r="G74" i="42" l="1"/>
  <c r="G73" i="42" s="1"/>
  <c r="E210" i="41"/>
  <c r="F39" i="42"/>
  <c r="H43" i="43"/>
  <c r="H42" i="43" s="1"/>
  <c r="F259" i="41"/>
  <c r="F258" i="41" s="1"/>
  <c r="F257" i="41" s="1"/>
  <c r="F9" i="41"/>
  <c r="F8" i="41" s="1"/>
  <c r="I12" i="41"/>
  <c r="F42" i="40"/>
  <c r="F41" i="40" s="1"/>
  <c r="F40" i="40" s="1"/>
  <c r="I54" i="41"/>
  <c r="H210" i="41"/>
  <c r="J6" i="42"/>
  <c r="J5" i="42" s="1"/>
  <c r="F95" i="42"/>
  <c r="F94" i="42" s="1"/>
  <c r="H112" i="42"/>
  <c r="H111" i="42" s="1"/>
  <c r="G129" i="42"/>
  <c r="G128" i="42" s="1"/>
  <c r="E43" i="43"/>
  <c r="E42" i="43" s="1"/>
  <c r="I43" i="40"/>
  <c r="K142" i="40"/>
  <c r="K141" i="40" s="1"/>
  <c r="K70" i="41"/>
  <c r="L70" i="41" s="1"/>
  <c r="H6" i="42"/>
  <c r="H5" i="42" s="1"/>
  <c r="G57" i="42"/>
  <c r="G56" i="42" s="1"/>
  <c r="H74" i="42"/>
  <c r="H73" i="42" s="1"/>
  <c r="I123" i="42"/>
  <c r="F165" i="42"/>
  <c r="F164" i="42" s="1"/>
  <c r="K165" i="42"/>
  <c r="K164" i="42" s="1"/>
  <c r="I169" i="42"/>
  <c r="L170" i="42"/>
  <c r="J82" i="40"/>
  <c r="J81" i="40" s="1"/>
  <c r="J80" i="40" s="1"/>
  <c r="K62" i="40"/>
  <c r="H23" i="42"/>
  <c r="H22" i="42" s="1"/>
  <c r="L142" i="42"/>
  <c r="J210" i="41"/>
  <c r="F6" i="42"/>
  <c r="F5" i="42" s="1"/>
  <c r="E7" i="40"/>
  <c r="E6" i="40" s="1"/>
  <c r="G158" i="40"/>
  <c r="G157" i="40" s="1"/>
  <c r="I15" i="41"/>
  <c r="E146" i="42"/>
  <c r="G73" i="43"/>
  <c r="G72" i="43" s="1"/>
  <c r="G71" i="43" s="1"/>
  <c r="J23" i="40"/>
  <c r="E62" i="40"/>
  <c r="J15" i="41"/>
  <c r="J9" i="41" s="1"/>
  <c r="E259" i="41"/>
  <c r="E258" i="41" s="1"/>
  <c r="E257" i="41" s="1"/>
  <c r="I267" i="41"/>
  <c r="I78" i="42"/>
  <c r="F146" i="42"/>
  <c r="G24" i="43"/>
  <c r="J158" i="40"/>
  <c r="J157" i="40" s="1"/>
  <c r="J150" i="41"/>
  <c r="I293" i="41"/>
  <c r="J39" i="42"/>
  <c r="E23" i="40"/>
  <c r="E105" i="40"/>
  <c r="J195" i="41"/>
  <c r="E6" i="42"/>
  <c r="E5" i="42" s="1"/>
  <c r="E74" i="42"/>
  <c r="H95" i="42"/>
  <c r="G165" i="42"/>
  <c r="G164" i="42" s="1"/>
  <c r="E183" i="42"/>
  <c r="E182" i="42" s="1"/>
  <c r="E181" i="42" s="1"/>
  <c r="J73" i="43"/>
  <c r="J72" i="43" s="1"/>
  <c r="J71" i="43" s="1"/>
  <c r="I103" i="43"/>
  <c r="L227" i="41"/>
  <c r="L243" i="41"/>
  <c r="K260" i="41"/>
  <c r="F74" i="42"/>
  <c r="E95" i="42"/>
  <c r="E94" i="42" s="1"/>
  <c r="J95" i="42"/>
  <c r="J94" i="42" s="1"/>
  <c r="G112" i="42"/>
  <c r="G111" i="42" s="1"/>
  <c r="F129" i="42"/>
  <c r="F128" i="42" s="1"/>
  <c r="H165" i="42"/>
  <c r="I165" i="42" s="1"/>
  <c r="K126" i="40"/>
  <c r="K125" i="40" s="1"/>
  <c r="G42" i="40"/>
  <c r="G41" i="40" s="1"/>
  <c r="G40" i="40" s="1"/>
  <c r="G105" i="40"/>
  <c r="H150" i="41"/>
  <c r="F195" i="41"/>
  <c r="F210" i="41"/>
  <c r="I227" i="41"/>
  <c r="L229" i="41"/>
  <c r="I243" i="41"/>
  <c r="F111" i="42"/>
  <c r="J43" i="43"/>
  <c r="J42" i="43" s="1"/>
  <c r="F6" i="43"/>
  <c r="I49" i="43"/>
  <c r="F126" i="43"/>
  <c r="J24" i="43"/>
  <c r="K10" i="43"/>
  <c r="L10" i="43" s="1"/>
  <c r="H24" i="43"/>
  <c r="J92" i="43"/>
  <c r="J91" i="43" s="1"/>
  <c r="F43" i="43"/>
  <c r="F42" i="43" s="1"/>
  <c r="E24" i="43"/>
  <c r="G43" i="43"/>
  <c r="G42" i="43" s="1"/>
  <c r="K120" i="43"/>
  <c r="K119" i="43" s="1"/>
  <c r="F24" i="43"/>
  <c r="K74" i="43"/>
  <c r="L74" i="43" s="1"/>
  <c r="G6" i="43"/>
  <c r="G5" i="43" s="1"/>
  <c r="F73" i="43"/>
  <c r="F72" i="43" s="1"/>
  <c r="F71" i="43" s="1"/>
  <c r="F91" i="43"/>
  <c r="K49" i="43"/>
  <c r="L49" i="43" s="1"/>
  <c r="L77" i="43"/>
  <c r="I98" i="43"/>
  <c r="K103" i="43"/>
  <c r="L103" i="43" s="1"/>
  <c r="E126" i="43"/>
  <c r="G91" i="43"/>
  <c r="K136" i="43"/>
  <c r="E6" i="43"/>
  <c r="H95" i="43"/>
  <c r="H93" i="43" s="1"/>
  <c r="H92" i="43" s="1"/>
  <c r="K128" i="43"/>
  <c r="K127" i="43" s="1"/>
  <c r="I78" i="43"/>
  <c r="E39" i="42"/>
  <c r="G39" i="42" s="1"/>
  <c r="L69" i="42"/>
  <c r="I151" i="42"/>
  <c r="H129" i="42"/>
  <c r="H128" i="42" s="1"/>
  <c r="G147" i="42"/>
  <c r="G146" i="42" s="1"/>
  <c r="E164" i="42"/>
  <c r="I61" i="42"/>
  <c r="E112" i="42"/>
  <c r="E111" i="42" s="1"/>
  <c r="F183" i="42"/>
  <c r="F182" i="42" s="1"/>
  <c r="F181" i="42" s="1"/>
  <c r="K44" i="42"/>
  <c r="K106" i="42"/>
  <c r="L106" i="42" s="1"/>
  <c r="F56" i="42"/>
  <c r="I99" i="42"/>
  <c r="I116" i="42"/>
  <c r="G23" i="42"/>
  <c r="I141" i="42"/>
  <c r="L51" i="42"/>
  <c r="E56" i="42"/>
  <c r="I57" i="42"/>
  <c r="H56" i="42"/>
  <c r="K124" i="42"/>
  <c r="K123" i="42" s="1"/>
  <c r="L169" i="42"/>
  <c r="K188" i="42"/>
  <c r="L188" i="42" s="1"/>
  <c r="K193" i="42"/>
  <c r="L193" i="42" s="1"/>
  <c r="K24" i="42"/>
  <c r="L24" i="42" s="1"/>
  <c r="I193" i="42"/>
  <c r="H159" i="42"/>
  <c r="I159" i="42" s="1"/>
  <c r="K28" i="42"/>
  <c r="L28" i="42" s="1"/>
  <c r="J78" i="42"/>
  <c r="J74" i="42" s="1"/>
  <c r="J112" i="42"/>
  <c r="J111" i="42" s="1"/>
  <c r="E129" i="42"/>
  <c r="E128" i="42" s="1"/>
  <c r="K133" i="42"/>
  <c r="K129" i="42" s="1"/>
  <c r="L141" i="42"/>
  <c r="K7" i="42"/>
  <c r="K6" i="42" s="1"/>
  <c r="K5" i="42" s="1"/>
  <c r="E23" i="42"/>
  <c r="E22" i="42" s="1"/>
  <c r="G22" i="42" s="1"/>
  <c r="I51" i="42"/>
  <c r="K89" i="42"/>
  <c r="L89" i="42" s="1"/>
  <c r="G94" i="42"/>
  <c r="F34" i="41"/>
  <c r="F150" i="41"/>
  <c r="J259" i="41"/>
  <c r="J258" i="41" s="1"/>
  <c r="J257" i="41" s="1"/>
  <c r="K15" i="41"/>
  <c r="L15" i="41" s="1"/>
  <c r="I44" i="41"/>
  <c r="L71" i="41"/>
  <c r="H242" i="41"/>
  <c r="H241" i="41" s="1"/>
  <c r="H240" i="41" s="1"/>
  <c r="I240" i="41" s="1"/>
  <c r="I314" i="41"/>
  <c r="E195" i="41"/>
  <c r="F138" i="41"/>
  <c r="I205" i="41"/>
  <c r="K267" i="41"/>
  <c r="K28" i="41"/>
  <c r="L28" i="41" s="1"/>
  <c r="I320" i="41"/>
  <c r="I86" i="41"/>
  <c r="J34" i="41"/>
  <c r="K54" i="41"/>
  <c r="L54" i="41" s="1"/>
  <c r="K104" i="41"/>
  <c r="L104" i="41" s="1"/>
  <c r="I138" i="41"/>
  <c r="E150" i="41"/>
  <c r="L191" i="41"/>
  <c r="L245" i="41"/>
  <c r="H292" i="41"/>
  <c r="I292" i="41" s="1"/>
  <c r="K306" i="41"/>
  <c r="K300" i="41" s="1"/>
  <c r="K125" i="41"/>
  <c r="K124" i="41" s="1"/>
  <c r="I160" i="41"/>
  <c r="I87" i="41"/>
  <c r="F104" i="41"/>
  <c r="F102" i="41" s="1"/>
  <c r="F101" i="41" s="1"/>
  <c r="F100" i="41" s="1"/>
  <c r="L127" i="41"/>
  <c r="K320" i="41"/>
  <c r="L320" i="41" s="1"/>
  <c r="E34" i="41"/>
  <c r="I70" i="41"/>
  <c r="J104" i="41"/>
  <c r="J102" i="41" s="1"/>
  <c r="J101" i="41" s="1"/>
  <c r="J100" i="41" s="1"/>
  <c r="K138" i="41"/>
  <c r="L138" i="41" s="1"/>
  <c r="K160" i="41"/>
  <c r="L160" i="41" s="1"/>
  <c r="K45" i="41"/>
  <c r="K44" i="41" s="1"/>
  <c r="L44" i="41" s="1"/>
  <c r="K293" i="41"/>
  <c r="K292" i="41" s="1"/>
  <c r="F7" i="40"/>
  <c r="F6" i="40" s="1"/>
  <c r="J62" i="40"/>
  <c r="G82" i="40"/>
  <c r="G81" i="40" s="1"/>
  <c r="G80" i="40" s="1"/>
  <c r="E42" i="40"/>
  <c r="E41" i="40" s="1"/>
  <c r="E40" i="40" s="1"/>
  <c r="K9" i="40"/>
  <c r="K8" i="40" s="1"/>
  <c r="E82" i="40"/>
  <c r="E81" i="40" s="1"/>
  <c r="E80" i="40" s="1"/>
  <c r="H142" i="40"/>
  <c r="H141" i="40" s="1"/>
  <c r="E142" i="40"/>
  <c r="E141" i="40" s="1"/>
  <c r="E158" i="40"/>
  <c r="E157" i="40" s="1"/>
  <c r="I47" i="40"/>
  <c r="G64" i="40"/>
  <c r="G63" i="40" s="1"/>
  <c r="G62" i="40" s="1"/>
  <c r="F82" i="40"/>
  <c r="F81" i="40" s="1"/>
  <c r="F80" i="40" s="1"/>
  <c r="J142" i="40"/>
  <c r="J141" i="40" s="1"/>
  <c r="J126" i="40"/>
  <c r="J125" i="40" s="1"/>
  <c r="K17" i="40"/>
  <c r="H7" i="40"/>
  <c r="H6" i="40" s="1"/>
  <c r="F23" i="40"/>
  <c r="F126" i="40"/>
  <c r="F125" i="40" s="1"/>
  <c r="F62" i="40"/>
  <c r="I88" i="40"/>
  <c r="H126" i="40"/>
  <c r="H125" i="40" s="1"/>
  <c r="E126" i="40"/>
  <c r="E125" i="40" s="1"/>
  <c r="F142" i="40"/>
  <c r="F141" i="40" s="1"/>
  <c r="G126" i="40"/>
  <c r="G125" i="40" s="1"/>
  <c r="G142" i="40"/>
  <c r="G141" i="40" s="1"/>
  <c r="K47" i="40"/>
  <c r="L47" i="40" s="1"/>
  <c r="L48" i="40"/>
  <c r="H62" i="40"/>
  <c r="I28" i="41"/>
  <c r="F158" i="40"/>
  <c r="F157" i="40" s="1"/>
  <c r="K12" i="41"/>
  <c r="H40" i="42"/>
  <c r="I44" i="42"/>
  <c r="L117" i="42"/>
  <c r="K116" i="42"/>
  <c r="K152" i="42"/>
  <c r="J151" i="42"/>
  <c r="J147" i="42" s="1"/>
  <c r="J146" i="42" s="1"/>
  <c r="K162" i="40"/>
  <c r="L163" i="40"/>
  <c r="F300" i="41"/>
  <c r="F299" i="41" s="1"/>
  <c r="G24" i="40"/>
  <c r="G23" i="40" s="1"/>
  <c r="I27" i="40"/>
  <c r="J42" i="40"/>
  <c r="J41" i="40" s="1"/>
  <c r="J40" i="40" s="1"/>
  <c r="I83" i="40"/>
  <c r="F107" i="40"/>
  <c r="F106" i="40" s="1"/>
  <c r="F105" i="40" s="1"/>
  <c r="K109" i="40"/>
  <c r="L110" i="40"/>
  <c r="H23" i="41"/>
  <c r="I23" i="41" s="1"/>
  <c r="I24" i="41"/>
  <c r="E124" i="41"/>
  <c r="I124" i="41" s="1"/>
  <c r="I125" i="41"/>
  <c r="L28" i="40"/>
  <c r="K27" i="40"/>
  <c r="H42" i="40"/>
  <c r="H25" i="40"/>
  <c r="K43" i="40"/>
  <c r="H160" i="40"/>
  <c r="I162" i="40"/>
  <c r="K88" i="40"/>
  <c r="L88" i="40" s="1"/>
  <c r="L89" i="40"/>
  <c r="K83" i="40"/>
  <c r="H107" i="40"/>
  <c r="I109" i="40"/>
  <c r="L116" i="40"/>
  <c r="K226" i="41"/>
  <c r="H82" i="40"/>
  <c r="E9" i="41"/>
  <c r="E8" i="41" s="1"/>
  <c r="H10" i="41"/>
  <c r="J23" i="41"/>
  <c r="I66" i="41"/>
  <c r="H65" i="41"/>
  <c r="I65" i="41" s="1"/>
  <c r="L190" i="41"/>
  <c r="H195" i="41"/>
  <c r="K205" i="41"/>
  <c r="L206" i="41"/>
  <c r="H8" i="43"/>
  <c r="I10" i="43"/>
  <c r="H34" i="41"/>
  <c r="L89" i="41"/>
  <c r="K87" i="41"/>
  <c r="J86" i="42"/>
  <c r="K87" i="42"/>
  <c r="I104" i="41"/>
  <c r="E102" i="41"/>
  <c r="E101" i="41" s="1"/>
  <c r="E180" i="41"/>
  <c r="L180" i="41" s="1"/>
  <c r="I190" i="41"/>
  <c r="E300" i="41"/>
  <c r="E299" i="41" s="1"/>
  <c r="I306" i="41"/>
  <c r="I147" i="42"/>
  <c r="J107" i="40"/>
  <c r="J106" i="40" s="1"/>
  <c r="J105" i="40" s="1"/>
  <c r="K24" i="41"/>
  <c r="I45" i="41"/>
  <c r="H313" i="41"/>
  <c r="I313" i="41" s="1"/>
  <c r="K314" i="41"/>
  <c r="K62" i="42"/>
  <c r="J61" i="42"/>
  <c r="J57" i="42" s="1"/>
  <c r="J56" i="42" s="1"/>
  <c r="K220" i="41"/>
  <c r="H259" i="41"/>
  <c r="J300" i="41"/>
  <c r="J299" i="41" s="1"/>
  <c r="J23" i="42"/>
  <c r="J22" i="42" s="1"/>
  <c r="L79" i="42"/>
  <c r="K78" i="42"/>
  <c r="J183" i="42"/>
  <c r="J182" i="42" s="1"/>
  <c r="J181" i="42" s="1"/>
  <c r="H85" i="41"/>
  <c r="I85" i="41" s="1"/>
  <c r="H101" i="41"/>
  <c r="H226" i="41"/>
  <c r="K242" i="41"/>
  <c r="K184" i="42"/>
  <c r="L68" i="42"/>
  <c r="F85" i="42"/>
  <c r="F73" i="42" s="1"/>
  <c r="L154" i="42"/>
  <c r="K160" i="42"/>
  <c r="I188" i="42"/>
  <c r="G188" i="42"/>
  <c r="G210" i="42"/>
  <c r="I260" i="41"/>
  <c r="F23" i="42"/>
  <c r="F22" i="42" s="1"/>
  <c r="I86" i="42"/>
  <c r="J129" i="42"/>
  <c r="J128" i="42" s="1"/>
  <c r="I133" i="42"/>
  <c r="J165" i="42"/>
  <c r="J164" i="42" s="1"/>
  <c r="H119" i="43"/>
  <c r="I120" i="43"/>
  <c r="J6" i="43"/>
  <c r="J5" i="43" s="1"/>
  <c r="I28" i="42"/>
  <c r="L52" i="42"/>
  <c r="E85" i="42"/>
  <c r="K99" i="42"/>
  <c r="L99" i="42" s="1"/>
  <c r="H183" i="42"/>
  <c r="K95" i="43"/>
  <c r="L95" i="43" s="1"/>
  <c r="E93" i="43"/>
  <c r="E92" i="43" s="1"/>
  <c r="I89" i="42"/>
  <c r="I184" i="42"/>
  <c r="I74" i="43"/>
  <c r="E73" i="43"/>
  <c r="E72" i="43" s="1"/>
  <c r="E71" i="43" s="1"/>
  <c r="H73" i="43"/>
  <c r="K78" i="43"/>
  <c r="E119" i="43"/>
  <c r="I43" i="43" l="1"/>
  <c r="L45" i="41"/>
  <c r="H164" i="42"/>
  <c r="K66" i="41"/>
  <c r="K65" i="41" s="1"/>
  <c r="L165" i="42"/>
  <c r="K259" i="41"/>
  <c r="K258" i="41" s="1"/>
  <c r="K257" i="41" s="1"/>
  <c r="E256" i="41"/>
  <c r="K7" i="40"/>
  <c r="K6" i="40" s="1"/>
  <c r="E22" i="40"/>
  <c r="E175" i="40" s="1"/>
  <c r="L164" i="42"/>
  <c r="I111" i="42"/>
  <c r="L125" i="41"/>
  <c r="I34" i="41"/>
  <c r="I195" i="41"/>
  <c r="I164" i="42"/>
  <c r="I74" i="42"/>
  <c r="E73" i="42"/>
  <c r="E21" i="42" s="1"/>
  <c r="E215" i="42" s="1"/>
  <c r="L300" i="41"/>
  <c r="I150" i="41"/>
  <c r="J8" i="41"/>
  <c r="J7" i="41" s="1"/>
  <c r="I95" i="42"/>
  <c r="I56" i="42"/>
  <c r="L133" i="42"/>
  <c r="H94" i="42"/>
  <c r="I94" i="42" s="1"/>
  <c r="L124" i="42"/>
  <c r="K150" i="41"/>
  <c r="L150" i="41" s="1"/>
  <c r="J41" i="43"/>
  <c r="K102" i="41"/>
  <c r="L102" i="41" s="1"/>
  <c r="F256" i="41"/>
  <c r="F5" i="43"/>
  <c r="I23" i="42"/>
  <c r="K126" i="43"/>
  <c r="G41" i="43"/>
  <c r="G141" i="43" s="1"/>
  <c r="L120" i="43"/>
  <c r="K73" i="43"/>
  <c r="L73" i="43" s="1"/>
  <c r="K8" i="43"/>
  <c r="K7" i="43" s="1"/>
  <c r="E5" i="43"/>
  <c r="I95" i="43"/>
  <c r="J141" i="43"/>
  <c r="K43" i="43"/>
  <c r="K42" i="43" s="1"/>
  <c r="L42" i="43" s="1"/>
  <c r="F41" i="43"/>
  <c r="K93" i="43"/>
  <c r="K92" i="43" s="1"/>
  <c r="K40" i="42"/>
  <c r="L44" i="42"/>
  <c r="H146" i="42"/>
  <c r="I146" i="42" s="1"/>
  <c r="I112" i="42"/>
  <c r="K183" i="42"/>
  <c r="K182" i="42" s="1"/>
  <c r="I129" i="42"/>
  <c r="I128" i="42"/>
  <c r="K23" i="42"/>
  <c r="I241" i="41"/>
  <c r="I242" i="41"/>
  <c r="K34" i="41"/>
  <c r="L34" i="41" s="1"/>
  <c r="F7" i="41"/>
  <c r="J256" i="41"/>
  <c r="I180" i="41"/>
  <c r="L66" i="41"/>
  <c r="L306" i="41"/>
  <c r="F22" i="40"/>
  <c r="F175" i="40" s="1"/>
  <c r="G22" i="40"/>
  <c r="G175" i="40" s="1"/>
  <c r="F21" i="42"/>
  <c r="F215" i="42" s="1"/>
  <c r="I85" i="42"/>
  <c r="K10" i="41"/>
  <c r="L12" i="41"/>
  <c r="K225" i="41"/>
  <c r="L226" i="41"/>
  <c r="K107" i="40"/>
  <c r="L109" i="40"/>
  <c r="L78" i="43"/>
  <c r="I42" i="43"/>
  <c r="G183" i="42"/>
  <c r="G182" i="42" s="1"/>
  <c r="G181" i="42" s="1"/>
  <c r="G21" i="42" s="1"/>
  <c r="G215" i="42" s="1"/>
  <c r="I259" i="41"/>
  <c r="H258" i="41"/>
  <c r="L129" i="42"/>
  <c r="K128" i="42"/>
  <c r="L128" i="42" s="1"/>
  <c r="L314" i="41"/>
  <c r="K313" i="41"/>
  <c r="I102" i="41"/>
  <c r="I93" i="43"/>
  <c r="J85" i="42"/>
  <c r="J73" i="42" s="1"/>
  <c r="J21" i="42" s="1"/>
  <c r="J215" i="42" s="1"/>
  <c r="H106" i="40"/>
  <c r="I107" i="40"/>
  <c r="I300" i="41"/>
  <c r="I25" i="40"/>
  <c r="H24" i="40"/>
  <c r="L162" i="40"/>
  <c r="K160" i="40"/>
  <c r="I40" i="42"/>
  <c r="H39" i="42"/>
  <c r="I39" i="42" s="1"/>
  <c r="I8" i="43"/>
  <c r="H7" i="43"/>
  <c r="H81" i="40"/>
  <c r="I82" i="40"/>
  <c r="H159" i="40"/>
  <c r="I160" i="40"/>
  <c r="I22" i="42"/>
  <c r="K86" i="42"/>
  <c r="L87" i="42"/>
  <c r="L205" i="41"/>
  <c r="K195" i="41"/>
  <c r="L195" i="41" s="1"/>
  <c r="K95" i="42"/>
  <c r="L220" i="41"/>
  <c r="K210" i="41"/>
  <c r="L210" i="41" s="1"/>
  <c r="E100" i="41"/>
  <c r="E7" i="41" s="1"/>
  <c r="L87" i="41"/>
  <c r="K86" i="41"/>
  <c r="H299" i="41"/>
  <c r="L123" i="42"/>
  <c r="I119" i="43"/>
  <c r="H91" i="43"/>
  <c r="L27" i="40"/>
  <c r="K25" i="40"/>
  <c r="E91" i="43"/>
  <c r="E41" i="43" s="1"/>
  <c r="L184" i="42"/>
  <c r="I101" i="41"/>
  <c r="H100" i="41"/>
  <c r="L43" i="40"/>
  <c r="K42" i="40"/>
  <c r="H72" i="43"/>
  <c r="I73" i="43"/>
  <c r="I92" i="43"/>
  <c r="I183" i="42"/>
  <c r="H182" i="42"/>
  <c r="K74" i="42"/>
  <c r="L78" i="42"/>
  <c r="L24" i="41"/>
  <c r="K23" i="41"/>
  <c r="L23" i="41" s="1"/>
  <c r="H9" i="41"/>
  <c r="I10" i="41"/>
  <c r="L83" i="40"/>
  <c r="K82" i="40"/>
  <c r="L152" i="42"/>
  <c r="K151" i="42"/>
  <c r="I226" i="41"/>
  <c r="H225" i="41"/>
  <c r="I225" i="41" s="1"/>
  <c r="L62" i="42"/>
  <c r="K61" i="42"/>
  <c r="J22" i="40"/>
  <c r="J175" i="40" s="1"/>
  <c r="L160" i="42"/>
  <c r="K159" i="42"/>
  <c r="L119" i="43"/>
  <c r="L242" i="41"/>
  <c r="K241" i="41"/>
  <c r="H41" i="40"/>
  <c r="I42" i="40"/>
  <c r="L116" i="42"/>
  <c r="K112" i="42"/>
  <c r="L124" i="41"/>
  <c r="E328" i="41" l="1"/>
  <c r="K101" i="41"/>
  <c r="L101" i="41" s="1"/>
  <c r="I73" i="42"/>
  <c r="F141" i="43"/>
  <c r="L183" i="42"/>
  <c r="E141" i="43"/>
  <c r="J328" i="41"/>
  <c r="F328" i="41"/>
  <c r="L8" i="43"/>
  <c r="K72" i="43"/>
  <c r="L72" i="43" s="1"/>
  <c r="I91" i="43"/>
  <c r="L93" i="43"/>
  <c r="L43" i="43"/>
  <c r="L40" i="42"/>
  <c r="K39" i="42"/>
  <c r="L39" i="42" s="1"/>
  <c r="K22" i="42"/>
  <c r="L22" i="42" s="1"/>
  <c r="L23" i="42"/>
  <c r="L65" i="41"/>
  <c r="K6" i="43"/>
  <c r="L7" i="43"/>
  <c r="I159" i="40"/>
  <c r="H158" i="40"/>
  <c r="K91" i="43"/>
  <c r="L91" i="43" s="1"/>
  <c r="L92" i="43"/>
  <c r="I9" i="41"/>
  <c r="H8" i="41"/>
  <c r="I182" i="42"/>
  <c r="H181" i="42"/>
  <c r="I181" i="42" s="1"/>
  <c r="I299" i="41"/>
  <c r="L86" i="42"/>
  <c r="K85" i="42"/>
  <c r="K73" i="42" s="1"/>
  <c r="L73" i="42" s="1"/>
  <c r="I258" i="41"/>
  <c r="H257" i="41"/>
  <c r="I257" i="41" s="1"/>
  <c r="L61" i="42"/>
  <c r="K57" i="42"/>
  <c r="H71" i="43"/>
  <c r="I72" i="43"/>
  <c r="L10" i="41"/>
  <c r="K9" i="41"/>
  <c r="L107" i="40"/>
  <c r="K106" i="40"/>
  <c r="L42" i="40"/>
  <c r="K41" i="40"/>
  <c r="H80" i="40"/>
  <c r="I80" i="40" s="1"/>
  <c r="I81" i="40"/>
  <c r="L313" i="41"/>
  <c r="K299" i="41"/>
  <c r="L225" i="41"/>
  <c r="I24" i="40"/>
  <c r="H23" i="40"/>
  <c r="H40" i="40"/>
  <c r="I40" i="40" s="1"/>
  <c r="I41" i="40"/>
  <c r="L241" i="41"/>
  <c r="K240" i="41"/>
  <c r="L240" i="41" s="1"/>
  <c r="K111" i="42"/>
  <c r="L111" i="42" s="1"/>
  <c r="L112" i="42"/>
  <c r="L151" i="42"/>
  <c r="K147" i="42"/>
  <c r="L82" i="40"/>
  <c r="K81" i="40"/>
  <c r="L25" i="40"/>
  <c r="K24" i="40"/>
  <c r="K94" i="42"/>
  <c r="L94" i="42" s="1"/>
  <c r="L95" i="42"/>
  <c r="I7" i="43"/>
  <c r="H6" i="43"/>
  <c r="L160" i="40"/>
  <c r="K159" i="40"/>
  <c r="H105" i="40"/>
  <c r="I105" i="40" s="1"/>
  <c r="I106" i="40"/>
  <c r="L182" i="42"/>
  <c r="K181" i="42"/>
  <c r="L181" i="42" s="1"/>
  <c r="L159" i="42"/>
  <c r="L74" i="42"/>
  <c r="I100" i="41"/>
  <c r="L86" i="41"/>
  <c r="K85" i="41"/>
  <c r="L85" i="41" s="1"/>
  <c r="K100" i="41" l="1"/>
  <c r="L100" i="41" s="1"/>
  <c r="K71" i="43"/>
  <c r="K41" i="43" s="1"/>
  <c r="L41" i="43" s="1"/>
  <c r="I71" i="43"/>
  <c r="H41" i="43"/>
  <c r="I41" i="43" s="1"/>
  <c r="H5" i="43"/>
  <c r="I6" i="43"/>
  <c r="K56" i="42"/>
  <c r="L57" i="42"/>
  <c r="L85" i="42"/>
  <c r="L6" i="43"/>
  <c r="K5" i="43"/>
  <c r="I23" i="40"/>
  <c r="H22" i="40"/>
  <c r="L147" i="42"/>
  <c r="K146" i="42"/>
  <c r="L146" i="42" s="1"/>
  <c r="K23" i="40"/>
  <c r="L24" i="40"/>
  <c r="L41" i="40"/>
  <c r="K40" i="40"/>
  <c r="L40" i="40" s="1"/>
  <c r="K256" i="41"/>
  <c r="L299" i="41"/>
  <c r="L106" i="40"/>
  <c r="K105" i="40"/>
  <c r="L105" i="40" s="1"/>
  <c r="K8" i="41"/>
  <c r="L9" i="41"/>
  <c r="I8" i="41"/>
  <c r="H7" i="41"/>
  <c r="I7" i="41" s="1"/>
  <c r="K158" i="40"/>
  <c r="L159" i="40"/>
  <c r="H21" i="42"/>
  <c r="L81" i="40"/>
  <c r="K80" i="40"/>
  <c r="L80" i="40" s="1"/>
  <c r="H256" i="41"/>
  <c r="H157" i="40"/>
  <c r="I157" i="40" s="1"/>
  <c r="I158" i="40"/>
  <c r="L71" i="43" l="1"/>
  <c r="H328" i="41"/>
  <c r="I256" i="41"/>
  <c r="L56" i="42"/>
  <c r="K21" i="42"/>
  <c r="K141" i="43"/>
  <c r="L5" i="43"/>
  <c r="L256" i="41"/>
  <c r="L158" i="40"/>
  <c r="K157" i="40"/>
  <c r="L157" i="40" s="1"/>
  <c r="K7" i="41"/>
  <c r="L7" i="41" s="1"/>
  <c r="L8" i="41"/>
  <c r="K22" i="40"/>
  <c r="L23" i="40"/>
  <c r="H215" i="42"/>
  <c r="I21" i="42"/>
  <c r="H175" i="40"/>
  <c r="I22" i="40"/>
  <c r="I5" i="43"/>
  <c r="H141" i="43"/>
  <c r="K175" i="40" l="1"/>
  <c r="L22" i="40"/>
  <c r="I141" i="43"/>
  <c r="L21" i="42"/>
  <c r="K215" i="42"/>
  <c r="I328" i="41"/>
  <c r="L141" i="43"/>
  <c r="I215" i="42"/>
  <c r="I175" i="40"/>
  <c r="K328" i="41"/>
  <c r="L215" i="42" l="1"/>
  <c r="L175" i="40"/>
  <c r="L328" i="41"/>
  <c r="K609" i="39" l="1"/>
  <c r="H609" i="39"/>
  <c r="F609" i="39"/>
  <c r="E609" i="39"/>
  <c r="H604" i="39"/>
  <c r="H602" i="39" s="1"/>
  <c r="K603" i="39"/>
  <c r="L603" i="39" s="1"/>
  <c r="I603" i="39"/>
  <c r="G603" i="39"/>
  <c r="G602" i="39" s="1"/>
  <c r="F602" i="39"/>
  <c r="E602" i="39"/>
  <c r="K601" i="39"/>
  <c r="K599" i="39" s="1"/>
  <c r="I601" i="39"/>
  <c r="G601" i="39"/>
  <c r="G599" i="39" s="1"/>
  <c r="G598" i="39" s="1"/>
  <c r="J599" i="39"/>
  <c r="J598" i="39" s="1"/>
  <c r="J597" i="39" s="1"/>
  <c r="H599" i="39"/>
  <c r="F599" i="39"/>
  <c r="E599" i="39"/>
  <c r="K592" i="39"/>
  <c r="H592" i="39"/>
  <c r="F592" i="39"/>
  <c r="E592" i="39"/>
  <c r="K588" i="39"/>
  <c r="L588" i="39" s="1"/>
  <c r="I588" i="39"/>
  <c r="K586" i="39"/>
  <c r="L586" i="39" s="1"/>
  <c r="I586" i="39"/>
  <c r="K585" i="39"/>
  <c r="L585" i="39" s="1"/>
  <c r="I585" i="39"/>
  <c r="K584" i="39"/>
  <c r="L584" i="39" s="1"/>
  <c r="I584" i="39"/>
  <c r="K583" i="39"/>
  <c r="L583" i="39" s="1"/>
  <c r="I583" i="39"/>
  <c r="K582" i="39"/>
  <c r="L582" i="39" s="1"/>
  <c r="K581" i="39"/>
  <c r="L581" i="39" s="1"/>
  <c r="I581" i="39"/>
  <c r="K580" i="39"/>
  <c r="L580" i="39" s="1"/>
  <c r="I580" i="39"/>
  <c r="K579" i="39"/>
  <c r="L579" i="39" s="1"/>
  <c r="I579" i="39"/>
  <c r="K578" i="39"/>
  <c r="L578" i="39" s="1"/>
  <c r="I578" i="39"/>
  <c r="K577" i="39"/>
  <c r="L577" i="39" s="1"/>
  <c r="I577" i="39"/>
  <c r="K576" i="39"/>
  <c r="L576" i="39" s="1"/>
  <c r="I576" i="39"/>
  <c r="K575" i="39"/>
  <c r="L575" i="39" s="1"/>
  <c r="K574" i="39"/>
  <c r="L574" i="39" s="1"/>
  <c r="I574" i="39"/>
  <c r="K573" i="39"/>
  <c r="L573" i="39" s="1"/>
  <c r="I573" i="39"/>
  <c r="K572" i="39"/>
  <c r="I572" i="39"/>
  <c r="H571" i="39"/>
  <c r="F571" i="39"/>
  <c r="E571" i="39"/>
  <c r="K570" i="39"/>
  <c r="L570" i="39" s="1"/>
  <c r="I570" i="39"/>
  <c r="H569" i="39"/>
  <c r="K568" i="39"/>
  <c r="L568" i="39" s="1"/>
  <c r="I568" i="39"/>
  <c r="K567" i="39"/>
  <c r="L567" i="39" s="1"/>
  <c r="I567" i="39"/>
  <c r="K566" i="39"/>
  <c r="L566" i="39" s="1"/>
  <c r="I566" i="39"/>
  <c r="K565" i="39"/>
  <c r="L565" i="39" s="1"/>
  <c r="I565" i="39"/>
  <c r="J564" i="39"/>
  <c r="J563" i="39" s="1"/>
  <c r="G564" i="39"/>
  <c r="F564" i="39"/>
  <c r="E564" i="39"/>
  <c r="H558" i="39"/>
  <c r="H554" i="39" s="1"/>
  <c r="H557" i="39"/>
  <c r="H553" i="39" s="1"/>
  <c r="H556" i="39"/>
  <c r="K556" i="39" s="1"/>
  <c r="K552" i="39" s="1"/>
  <c r="J555" i="39"/>
  <c r="J551" i="39" s="1"/>
  <c r="J550" i="39" s="1"/>
  <c r="E555" i="39"/>
  <c r="G551" i="39"/>
  <c r="G550" i="39" s="1"/>
  <c r="F551" i="39"/>
  <c r="F550" i="39" s="1"/>
  <c r="E551" i="39"/>
  <c r="E550" i="39" s="1"/>
  <c r="H547" i="39"/>
  <c r="K547" i="39" s="1"/>
  <c r="H546" i="39"/>
  <c r="K546" i="39" s="1"/>
  <c r="H545" i="39"/>
  <c r="K545" i="39" s="1"/>
  <c r="H544" i="39"/>
  <c r="K544" i="39" s="1"/>
  <c r="H543" i="39"/>
  <c r="K543" i="39" s="1"/>
  <c r="H542" i="39"/>
  <c r="K542" i="39" s="1"/>
  <c r="H541" i="39"/>
  <c r="K541" i="39" s="1"/>
  <c r="H540" i="39"/>
  <c r="K540" i="39" s="1"/>
  <c r="H539" i="39"/>
  <c r="K539" i="39" s="1"/>
  <c r="H538" i="39"/>
  <c r="K538" i="39" s="1"/>
  <c r="H537" i="39"/>
  <c r="K537" i="39" s="1"/>
  <c r="H536" i="39"/>
  <c r="K536" i="39" s="1"/>
  <c r="H535" i="39"/>
  <c r="K535" i="39" s="1"/>
  <c r="H534" i="39"/>
  <c r="K534" i="39" s="1"/>
  <c r="H533" i="39"/>
  <c r="K533" i="39" s="1"/>
  <c r="H532" i="39"/>
  <c r="K532" i="39" s="1"/>
  <c r="J531" i="39"/>
  <c r="G531" i="39"/>
  <c r="F531" i="39"/>
  <c r="E531" i="39"/>
  <c r="K526" i="39"/>
  <c r="J526" i="39"/>
  <c r="I526" i="39"/>
  <c r="H526" i="39"/>
  <c r="G526" i="39"/>
  <c r="F526" i="39"/>
  <c r="E526" i="39"/>
  <c r="J519" i="39"/>
  <c r="H519" i="39"/>
  <c r="F519" i="39"/>
  <c r="E519" i="39"/>
  <c r="H516" i="39"/>
  <c r="K516" i="39" s="1"/>
  <c r="H515" i="39"/>
  <c r="K515" i="39" s="1"/>
  <c r="K512" i="39"/>
  <c r="L512" i="39" s="1"/>
  <c r="I512" i="39"/>
  <c r="J508" i="39"/>
  <c r="H508" i="39"/>
  <c r="F508" i="39"/>
  <c r="E508" i="39"/>
  <c r="K502" i="39"/>
  <c r="J502" i="39"/>
  <c r="H502" i="39"/>
  <c r="F502" i="39"/>
  <c r="E502" i="39"/>
  <c r="K496" i="39"/>
  <c r="L496" i="39" s="1"/>
  <c r="I496" i="39"/>
  <c r="K495" i="39"/>
  <c r="L495" i="39" s="1"/>
  <c r="I495" i="39"/>
  <c r="J494" i="39"/>
  <c r="J492" i="39" s="1"/>
  <c r="J491" i="39" s="1"/>
  <c r="H494" i="39"/>
  <c r="H492" i="39" s="1"/>
  <c r="G494" i="39"/>
  <c r="G492" i="39" s="1"/>
  <c r="F494" i="39"/>
  <c r="F492" i="39" s="1"/>
  <c r="F491" i="39" s="1"/>
  <c r="E494" i="39"/>
  <c r="E492" i="39" s="1"/>
  <c r="E491" i="39" s="1"/>
  <c r="K484" i="39"/>
  <c r="J484" i="39"/>
  <c r="H484" i="39"/>
  <c r="F484" i="39"/>
  <c r="E484" i="39"/>
  <c r="I481" i="39"/>
  <c r="I480" i="39"/>
  <c r="I479" i="39"/>
  <c r="I478" i="39"/>
  <c r="H477" i="39"/>
  <c r="I477" i="39" s="1"/>
  <c r="H476" i="39"/>
  <c r="K476" i="39" s="1"/>
  <c r="H475" i="39"/>
  <c r="K475" i="39" s="1"/>
  <c r="H474" i="39"/>
  <c r="I473" i="39"/>
  <c r="I472" i="39"/>
  <c r="I471" i="39"/>
  <c r="I470" i="39"/>
  <c r="I469" i="39"/>
  <c r="I468" i="39"/>
  <c r="I467" i="39"/>
  <c r="I466" i="39"/>
  <c r="J465" i="39"/>
  <c r="J459" i="39" s="1"/>
  <c r="G465" i="39"/>
  <c r="F465" i="39"/>
  <c r="F459" i="39" s="1"/>
  <c r="E465" i="39"/>
  <c r="E459" i="39" s="1"/>
  <c r="K453" i="39"/>
  <c r="H453" i="39"/>
  <c r="F453" i="39"/>
  <c r="E453" i="39"/>
  <c r="K448" i="39"/>
  <c r="L448" i="39" s="1"/>
  <c r="I448" i="39"/>
  <c r="K447" i="39"/>
  <c r="I447" i="39"/>
  <c r="K446" i="39"/>
  <c r="L446" i="39" s="1"/>
  <c r="I446" i="39"/>
  <c r="J445" i="39"/>
  <c r="J441" i="39" s="1"/>
  <c r="H445" i="39"/>
  <c r="H441" i="39" s="1"/>
  <c r="G445" i="39"/>
  <c r="F445" i="39"/>
  <c r="F441" i="39" s="1"/>
  <c r="E445" i="39"/>
  <c r="E441" i="39" s="1"/>
  <c r="H436" i="39"/>
  <c r="K436" i="39" s="1"/>
  <c r="H435" i="39"/>
  <c r="K435" i="39" s="1"/>
  <c r="H434" i="39"/>
  <c r="K434" i="39" s="1"/>
  <c r="H433" i="39"/>
  <c r="K433" i="39" s="1"/>
  <c r="G432" i="39"/>
  <c r="H431" i="39"/>
  <c r="K431" i="39" s="1"/>
  <c r="H430" i="39"/>
  <c r="H429" i="39"/>
  <c r="K429" i="39" s="1"/>
  <c r="H428" i="39"/>
  <c r="K428" i="39" s="1"/>
  <c r="K426" i="39"/>
  <c r="H426" i="39"/>
  <c r="F426" i="39"/>
  <c r="E426" i="39"/>
  <c r="K423" i="39"/>
  <c r="L423" i="39" s="1"/>
  <c r="I423" i="39"/>
  <c r="K422" i="39"/>
  <c r="L422" i="39" s="1"/>
  <c r="I422" i="39"/>
  <c r="H421" i="39"/>
  <c r="K421" i="39" s="1"/>
  <c r="L421" i="39" s="1"/>
  <c r="H420" i="39"/>
  <c r="I420" i="39" s="1"/>
  <c r="K419" i="39"/>
  <c r="L419" i="39" s="1"/>
  <c r="I419" i="39"/>
  <c r="H418" i="39"/>
  <c r="K418" i="39" s="1"/>
  <c r="L418" i="39" s="1"/>
  <c r="H417" i="39"/>
  <c r="I417" i="39" s="1"/>
  <c r="H416" i="39"/>
  <c r="H415" i="39"/>
  <c r="K415" i="39" s="1"/>
  <c r="L415" i="39" s="1"/>
  <c r="K414" i="39"/>
  <c r="L414" i="39" s="1"/>
  <c r="I414" i="39"/>
  <c r="K413" i="39"/>
  <c r="L413" i="39" s="1"/>
  <c r="I413" i="39"/>
  <c r="H412" i="39"/>
  <c r="K412" i="39" s="1"/>
  <c r="H411" i="39"/>
  <c r="K411" i="39" s="1"/>
  <c r="H410" i="39"/>
  <c r="K410" i="39" s="1"/>
  <c r="K409" i="39"/>
  <c r="L409" i="39" s="1"/>
  <c r="I409" i="39"/>
  <c r="H408" i="39"/>
  <c r="K408" i="39" s="1"/>
  <c r="L408" i="39" s="1"/>
  <c r="H407" i="39"/>
  <c r="K406" i="39"/>
  <c r="L406" i="39" s="1"/>
  <c r="I406" i="39"/>
  <c r="K405" i="39"/>
  <c r="L405" i="39" s="1"/>
  <c r="I405" i="39"/>
  <c r="K404" i="39"/>
  <c r="L404" i="39" s="1"/>
  <c r="I404" i="39"/>
  <c r="H403" i="39"/>
  <c r="K403" i="39" s="1"/>
  <c r="L403" i="39" s="1"/>
  <c r="K402" i="39"/>
  <c r="L402" i="39" s="1"/>
  <c r="I402" i="39"/>
  <c r="K401" i="39"/>
  <c r="L401" i="39" s="1"/>
  <c r="H400" i="39"/>
  <c r="K400" i="39" s="1"/>
  <c r="L400" i="39" s="1"/>
  <c r="H399" i="39"/>
  <c r="K399" i="39" s="1"/>
  <c r="L399" i="39" s="1"/>
  <c r="H398" i="39"/>
  <c r="H397" i="39"/>
  <c r="K397" i="39" s="1"/>
  <c r="L397" i="39" s="1"/>
  <c r="H396" i="39"/>
  <c r="K396" i="39" s="1"/>
  <c r="L396" i="39" s="1"/>
  <c r="H395" i="39"/>
  <c r="K394" i="39"/>
  <c r="L394" i="39" s="1"/>
  <c r="I394" i="39"/>
  <c r="H393" i="39"/>
  <c r="K393" i="39" s="1"/>
  <c r="L393" i="39" s="1"/>
  <c r="K392" i="39"/>
  <c r="L392" i="39" s="1"/>
  <c r="I392" i="39"/>
  <c r="K391" i="39"/>
  <c r="L391" i="39" s="1"/>
  <c r="K390" i="39"/>
  <c r="L390" i="39" s="1"/>
  <c r="I390" i="39"/>
  <c r="K389" i="39"/>
  <c r="L389" i="39" s="1"/>
  <c r="I389" i="39"/>
  <c r="K388" i="39"/>
  <c r="L388" i="39" s="1"/>
  <c r="I388" i="39"/>
  <c r="H387" i="39"/>
  <c r="K386" i="39"/>
  <c r="L386" i="39" s="1"/>
  <c r="I386" i="39"/>
  <c r="K385" i="39"/>
  <c r="L385" i="39" s="1"/>
  <c r="I385" i="39"/>
  <c r="H384" i="39"/>
  <c r="I384" i="39" s="1"/>
  <c r="K383" i="39"/>
  <c r="L383" i="39" s="1"/>
  <c r="I383" i="39"/>
  <c r="K382" i="39"/>
  <c r="L382" i="39" s="1"/>
  <c r="I382" i="39"/>
  <c r="H381" i="39"/>
  <c r="K380" i="39"/>
  <c r="L380" i="39" s="1"/>
  <c r="I380" i="39"/>
  <c r="K379" i="39"/>
  <c r="L379" i="39" s="1"/>
  <c r="I379" i="39"/>
  <c r="H378" i="39"/>
  <c r="I378" i="39" s="1"/>
  <c r="K377" i="39"/>
  <c r="L377" i="39" s="1"/>
  <c r="I377" i="39"/>
  <c r="H376" i="39"/>
  <c r="K376" i="39" s="1"/>
  <c r="H375" i="39"/>
  <c r="K375" i="39" s="1"/>
  <c r="H374" i="39"/>
  <c r="I374" i="39" s="1"/>
  <c r="K373" i="39"/>
  <c r="L373" i="39" s="1"/>
  <c r="I373" i="39"/>
  <c r="K372" i="39"/>
  <c r="L372" i="39" s="1"/>
  <c r="I372" i="39"/>
  <c r="K371" i="39"/>
  <c r="L371" i="39" s="1"/>
  <c r="I371" i="39"/>
  <c r="H370" i="39"/>
  <c r="K370" i="39" s="1"/>
  <c r="L370" i="39" s="1"/>
  <c r="H369" i="39"/>
  <c r="K369" i="39" s="1"/>
  <c r="L369" i="39" s="1"/>
  <c r="J368" i="39"/>
  <c r="G368" i="39"/>
  <c r="F368" i="39"/>
  <c r="E368" i="39"/>
  <c r="K366" i="39"/>
  <c r="K365" i="39"/>
  <c r="K364" i="39"/>
  <c r="K363" i="39"/>
  <c r="K362" i="39"/>
  <c r="J361" i="39"/>
  <c r="J359" i="39" s="1"/>
  <c r="H361" i="39"/>
  <c r="H359" i="39" s="1"/>
  <c r="G361" i="39"/>
  <c r="G359" i="39" s="1"/>
  <c r="F361" i="39"/>
  <c r="F359" i="39" s="1"/>
  <c r="E361" i="39"/>
  <c r="E359" i="39" s="1"/>
  <c r="K352" i="39"/>
  <c r="J352" i="39"/>
  <c r="H352" i="39"/>
  <c r="F352" i="39"/>
  <c r="E352" i="39"/>
  <c r="H347" i="39"/>
  <c r="K347" i="39" s="1"/>
  <c r="K344" i="39"/>
  <c r="J344" i="39"/>
  <c r="J343" i="39" s="1"/>
  <c r="H344" i="39"/>
  <c r="F344" i="39"/>
  <c r="F343" i="39" s="1"/>
  <c r="F342" i="39" s="1"/>
  <c r="E344" i="39"/>
  <c r="E343" i="39" s="1"/>
  <c r="E342" i="39" s="1"/>
  <c r="K338" i="39"/>
  <c r="L337" i="39"/>
  <c r="K336" i="39"/>
  <c r="I336" i="39"/>
  <c r="G336" i="39"/>
  <c r="G335" i="39" s="1"/>
  <c r="J335" i="39"/>
  <c r="H335" i="39"/>
  <c r="F335" i="39"/>
  <c r="E335" i="39"/>
  <c r="K331" i="39"/>
  <c r="I331" i="39"/>
  <c r="K330" i="39"/>
  <c r="L330" i="39" s="1"/>
  <c r="I330" i="39"/>
  <c r="F330" i="39"/>
  <c r="K329" i="39"/>
  <c r="L329" i="39" s="1"/>
  <c r="I329" i="39"/>
  <c r="K328" i="39"/>
  <c r="L328" i="39" s="1"/>
  <c r="I328" i="39"/>
  <c r="K327" i="39"/>
  <c r="L327" i="39" s="1"/>
  <c r="I327" i="39"/>
  <c r="K326" i="39"/>
  <c r="L326" i="39" s="1"/>
  <c r="I326" i="39"/>
  <c r="K325" i="39"/>
  <c r="L325" i="39" s="1"/>
  <c r="I325" i="39"/>
  <c r="K324" i="39"/>
  <c r="L324" i="39" s="1"/>
  <c r="I324" i="39"/>
  <c r="K323" i="39"/>
  <c r="L323" i="39" s="1"/>
  <c r="I323" i="39"/>
  <c r="K322" i="39"/>
  <c r="L322" i="39" s="1"/>
  <c r="I322" i="39"/>
  <c r="K321" i="39"/>
  <c r="L321" i="39" s="1"/>
  <c r="I321" i="39"/>
  <c r="H320" i="39"/>
  <c r="H309" i="39" s="1"/>
  <c r="K319" i="39"/>
  <c r="L319" i="39" s="1"/>
  <c r="I319" i="39"/>
  <c r="K318" i="39"/>
  <c r="L318" i="39" s="1"/>
  <c r="I318" i="39"/>
  <c r="K317" i="39"/>
  <c r="L317" i="39" s="1"/>
  <c r="I317" i="39"/>
  <c r="K316" i="39"/>
  <c r="L316" i="39" s="1"/>
  <c r="I316" i="39"/>
  <c r="K315" i="39"/>
  <c r="L315" i="39" s="1"/>
  <c r="I315" i="39"/>
  <c r="K314" i="39"/>
  <c r="L314" i="39" s="1"/>
  <c r="I314" i="39"/>
  <c r="K313" i="39"/>
  <c r="L313" i="39" s="1"/>
  <c r="I313" i="39"/>
  <c r="K312" i="39"/>
  <c r="L312" i="39" s="1"/>
  <c r="I312" i="39"/>
  <c r="K311" i="39"/>
  <c r="L311" i="39" s="1"/>
  <c r="I311" i="39"/>
  <c r="K310" i="39"/>
  <c r="L310" i="39" s="1"/>
  <c r="I310" i="39"/>
  <c r="J309" i="39"/>
  <c r="F309" i="39"/>
  <c r="E309" i="39"/>
  <c r="K308" i="39"/>
  <c r="L308" i="39" s="1"/>
  <c r="I308" i="39"/>
  <c r="K307" i="39"/>
  <c r="L307" i="39" s="1"/>
  <c r="I307" i="39"/>
  <c r="K306" i="39"/>
  <c r="L306" i="39" s="1"/>
  <c r="I306" i="39"/>
  <c r="K305" i="39"/>
  <c r="L305" i="39" s="1"/>
  <c r="I305" i="39"/>
  <c r="K304" i="39"/>
  <c r="L304" i="39" s="1"/>
  <c r="I304" i="39"/>
  <c r="K303" i="39"/>
  <c r="L303" i="39" s="1"/>
  <c r="I303" i="39"/>
  <c r="J302" i="39"/>
  <c r="H302" i="39"/>
  <c r="G302" i="39"/>
  <c r="F302" i="39"/>
  <c r="F301" i="39" s="1"/>
  <c r="E302" i="39"/>
  <c r="K294" i="39"/>
  <c r="J294" i="39"/>
  <c r="H294" i="39"/>
  <c r="F294" i="39"/>
  <c r="E294" i="39"/>
  <c r="H289" i="39"/>
  <c r="H285" i="39" s="1"/>
  <c r="J285" i="39"/>
  <c r="F285" i="39"/>
  <c r="E285" i="39"/>
  <c r="K279" i="39"/>
  <c r="J279" i="39"/>
  <c r="H279" i="39"/>
  <c r="F279" i="39"/>
  <c r="E279" i="39"/>
  <c r="K274" i="39"/>
  <c r="K270" i="39" s="1"/>
  <c r="I274" i="39"/>
  <c r="G274" i="39"/>
  <c r="J270" i="39"/>
  <c r="H270" i="39"/>
  <c r="F270" i="39"/>
  <c r="E270" i="39"/>
  <c r="G268" i="39"/>
  <c r="G265" i="39"/>
  <c r="G264" i="39"/>
  <c r="K263" i="39"/>
  <c r="J263" i="39"/>
  <c r="H263" i="39"/>
  <c r="F263" i="39"/>
  <c r="E263" i="39"/>
  <c r="K256" i="39"/>
  <c r="J256" i="39"/>
  <c r="H256" i="39"/>
  <c r="G256" i="39"/>
  <c r="F256" i="39"/>
  <c r="E256" i="39"/>
  <c r="I254" i="39"/>
  <c r="K253" i="39"/>
  <c r="L253" i="39" s="1"/>
  <c r="I253" i="39"/>
  <c r="G253" i="39"/>
  <c r="K252" i="39"/>
  <c r="L252" i="39" s="1"/>
  <c r="H251" i="39"/>
  <c r="J250" i="39"/>
  <c r="G250" i="39"/>
  <c r="F250" i="39"/>
  <c r="F248" i="39" s="1"/>
  <c r="E250" i="39"/>
  <c r="H249" i="39"/>
  <c r="K249" i="39" s="1"/>
  <c r="G249" i="39"/>
  <c r="G248" i="39" s="1"/>
  <c r="J248" i="39"/>
  <c r="E248" i="39"/>
  <c r="K241" i="39"/>
  <c r="J241" i="39"/>
  <c r="H241" i="39"/>
  <c r="F241" i="39"/>
  <c r="E241" i="39"/>
  <c r="K235" i="39"/>
  <c r="K229" i="39" s="1"/>
  <c r="K228" i="39" s="1"/>
  <c r="I235" i="39"/>
  <c r="K234" i="39"/>
  <c r="K233" i="39"/>
  <c r="K232" i="39"/>
  <c r="K231" i="39"/>
  <c r="G230" i="39"/>
  <c r="G229" i="39" s="1"/>
  <c r="G228" i="39" s="1"/>
  <c r="F230" i="39"/>
  <c r="J229" i="39"/>
  <c r="J228" i="39" s="1"/>
  <c r="J227" i="39" s="1"/>
  <c r="H229" i="39"/>
  <c r="H228" i="39" s="1"/>
  <c r="H227" i="39" s="1"/>
  <c r="E229" i="39"/>
  <c r="E228" i="39" s="1"/>
  <c r="K222" i="39"/>
  <c r="J222" i="39"/>
  <c r="H222" i="39"/>
  <c r="F222" i="39"/>
  <c r="E222" i="39"/>
  <c r="K217" i="39"/>
  <c r="K216" i="39"/>
  <c r="L216" i="39" s="1"/>
  <c r="I216" i="39"/>
  <c r="J215" i="39"/>
  <c r="J208" i="39" s="1"/>
  <c r="J207" i="39" s="1"/>
  <c r="H215" i="39"/>
  <c r="F215" i="39"/>
  <c r="E215" i="39"/>
  <c r="K214" i="39"/>
  <c r="L214" i="39" s="1"/>
  <c r="I214" i="39"/>
  <c r="K213" i="39"/>
  <c r="L213" i="39" s="1"/>
  <c r="K212" i="39"/>
  <c r="L212" i="39" s="1"/>
  <c r="I212" i="39"/>
  <c r="K211" i="39"/>
  <c r="L211" i="39" s="1"/>
  <c r="I211" i="39"/>
  <c r="J210" i="39"/>
  <c r="H210" i="39"/>
  <c r="H208" i="39" s="1"/>
  <c r="G210" i="39"/>
  <c r="F210" i="39"/>
  <c r="F208" i="39" s="1"/>
  <c r="F207" i="39" s="1"/>
  <c r="E210" i="39"/>
  <c r="G207" i="39"/>
  <c r="K201" i="39"/>
  <c r="J201" i="39"/>
  <c r="H201" i="39"/>
  <c r="F201" i="39"/>
  <c r="E201" i="39"/>
  <c r="K196" i="39"/>
  <c r="I196" i="39"/>
  <c r="G196" i="39"/>
  <c r="J192" i="39"/>
  <c r="H192" i="39"/>
  <c r="F192" i="39"/>
  <c r="E192" i="39"/>
  <c r="K186" i="39"/>
  <c r="J186" i="39"/>
  <c r="H186" i="39"/>
  <c r="F186" i="39"/>
  <c r="E186" i="39"/>
  <c r="H180" i="39"/>
  <c r="K180" i="39" s="1"/>
  <c r="J178" i="39"/>
  <c r="J177" i="39" s="1"/>
  <c r="G178" i="39"/>
  <c r="F178" i="39"/>
  <c r="F177" i="39" s="1"/>
  <c r="E178" i="39"/>
  <c r="K172" i="39"/>
  <c r="L172" i="39" s="1"/>
  <c r="J171" i="39"/>
  <c r="H171" i="39"/>
  <c r="F171" i="39"/>
  <c r="E171" i="39"/>
  <c r="K166" i="39"/>
  <c r="L166" i="39" s="1"/>
  <c r="I166" i="39"/>
  <c r="K165" i="39"/>
  <c r="L165" i="39" s="1"/>
  <c r="I165" i="39"/>
  <c r="J163" i="39"/>
  <c r="J162" i="39" s="1"/>
  <c r="H163" i="39"/>
  <c r="H162" i="39" s="1"/>
  <c r="G163" i="39"/>
  <c r="F163" i="39"/>
  <c r="F162" i="39" s="1"/>
  <c r="E163" i="39"/>
  <c r="G161" i="39"/>
  <c r="J157" i="39"/>
  <c r="I157" i="39"/>
  <c r="H156" i="39"/>
  <c r="F156" i="39"/>
  <c r="E156" i="39"/>
  <c r="K147" i="39"/>
  <c r="J148" i="39"/>
  <c r="J147" i="39" s="1"/>
  <c r="H147" i="39"/>
  <c r="F147" i="39"/>
  <c r="E147" i="39"/>
  <c r="J142" i="39"/>
  <c r="J141" i="39" s="1"/>
  <c r="I142" i="39"/>
  <c r="H141" i="39"/>
  <c r="F141" i="39"/>
  <c r="E141" i="39"/>
  <c r="H136" i="39"/>
  <c r="I136" i="39" s="1"/>
  <c r="J132" i="39"/>
  <c r="F132" i="39"/>
  <c r="E132" i="39"/>
  <c r="K127" i="39"/>
  <c r="I127" i="39"/>
  <c r="J126" i="39"/>
  <c r="H126" i="39"/>
  <c r="F126" i="39"/>
  <c r="E126" i="39"/>
  <c r="K121" i="39"/>
  <c r="L121" i="39" s="1"/>
  <c r="I121" i="39"/>
  <c r="J118" i="39"/>
  <c r="J117" i="39" s="1"/>
  <c r="J116" i="39" s="1"/>
  <c r="F117" i="39"/>
  <c r="H117" i="39"/>
  <c r="E117" i="39"/>
  <c r="J111" i="39"/>
  <c r="J109" i="39" s="1"/>
  <c r="H109" i="39"/>
  <c r="G109" i="39"/>
  <c r="F109" i="39"/>
  <c r="E109" i="39"/>
  <c r="E107" i="39" s="1"/>
  <c r="J102" i="39"/>
  <c r="K102" i="39" s="1"/>
  <c r="I102" i="39"/>
  <c r="H98" i="39"/>
  <c r="F98" i="39"/>
  <c r="E98" i="39"/>
  <c r="G97" i="39"/>
  <c r="K91" i="39"/>
  <c r="J91" i="39"/>
  <c r="H91" i="39"/>
  <c r="G91" i="39"/>
  <c r="F91" i="39"/>
  <c r="E91" i="39"/>
  <c r="I85" i="39"/>
  <c r="K83" i="39"/>
  <c r="K82" i="39" s="1"/>
  <c r="J83" i="39"/>
  <c r="J82" i="39" s="1"/>
  <c r="H83" i="39"/>
  <c r="H82" i="39" s="1"/>
  <c r="G83" i="39"/>
  <c r="G82" i="39" s="1"/>
  <c r="F83" i="39"/>
  <c r="F82" i="39" s="1"/>
  <c r="E83" i="39"/>
  <c r="E82" i="39" s="1"/>
  <c r="K75" i="39"/>
  <c r="J75" i="39"/>
  <c r="H75" i="39"/>
  <c r="G75" i="39"/>
  <c r="F75" i="39"/>
  <c r="E75" i="39"/>
  <c r="I73" i="39"/>
  <c r="K67" i="39"/>
  <c r="K66" i="39" s="1"/>
  <c r="J67" i="39"/>
  <c r="J66" i="39" s="1"/>
  <c r="H67" i="39"/>
  <c r="H66" i="39" s="1"/>
  <c r="G67" i="39"/>
  <c r="G66" i="39" s="1"/>
  <c r="F67" i="39"/>
  <c r="F66" i="39" s="1"/>
  <c r="E67" i="39"/>
  <c r="E66" i="39" s="1"/>
  <c r="I66" i="39" s="1"/>
  <c r="K59" i="39"/>
  <c r="J59" i="39"/>
  <c r="H59" i="39"/>
  <c r="G59" i="39"/>
  <c r="F59" i="39"/>
  <c r="E59" i="39"/>
  <c r="I53" i="39"/>
  <c r="K51" i="39"/>
  <c r="K50" i="39" s="1"/>
  <c r="J51" i="39"/>
  <c r="J50" i="39" s="1"/>
  <c r="H51" i="39"/>
  <c r="H50" i="39" s="1"/>
  <c r="G51" i="39"/>
  <c r="G50" i="39" s="1"/>
  <c r="F51" i="39"/>
  <c r="F50" i="39" s="1"/>
  <c r="E51" i="39"/>
  <c r="E50" i="39" s="1"/>
  <c r="K43" i="39"/>
  <c r="J43" i="39"/>
  <c r="H43" i="39"/>
  <c r="F43" i="39"/>
  <c r="E43" i="39"/>
  <c r="I40" i="39"/>
  <c r="I39" i="39"/>
  <c r="I38" i="39"/>
  <c r="I37" i="39"/>
  <c r="I36" i="39"/>
  <c r="I35" i="39"/>
  <c r="I34" i="39"/>
  <c r="I33" i="39"/>
  <c r="K32" i="39"/>
  <c r="K26" i="39" s="1"/>
  <c r="J32" i="39"/>
  <c r="H32" i="39"/>
  <c r="H26" i="39" s="1"/>
  <c r="G32" i="39"/>
  <c r="F32" i="39"/>
  <c r="F26" i="39" s="1"/>
  <c r="E32" i="39"/>
  <c r="G24" i="39"/>
  <c r="K20" i="39"/>
  <c r="J18" i="39"/>
  <c r="F18" i="39"/>
  <c r="H17" i="39"/>
  <c r="F17" i="39"/>
  <c r="E17" i="39"/>
  <c r="K9" i="39"/>
  <c r="J9" i="39"/>
  <c r="J8" i="39" s="1"/>
  <c r="H8" i="39"/>
  <c r="F8" i="39"/>
  <c r="E8" i="39"/>
  <c r="E7" i="39" s="1"/>
  <c r="E6" i="39" s="1"/>
  <c r="G6" i="39"/>
  <c r="K409" i="38"/>
  <c r="J409" i="38"/>
  <c r="H409" i="38"/>
  <c r="G409" i="38"/>
  <c r="F409" i="38"/>
  <c r="E409" i="38"/>
  <c r="I403" i="38"/>
  <c r="H402" i="38"/>
  <c r="H401" i="38" s="1"/>
  <c r="K401" i="38" s="1"/>
  <c r="G401" i="38"/>
  <c r="H400" i="38"/>
  <c r="I400" i="38" s="1"/>
  <c r="H399" i="38"/>
  <c r="K399" i="38" s="1"/>
  <c r="K398" i="38"/>
  <c r="I398" i="38"/>
  <c r="G397" i="38"/>
  <c r="F397" i="38"/>
  <c r="J395" i="38"/>
  <c r="K389" i="38"/>
  <c r="J389" i="38"/>
  <c r="H389" i="38"/>
  <c r="G389" i="38"/>
  <c r="F389" i="38"/>
  <c r="E389" i="38"/>
  <c r="K383" i="38"/>
  <c r="L383" i="38" s="1"/>
  <c r="I383" i="38"/>
  <c r="K382" i="38"/>
  <c r="K381" i="38"/>
  <c r="K380" i="38"/>
  <c r="G379" i="38"/>
  <c r="G378" i="38" s="1"/>
  <c r="G377" i="38" s="1"/>
  <c r="J378" i="38"/>
  <c r="J377" i="38" s="1"/>
  <c r="F378" i="38"/>
  <c r="F377" i="38" s="1"/>
  <c r="E378" i="38"/>
  <c r="E377" i="38" s="1"/>
  <c r="K371" i="38"/>
  <c r="J371" i="38"/>
  <c r="H371" i="38"/>
  <c r="G371" i="38"/>
  <c r="F371" i="38"/>
  <c r="E371" i="38"/>
  <c r="K365" i="38"/>
  <c r="L365" i="38" s="1"/>
  <c r="I365" i="38"/>
  <c r="H364" i="38"/>
  <c r="J363" i="38"/>
  <c r="G363" i="38"/>
  <c r="F363" i="38"/>
  <c r="E363" i="38"/>
  <c r="K362" i="38"/>
  <c r="L362" i="38" s="1"/>
  <c r="I362" i="38"/>
  <c r="K361" i="38"/>
  <c r="L361" i="38" s="1"/>
  <c r="I361" i="38"/>
  <c r="K360" i="38"/>
  <c r="L360" i="38" s="1"/>
  <c r="I360" i="38"/>
  <c r="J359" i="38"/>
  <c r="H359" i="38"/>
  <c r="G359" i="38"/>
  <c r="F359" i="38"/>
  <c r="E359" i="38"/>
  <c r="K351" i="38"/>
  <c r="H351" i="38"/>
  <c r="F351" i="38"/>
  <c r="E351" i="38"/>
  <c r="K345" i="38"/>
  <c r="L345" i="38" s="1"/>
  <c r="I345" i="38"/>
  <c r="K344" i="38"/>
  <c r="L344" i="38" s="1"/>
  <c r="I344" i="38"/>
  <c r="J343" i="38"/>
  <c r="H343" i="38"/>
  <c r="G343" i="38"/>
  <c r="F343" i="38"/>
  <c r="E343" i="38"/>
  <c r="K342" i="38"/>
  <c r="L342" i="38" s="1"/>
  <c r="I342" i="38"/>
  <c r="K341" i="38"/>
  <c r="L341" i="38" s="1"/>
  <c r="I341" i="38"/>
  <c r="K340" i="38"/>
  <c r="I340" i="38"/>
  <c r="J339" i="38"/>
  <c r="H339" i="38"/>
  <c r="G339" i="38"/>
  <c r="F339" i="38"/>
  <c r="E339" i="38"/>
  <c r="H331" i="38"/>
  <c r="K331" i="38" s="1"/>
  <c r="K330" i="38" s="1"/>
  <c r="K322" i="38" s="1"/>
  <c r="K321" i="38" s="1"/>
  <c r="K320" i="38" s="1"/>
  <c r="K319" i="38" s="1"/>
  <c r="J330" i="38"/>
  <c r="G330" i="38"/>
  <c r="F330" i="38"/>
  <c r="K324" i="38"/>
  <c r="H322" i="38"/>
  <c r="H321" i="38" s="1"/>
  <c r="G322" i="38"/>
  <c r="G321" i="38" s="1"/>
  <c r="F322" i="38"/>
  <c r="F321" i="38" s="1"/>
  <c r="E322" i="38"/>
  <c r="E321" i="38" s="1"/>
  <c r="E320" i="38" s="1"/>
  <c r="J321" i="38"/>
  <c r="J320" i="38" s="1"/>
  <c r="K315" i="38"/>
  <c r="H314" i="38"/>
  <c r="H312" i="38" s="1"/>
  <c r="J312" i="38"/>
  <c r="G312" i="38"/>
  <c r="F312" i="38"/>
  <c r="E312" i="38"/>
  <c r="K307" i="38"/>
  <c r="H306" i="38"/>
  <c r="F305" i="38"/>
  <c r="F301" i="38" s="1"/>
  <c r="J301" i="38"/>
  <c r="G301" i="38"/>
  <c r="E301" i="38"/>
  <c r="K295" i="38"/>
  <c r="J295" i="38"/>
  <c r="H295" i="38"/>
  <c r="G295" i="38"/>
  <c r="F295" i="38"/>
  <c r="E295" i="38"/>
  <c r="K290" i="38"/>
  <c r="L290" i="38" s="1"/>
  <c r="I290" i="38"/>
  <c r="J286" i="38"/>
  <c r="H286" i="38"/>
  <c r="G286" i="38"/>
  <c r="F286" i="38"/>
  <c r="E286" i="38"/>
  <c r="H281" i="38"/>
  <c r="H280" i="38" s="1"/>
  <c r="J280" i="38"/>
  <c r="G280" i="38"/>
  <c r="F280" i="38"/>
  <c r="E280" i="38"/>
  <c r="K271" i="38"/>
  <c r="J271" i="38"/>
  <c r="H271" i="38"/>
  <c r="G271" i="38"/>
  <c r="F271" i="38"/>
  <c r="E271" i="38"/>
  <c r="K266" i="38"/>
  <c r="L266" i="38" s="1"/>
  <c r="I266" i="38"/>
  <c r="J265" i="38"/>
  <c r="H265" i="38"/>
  <c r="G265" i="38"/>
  <c r="F265" i="38"/>
  <c r="E265" i="38"/>
  <c r="K256" i="38"/>
  <c r="J256" i="38"/>
  <c r="H256" i="38"/>
  <c r="H255" i="38" s="1"/>
  <c r="G256" i="38"/>
  <c r="F256" i="38"/>
  <c r="E256" i="38"/>
  <c r="H251" i="38"/>
  <c r="I251" i="38" s="1"/>
  <c r="J250" i="38"/>
  <c r="G250" i="38"/>
  <c r="F250" i="38"/>
  <c r="E250" i="38"/>
  <c r="K241" i="38"/>
  <c r="J241" i="38"/>
  <c r="H241" i="38"/>
  <c r="G241" i="38"/>
  <c r="G240" i="38" s="1"/>
  <c r="F241" i="38"/>
  <c r="E241" i="38"/>
  <c r="K234" i="38"/>
  <c r="J234" i="38"/>
  <c r="J221" i="38" s="1"/>
  <c r="J220" i="38" s="1"/>
  <c r="H234" i="38"/>
  <c r="G234" i="38"/>
  <c r="F234" i="38"/>
  <c r="E234" i="38"/>
  <c r="K226" i="38"/>
  <c r="K225" i="38" s="1"/>
  <c r="K223" i="38" s="1"/>
  <c r="K222" i="38" s="1"/>
  <c r="J225" i="38"/>
  <c r="H225" i="38"/>
  <c r="H223" i="38" s="1"/>
  <c r="H222" i="38" s="1"/>
  <c r="G225" i="38"/>
  <c r="G223" i="38" s="1"/>
  <c r="G222" i="38" s="1"/>
  <c r="F225" i="38"/>
  <c r="F223" i="38" s="1"/>
  <c r="F222" i="38" s="1"/>
  <c r="E225" i="38"/>
  <c r="E223" i="38" s="1"/>
  <c r="E222" i="38" s="1"/>
  <c r="K216" i="38"/>
  <c r="K215" i="38" s="1"/>
  <c r="I216" i="38"/>
  <c r="J215" i="38"/>
  <c r="H215" i="38"/>
  <c r="G215" i="38"/>
  <c r="F215" i="38"/>
  <c r="E215" i="38"/>
  <c r="K209" i="38"/>
  <c r="K208" i="38"/>
  <c r="F207" i="38"/>
  <c r="F204" i="38" s="1"/>
  <c r="K204" i="38"/>
  <c r="J204" i="38"/>
  <c r="H204" i="38"/>
  <c r="G204" i="38"/>
  <c r="E204" i="38"/>
  <c r="K200" i="38"/>
  <c r="L200" i="38" s="1"/>
  <c r="I200" i="38"/>
  <c r="K199" i="38"/>
  <c r="L199" i="38" s="1"/>
  <c r="I199" i="38"/>
  <c r="H198" i="38"/>
  <c r="G198" i="38"/>
  <c r="F198" i="38"/>
  <c r="E198" i="38"/>
  <c r="K197" i="38"/>
  <c r="L197" i="38" s="1"/>
  <c r="I197" i="38"/>
  <c r="K196" i="38"/>
  <c r="L196" i="38" s="1"/>
  <c r="I196" i="38"/>
  <c r="K195" i="38"/>
  <c r="I195" i="38"/>
  <c r="K194" i="38"/>
  <c r="L194" i="38" s="1"/>
  <c r="I194" i="38"/>
  <c r="J193" i="38"/>
  <c r="J192" i="38" s="1"/>
  <c r="H193" i="38"/>
  <c r="H192" i="38" s="1"/>
  <c r="G193" i="38"/>
  <c r="G192" i="38" s="1"/>
  <c r="F193" i="38"/>
  <c r="E193" i="38"/>
  <c r="H189" i="38"/>
  <c r="K189" i="38" s="1"/>
  <c r="L189" i="38" s="1"/>
  <c r="H188" i="38"/>
  <c r="K187" i="38"/>
  <c r="L187" i="38" s="1"/>
  <c r="I187" i="38"/>
  <c r="K186" i="38"/>
  <c r="L186" i="38" s="1"/>
  <c r="I186" i="38"/>
  <c r="K185" i="38"/>
  <c r="L185" i="38" s="1"/>
  <c r="I185" i="38"/>
  <c r="K184" i="38"/>
  <c r="L184" i="38" s="1"/>
  <c r="I184" i="38"/>
  <c r="K183" i="38"/>
  <c r="L183" i="38" s="1"/>
  <c r="I183" i="38"/>
  <c r="K182" i="38"/>
  <c r="L182" i="38" s="1"/>
  <c r="I182" i="38"/>
  <c r="K181" i="38"/>
  <c r="L181" i="38" s="1"/>
  <c r="I181" i="38"/>
  <c r="K180" i="38"/>
  <c r="L180" i="38" s="1"/>
  <c r="I180" i="38"/>
  <c r="K179" i="38"/>
  <c r="L179" i="38" s="1"/>
  <c r="I179" i="38"/>
  <c r="K178" i="38"/>
  <c r="L178" i="38" s="1"/>
  <c r="I178" i="38"/>
  <c r="K177" i="38"/>
  <c r="L177" i="38" s="1"/>
  <c r="I177" i="38"/>
  <c r="K176" i="38"/>
  <c r="L176" i="38" s="1"/>
  <c r="I176" i="38"/>
  <c r="K175" i="38"/>
  <c r="L175" i="38" s="1"/>
  <c r="I175" i="38"/>
  <c r="K174" i="38"/>
  <c r="L174" i="38" s="1"/>
  <c r="I174" i="38"/>
  <c r="K173" i="38"/>
  <c r="L173" i="38" s="1"/>
  <c r="I173" i="38"/>
  <c r="K172" i="38"/>
  <c r="L172" i="38" s="1"/>
  <c r="I172" i="38"/>
  <c r="K171" i="38"/>
  <c r="L171" i="38" s="1"/>
  <c r="I171" i="38"/>
  <c r="K170" i="38"/>
  <c r="L170" i="38" s="1"/>
  <c r="I170" i="38"/>
  <c r="K169" i="38"/>
  <c r="L169" i="38" s="1"/>
  <c r="I169" i="38"/>
  <c r="K168" i="38"/>
  <c r="L168" i="38" s="1"/>
  <c r="I168" i="38"/>
  <c r="K167" i="38"/>
  <c r="L167" i="38" s="1"/>
  <c r="I167" i="38"/>
  <c r="K166" i="38"/>
  <c r="L166" i="38" s="1"/>
  <c r="I166" i="38"/>
  <c r="K165" i="38"/>
  <c r="L165" i="38" s="1"/>
  <c r="I165" i="38"/>
  <c r="K164" i="38"/>
  <c r="L164" i="38" s="1"/>
  <c r="I164" i="38"/>
  <c r="H163" i="38"/>
  <c r="I163" i="38" s="1"/>
  <c r="H162" i="38"/>
  <c r="K162" i="38" s="1"/>
  <c r="L162" i="38" s="1"/>
  <c r="H161" i="38"/>
  <c r="H160" i="38"/>
  <c r="I160" i="38" s="1"/>
  <c r="K159" i="38"/>
  <c r="L159" i="38" s="1"/>
  <c r="I159" i="38"/>
  <c r="K158" i="38"/>
  <c r="L158" i="38" s="1"/>
  <c r="I158" i="38"/>
  <c r="H157" i="38"/>
  <c r="K157" i="38" s="1"/>
  <c r="L157" i="38" s="1"/>
  <c r="H156" i="38"/>
  <c r="K155" i="38"/>
  <c r="L155" i="38" s="1"/>
  <c r="I155" i="38"/>
  <c r="K154" i="38"/>
  <c r="L154" i="38" s="1"/>
  <c r="I154" i="38"/>
  <c r="K153" i="38"/>
  <c r="L153" i="38" s="1"/>
  <c r="I153" i="38"/>
  <c r="K152" i="38"/>
  <c r="L152" i="38" s="1"/>
  <c r="I152" i="38"/>
  <c r="J151" i="38"/>
  <c r="G151" i="38"/>
  <c r="F151" i="38"/>
  <c r="E151" i="38"/>
  <c r="K150" i="38"/>
  <c r="K149" i="38"/>
  <c r="L149" i="38" s="1"/>
  <c r="I149" i="38"/>
  <c r="J148" i="38"/>
  <c r="H148" i="38"/>
  <c r="F148" i="38"/>
  <c r="E148" i="38"/>
  <c r="H146" i="38"/>
  <c r="I146" i="38" s="1"/>
  <c r="H145" i="38"/>
  <c r="I145" i="38" s="1"/>
  <c r="K144" i="38"/>
  <c r="H143" i="38"/>
  <c r="K142" i="38"/>
  <c r="L142" i="38" s="1"/>
  <c r="I142" i="38"/>
  <c r="H141" i="38"/>
  <c r="K141" i="38" s="1"/>
  <c r="L141" i="38" s="1"/>
  <c r="K140" i="38"/>
  <c r="L140" i="38" s="1"/>
  <c r="I140" i="38"/>
  <c r="H139" i="38"/>
  <c r="I139" i="38" s="1"/>
  <c r="H138" i="38"/>
  <c r="I138" i="38" s="1"/>
  <c r="H137" i="38"/>
  <c r="I137" i="38" s="1"/>
  <c r="K136" i="38"/>
  <c r="L136" i="38" s="1"/>
  <c r="H135" i="38"/>
  <c r="I135" i="38" s="1"/>
  <c r="K134" i="38"/>
  <c r="L134" i="38" s="1"/>
  <c r="I134" i="38"/>
  <c r="K133" i="38"/>
  <c r="L133" i="38" s="1"/>
  <c r="I133" i="38"/>
  <c r="K132" i="38"/>
  <c r="L132" i="38" s="1"/>
  <c r="I132" i="38"/>
  <c r="K131" i="38"/>
  <c r="L131" i="38" s="1"/>
  <c r="I131" i="38"/>
  <c r="K130" i="38"/>
  <c r="L130" i="38" s="1"/>
  <c r="I130" i="38"/>
  <c r="K129" i="38"/>
  <c r="L129" i="38" s="1"/>
  <c r="I129" i="38"/>
  <c r="H128" i="38"/>
  <c r="K127" i="38"/>
  <c r="I127" i="38"/>
  <c r="H126" i="38"/>
  <c r="I126" i="38" s="1"/>
  <c r="J125" i="38"/>
  <c r="G125" i="38"/>
  <c r="F125" i="38"/>
  <c r="E125" i="38"/>
  <c r="K124" i="38"/>
  <c r="L124" i="38" s="1"/>
  <c r="I124" i="38"/>
  <c r="K123" i="38"/>
  <c r="L123" i="38" s="1"/>
  <c r="I123" i="38"/>
  <c r="K122" i="38"/>
  <c r="L122" i="38" s="1"/>
  <c r="I122" i="38"/>
  <c r="K121" i="38"/>
  <c r="L121" i="38" s="1"/>
  <c r="I121" i="38"/>
  <c r="K120" i="38"/>
  <c r="L120" i="38" s="1"/>
  <c r="I120" i="38"/>
  <c r="K119" i="38"/>
  <c r="L119" i="38" s="1"/>
  <c r="I119" i="38"/>
  <c r="J118" i="38"/>
  <c r="H118" i="38"/>
  <c r="G118" i="38"/>
  <c r="F118" i="38"/>
  <c r="E118" i="38"/>
  <c r="K110" i="38"/>
  <c r="J110" i="38"/>
  <c r="H110" i="38"/>
  <c r="G110" i="38"/>
  <c r="F110" i="38"/>
  <c r="E110" i="38"/>
  <c r="H104" i="38"/>
  <c r="K104" i="38" s="1"/>
  <c r="H103" i="38"/>
  <c r="I103" i="38" s="1"/>
  <c r="H101" i="38"/>
  <c r="I101" i="38" s="1"/>
  <c r="K100" i="38"/>
  <c r="L100" i="38" s="1"/>
  <c r="I100" i="38"/>
  <c r="K99" i="38"/>
  <c r="L99" i="38" s="1"/>
  <c r="I99" i="38"/>
  <c r="K98" i="38"/>
  <c r="I98" i="38"/>
  <c r="K97" i="38"/>
  <c r="L97" i="38" s="1"/>
  <c r="I97" i="38"/>
  <c r="K96" i="38"/>
  <c r="I96" i="38"/>
  <c r="J95" i="38"/>
  <c r="J94" i="38" s="1"/>
  <c r="J93" i="38" s="1"/>
  <c r="G95" i="38"/>
  <c r="G94" i="38" s="1"/>
  <c r="G93" i="38" s="1"/>
  <c r="F95" i="38"/>
  <c r="F94" i="38" s="1"/>
  <c r="F93" i="38" s="1"/>
  <c r="E95" i="38"/>
  <c r="E94" i="38" s="1"/>
  <c r="E93" i="38" s="1"/>
  <c r="K87" i="38"/>
  <c r="K86" i="38" s="1"/>
  <c r="I87" i="38"/>
  <c r="J86" i="38"/>
  <c r="H86" i="38"/>
  <c r="G86" i="38"/>
  <c r="F86" i="38"/>
  <c r="E86" i="38"/>
  <c r="G79" i="38"/>
  <c r="K77" i="38"/>
  <c r="K76" i="38" s="1"/>
  <c r="K75" i="38" s="1"/>
  <c r="J77" i="38"/>
  <c r="H77" i="38"/>
  <c r="G77" i="38"/>
  <c r="F77" i="38"/>
  <c r="E77" i="38"/>
  <c r="K70" i="38"/>
  <c r="J70" i="38"/>
  <c r="H70" i="38"/>
  <c r="G70" i="38"/>
  <c r="F70" i="38"/>
  <c r="E70" i="38"/>
  <c r="H64" i="38"/>
  <c r="K64" i="38" s="1"/>
  <c r="H63" i="38"/>
  <c r="K63" i="38" s="1"/>
  <c r="K61" i="38"/>
  <c r="L61" i="38" s="1"/>
  <c r="I61" i="38"/>
  <c r="K60" i="38"/>
  <c r="L60" i="38" s="1"/>
  <c r="I60" i="38"/>
  <c r="K59" i="38"/>
  <c r="L59" i="38" s="1"/>
  <c r="I59" i="38"/>
  <c r="K58" i="38"/>
  <c r="L58" i="38" s="1"/>
  <c r="I58" i="38"/>
  <c r="K57" i="38"/>
  <c r="L57" i="38" s="1"/>
  <c r="I57" i="38"/>
  <c r="J56" i="38"/>
  <c r="J55" i="38" s="1"/>
  <c r="J54" i="38" s="1"/>
  <c r="H56" i="38"/>
  <c r="H55" i="38" s="1"/>
  <c r="G56" i="38"/>
  <c r="G55" i="38" s="1"/>
  <c r="G54" i="38" s="1"/>
  <c r="F56" i="38"/>
  <c r="F55" i="38" s="1"/>
  <c r="F54" i="38" s="1"/>
  <c r="E56" i="38"/>
  <c r="E55" i="38" s="1"/>
  <c r="E54" i="38" s="1"/>
  <c r="K47" i="38"/>
  <c r="J47" i="38"/>
  <c r="H47" i="38"/>
  <c r="G47" i="38"/>
  <c r="F47" i="38"/>
  <c r="E47" i="38"/>
  <c r="H41" i="38"/>
  <c r="I41" i="38" s="1"/>
  <c r="H40" i="38"/>
  <c r="K40" i="38" s="1"/>
  <c r="K38" i="38"/>
  <c r="K37" i="38"/>
  <c r="L37" i="38" s="1"/>
  <c r="I37" i="38"/>
  <c r="K36" i="38"/>
  <c r="L36" i="38" s="1"/>
  <c r="I36" i="38"/>
  <c r="K35" i="38"/>
  <c r="L35" i="38" s="1"/>
  <c r="I35" i="38"/>
  <c r="K34" i="38"/>
  <c r="I34" i="38"/>
  <c r="J33" i="38"/>
  <c r="J32" i="38" s="1"/>
  <c r="J31" i="38" s="1"/>
  <c r="H33" i="38"/>
  <c r="H32" i="38" s="1"/>
  <c r="G33" i="38"/>
  <c r="G32" i="38" s="1"/>
  <c r="G31" i="38" s="1"/>
  <c r="G30" i="38" s="1"/>
  <c r="G29" i="38" s="1"/>
  <c r="F33" i="38"/>
  <c r="F32" i="38" s="1"/>
  <c r="F31" i="38" s="1"/>
  <c r="E33" i="38"/>
  <c r="E32" i="38" s="1"/>
  <c r="E31" i="38" s="1"/>
  <c r="K24" i="38"/>
  <c r="J24" i="38"/>
  <c r="H24" i="38"/>
  <c r="G24" i="38"/>
  <c r="F24" i="38"/>
  <c r="E24" i="38"/>
  <c r="H18" i="38"/>
  <c r="I18" i="38" s="1"/>
  <c r="H17" i="38"/>
  <c r="K17" i="38" s="1"/>
  <c r="K15" i="38"/>
  <c r="L15" i="38" s="1"/>
  <c r="I15" i="38"/>
  <c r="K14" i="38"/>
  <c r="L14" i="38" s="1"/>
  <c r="I14" i="38"/>
  <c r="K13" i="38"/>
  <c r="L13" i="38" s="1"/>
  <c r="I13" i="38"/>
  <c r="K12" i="38"/>
  <c r="L12" i="38" s="1"/>
  <c r="I12" i="38"/>
  <c r="K11" i="38"/>
  <c r="I11" i="38"/>
  <c r="J10" i="38"/>
  <c r="H10" i="38"/>
  <c r="H9" i="38" s="1"/>
  <c r="H8" i="38" s="1"/>
  <c r="G10" i="38"/>
  <c r="G9" i="38" s="1"/>
  <c r="G8" i="38" s="1"/>
  <c r="F10" i="38"/>
  <c r="F9" i="38" s="1"/>
  <c r="F8" i="38" s="1"/>
  <c r="E10" i="38"/>
  <c r="E9" i="38" s="1"/>
  <c r="E8" i="38" s="1"/>
  <c r="H221" i="38" l="1"/>
  <c r="H220" i="38" s="1"/>
  <c r="E255" i="38"/>
  <c r="I255" i="38" s="1"/>
  <c r="F117" i="38"/>
  <c r="J161" i="39"/>
  <c r="E30" i="38"/>
  <c r="E29" i="38" s="1"/>
  <c r="K148" i="38"/>
  <c r="L148" i="38" s="1"/>
  <c r="E221" i="38"/>
  <c r="E220" i="38" s="1"/>
  <c r="E240" i="38"/>
  <c r="G358" i="38"/>
  <c r="G357" i="38" s="1"/>
  <c r="G356" i="38" s="1"/>
  <c r="E7" i="38"/>
  <c r="J394" i="38"/>
  <c r="J342" i="39"/>
  <c r="F203" i="38"/>
  <c r="E490" i="39"/>
  <c r="E507" i="39"/>
  <c r="K286" i="38"/>
  <c r="L286" i="38" s="1"/>
  <c r="F221" i="38"/>
  <c r="F220" i="38" s="1"/>
  <c r="K221" i="38"/>
  <c r="K220" i="38" s="1"/>
  <c r="F240" i="38"/>
  <c r="G255" i="38"/>
  <c r="F270" i="38"/>
  <c r="G96" i="39"/>
  <c r="G53" i="38"/>
  <c r="G52" i="38" s="1"/>
  <c r="J203" i="38"/>
  <c r="F176" i="39"/>
  <c r="F247" i="39"/>
  <c r="F246" i="39" s="1"/>
  <c r="F284" i="39"/>
  <c r="I339" i="38"/>
  <c r="F30" i="38"/>
  <c r="F29" i="38" s="1"/>
  <c r="J30" i="38"/>
  <c r="J29" i="38" s="1"/>
  <c r="J65" i="39"/>
  <c r="J64" i="39" s="1"/>
  <c r="F300" i="39"/>
  <c r="F299" i="39" s="1"/>
  <c r="F285" i="38"/>
  <c r="K227" i="39"/>
  <c r="F320" i="38"/>
  <c r="F490" i="39"/>
  <c r="J53" i="38"/>
  <c r="J52" i="38" s="1"/>
  <c r="J300" i="38"/>
  <c r="H338" i="38"/>
  <c r="H337" i="38" s="1"/>
  <c r="H336" i="38" s="1"/>
  <c r="F25" i="39"/>
  <c r="F24" i="39" s="1"/>
  <c r="F507" i="39"/>
  <c r="G117" i="38"/>
  <c r="G116" i="38" s="1"/>
  <c r="G115" i="38" s="1"/>
  <c r="E300" i="38"/>
  <c r="I335" i="39"/>
  <c r="G76" i="38"/>
  <c r="G75" i="38" s="1"/>
  <c r="E227" i="39"/>
  <c r="I227" i="39" s="1"/>
  <c r="G92" i="38"/>
  <c r="F358" i="38"/>
  <c r="F357" i="38" s="1"/>
  <c r="F356" i="38" s="1"/>
  <c r="K25" i="39"/>
  <c r="K24" i="39" s="1"/>
  <c r="J458" i="39"/>
  <c r="E598" i="39"/>
  <c r="E597" i="39" s="1"/>
  <c r="J562" i="39"/>
  <c r="J561" i="39" s="1"/>
  <c r="E76" i="38"/>
  <c r="E75" i="38" s="1"/>
  <c r="L75" i="38" s="1"/>
  <c r="E458" i="39"/>
  <c r="F53" i="38"/>
  <c r="F52" i="38" s="1"/>
  <c r="E92" i="38"/>
  <c r="F116" i="38"/>
  <c r="G203" i="38"/>
  <c r="I265" i="38"/>
  <c r="I286" i="38"/>
  <c r="I126" i="39"/>
  <c r="I163" i="39"/>
  <c r="J507" i="39"/>
  <c r="K18" i="38"/>
  <c r="K417" i="39"/>
  <c r="L417" i="39" s="1"/>
  <c r="I280" i="38"/>
  <c r="H49" i="39"/>
  <c r="H48" i="39" s="1"/>
  <c r="K420" i="39"/>
  <c r="L420" i="39" s="1"/>
  <c r="K558" i="39"/>
  <c r="K554" i="39" s="1"/>
  <c r="E285" i="38"/>
  <c r="J285" i="38"/>
  <c r="E131" i="39"/>
  <c r="I63" i="38"/>
  <c r="G270" i="38"/>
  <c r="L398" i="38"/>
  <c r="H132" i="39"/>
  <c r="H131" i="39" s="1"/>
  <c r="K49" i="39"/>
  <c r="K48" i="39" s="1"/>
  <c r="J490" i="39"/>
  <c r="F81" i="39"/>
  <c r="F269" i="39"/>
  <c r="F7" i="39"/>
  <c r="F6" i="39" s="1"/>
  <c r="I393" i="39"/>
  <c r="F440" i="39"/>
  <c r="F563" i="39"/>
  <c r="F562" i="39" s="1"/>
  <c r="F561" i="39" s="1"/>
  <c r="H7" i="39"/>
  <c r="H6" i="39" s="1"/>
  <c r="H343" i="39"/>
  <c r="H342" i="39" s="1"/>
  <c r="J191" i="39"/>
  <c r="E563" i="39"/>
  <c r="E562" i="39" s="1"/>
  <c r="E561" i="39" s="1"/>
  <c r="F65" i="39"/>
  <c r="F64" i="39" s="1"/>
  <c r="H81" i="39"/>
  <c r="F161" i="39"/>
  <c r="F206" i="39"/>
  <c r="L235" i="39"/>
  <c r="K335" i="39"/>
  <c r="L335" i="39" s="1"/>
  <c r="K361" i="39"/>
  <c r="K359" i="39" s="1"/>
  <c r="K374" i="39"/>
  <c r="L374" i="39" s="1"/>
  <c r="I403" i="39"/>
  <c r="I408" i="39"/>
  <c r="E440" i="39"/>
  <c r="H25" i="39"/>
  <c r="H24" i="39" s="1"/>
  <c r="H65" i="39"/>
  <c r="H64" i="39" s="1"/>
  <c r="K81" i="39"/>
  <c r="I117" i="39"/>
  <c r="F146" i="39"/>
  <c r="K162" i="39"/>
  <c r="J206" i="39"/>
  <c r="E269" i="39"/>
  <c r="E284" i="39"/>
  <c r="E525" i="39"/>
  <c r="E524" i="39" s="1"/>
  <c r="K117" i="39"/>
  <c r="J176" i="39"/>
  <c r="K215" i="39"/>
  <c r="L215" i="39" s="1"/>
  <c r="H269" i="39"/>
  <c r="J284" i="39"/>
  <c r="I320" i="39"/>
  <c r="I396" i="39"/>
  <c r="I445" i="39"/>
  <c r="K477" i="39"/>
  <c r="J49" i="39"/>
  <c r="J48" i="39" s="1"/>
  <c r="I98" i="39"/>
  <c r="F116" i="39"/>
  <c r="K136" i="39"/>
  <c r="K142" i="39"/>
  <c r="E191" i="39"/>
  <c r="I215" i="39"/>
  <c r="K320" i="39"/>
  <c r="L320" i="39" s="1"/>
  <c r="K508" i="39"/>
  <c r="L508" i="39" s="1"/>
  <c r="G525" i="39"/>
  <c r="G524" i="39" s="1"/>
  <c r="G489" i="39" s="1"/>
  <c r="K604" i="39"/>
  <c r="I50" i="39"/>
  <c r="E208" i="39"/>
  <c r="E207" i="39" s="1"/>
  <c r="E206" i="39" s="1"/>
  <c r="J358" i="39"/>
  <c r="J357" i="39" s="1"/>
  <c r="K145" i="38"/>
  <c r="L145" i="38" s="1"/>
  <c r="I141" i="38"/>
  <c r="G396" i="38"/>
  <c r="G395" i="38" s="1"/>
  <c r="G394" i="38" s="1"/>
  <c r="H76" i="38"/>
  <c r="K101" i="38"/>
  <c r="L101" i="38" s="1"/>
  <c r="K138" i="38"/>
  <c r="L138" i="38" s="1"/>
  <c r="K251" i="38"/>
  <c r="K250" i="38" s="1"/>
  <c r="K339" i="38"/>
  <c r="L339" i="38" s="1"/>
  <c r="J376" i="38"/>
  <c r="K33" i="38"/>
  <c r="K32" i="38" s="1"/>
  <c r="K41" i="38"/>
  <c r="K146" i="38"/>
  <c r="L146" i="38" s="1"/>
  <c r="F338" i="38"/>
  <c r="F337" i="38" s="1"/>
  <c r="F336" i="38" s="1"/>
  <c r="J358" i="38"/>
  <c r="J357" i="38" s="1"/>
  <c r="J356" i="38" s="1"/>
  <c r="K281" i="38"/>
  <c r="K280" i="38" s="1"/>
  <c r="L280" i="38" s="1"/>
  <c r="G300" i="38"/>
  <c r="K379" i="38"/>
  <c r="K378" i="38" s="1"/>
  <c r="K126" i="38"/>
  <c r="L126" i="38" s="1"/>
  <c r="K160" i="38"/>
  <c r="L160" i="38" s="1"/>
  <c r="E396" i="38"/>
  <c r="E395" i="38" s="1"/>
  <c r="E394" i="38" s="1"/>
  <c r="H95" i="38"/>
  <c r="I95" i="38" s="1"/>
  <c r="E6" i="38"/>
  <c r="K163" i="38"/>
  <c r="L163" i="38" s="1"/>
  <c r="L216" i="38"/>
  <c r="J240" i="38"/>
  <c r="H250" i="38"/>
  <c r="I250" i="38" s="1"/>
  <c r="I281" i="38"/>
  <c r="K314" i="38"/>
  <c r="K312" i="38" s="1"/>
  <c r="I343" i="38"/>
  <c r="K359" i="38"/>
  <c r="L359" i="38" s="1"/>
  <c r="F376" i="38"/>
  <c r="H270" i="38"/>
  <c r="F92" i="38"/>
  <c r="K193" i="38"/>
  <c r="L193" i="38" s="1"/>
  <c r="G320" i="38"/>
  <c r="G319" i="38" s="1"/>
  <c r="H330" i="38"/>
  <c r="H320" i="38" s="1"/>
  <c r="H319" i="38" s="1"/>
  <c r="L340" i="38"/>
  <c r="K118" i="38"/>
  <c r="L118" i="38" s="1"/>
  <c r="H203" i="38"/>
  <c r="J255" i="38"/>
  <c r="F300" i="38"/>
  <c r="E338" i="38"/>
  <c r="E337" i="38" s="1"/>
  <c r="E336" i="38" s="1"/>
  <c r="G376" i="38"/>
  <c r="I9" i="38"/>
  <c r="L86" i="38"/>
  <c r="I104" i="38"/>
  <c r="E117" i="38"/>
  <c r="E116" i="38" s="1"/>
  <c r="I215" i="38"/>
  <c r="E270" i="38"/>
  <c r="F396" i="38"/>
  <c r="F395" i="38" s="1"/>
  <c r="F394" i="38" s="1"/>
  <c r="K10" i="38"/>
  <c r="K9" i="38" s="1"/>
  <c r="E53" i="38"/>
  <c r="E52" i="38" s="1"/>
  <c r="F76" i="38"/>
  <c r="F75" i="38" s="1"/>
  <c r="L87" i="38"/>
  <c r="G221" i="38"/>
  <c r="G220" i="38" s="1"/>
  <c r="K265" i="38"/>
  <c r="K255" i="38" s="1"/>
  <c r="L255" i="38" s="1"/>
  <c r="J319" i="38"/>
  <c r="G338" i="38"/>
  <c r="G337" i="38" s="1"/>
  <c r="G336" i="38" s="1"/>
  <c r="K400" i="38"/>
  <c r="L400" i="38" s="1"/>
  <c r="K98" i="39"/>
  <c r="L98" i="39" s="1"/>
  <c r="L102" i="39"/>
  <c r="L270" i="39"/>
  <c r="K269" i="39"/>
  <c r="I51" i="39"/>
  <c r="G49" i="39"/>
  <c r="G48" i="39" s="1"/>
  <c r="J98" i="39"/>
  <c r="I141" i="39"/>
  <c r="F191" i="39"/>
  <c r="G247" i="39"/>
  <c r="J269" i="39"/>
  <c r="L274" i="39"/>
  <c r="K289" i="39"/>
  <c r="K285" i="39" s="1"/>
  <c r="K284" i="39" s="1"/>
  <c r="I412" i="39"/>
  <c r="I421" i="39"/>
  <c r="L601" i="39"/>
  <c r="K65" i="39"/>
  <c r="K64" i="39" s="1"/>
  <c r="E97" i="39"/>
  <c r="H116" i="39"/>
  <c r="F131" i="39"/>
  <c r="E146" i="39"/>
  <c r="E162" i="39"/>
  <c r="E161" i="39" s="1"/>
  <c r="H191" i="39"/>
  <c r="H207" i="39"/>
  <c r="H206" i="39" s="1"/>
  <c r="I229" i="39"/>
  <c r="E301" i="39"/>
  <c r="E300" i="39" s="1"/>
  <c r="E299" i="39" s="1"/>
  <c r="K384" i="39"/>
  <c r="K494" i="39"/>
  <c r="K492" i="39" s="1"/>
  <c r="K519" i="39"/>
  <c r="F525" i="39"/>
  <c r="F524" i="39" s="1"/>
  <c r="H552" i="39"/>
  <c r="E49" i="39"/>
  <c r="G65" i="39"/>
  <c r="G64" i="39" s="1"/>
  <c r="E65" i="39"/>
  <c r="E64" i="39" s="1"/>
  <c r="G81" i="39"/>
  <c r="J131" i="39"/>
  <c r="I228" i="39"/>
  <c r="I302" i="39"/>
  <c r="F458" i="39"/>
  <c r="F598" i="39"/>
  <c r="F597" i="39" s="1"/>
  <c r="I602" i="39"/>
  <c r="K171" i="39"/>
  <c r="L171" i="39" s="1"/>
  <c r="L228" i="39"/>
  <c r="E247" i="39"/>
  <c r="E246" i="39" s="1"/>
  <c r="L336" i="39"/>
  <c r="K343" i="39"/>
  <c r="K342" i="39" s="1"/>
  <c r="I399" i="39"/>
  <c r="I410" i="39"/>
  <c r="L229" i="39"/>
  <c r="E358" i="39"/>
  <c r="E357" i="39" s="1"/>
  <c r="K378" i="39"/>
  <c r="I476" i="39"/>
  <c r="I494" i="39"/>
  <c r="J525" i="39"/>
  <c r="J524" i="39" s="1"/>
  <c r="K602" i="39"/>
  <c r="J81" i="39"/>
  <c r="I83" i="39"/>
  <c r="E116" i="39"/>
  <c r="F229" i="39"/>
  <c r="F228" i="39" s="1"/>
  <c r="F227" i="39" s="1"/>
  <c r="J247" i="39"/>
  <c r="J246" i="39" s="1"/>
  <c r="I270" i="39"/>
  <c r="H284" i="39"/>
  <c r="L331" i="39"/>
  <c r="I571" i="39"/>
  <c r="H31" i="38"/>
  <c r="I32" i="38"/>
  <c r="F7" i="38"/>
  <c r="F6" i="38"/>
  <c r="H6" i="38"/>
  <c r="H7" i="38"/>
  <c r="I8" i="38"/>
  <c r="I55" i="38"/>
  <c r="G7" i="38"/>
  <c r="G6" i="38"/>
  <c r="K198" i="38"/>
  <c r="L198" i="38" s="1"/>
  <c r="I33" i="38"/>
  <c r="I64" i="38"/>
  <c r="I86" i="38"/>
  <c r="I128" i="38"/>
  <c r="I148" i="38"/>
  <c r="I157" i="38"/>
  <c r="I162" i="38"/>
  <c r="I193" i="38"/>
  <c r="E192" i="38"/>
  <c r="I192" i="38" s="1"/>
  <c r="L195" i="38"/>
  <c r="K306" i="38"/>
  <c r="K301" i="38" s="1"/>
  <c r="H301" i="38"/>
  <c r="H300" i="38" s="1"/>
  <c r="E358" i="38"/>
  <c r="E357" i="38" s="1"/>
  <c r="E356" i="38" s="1"/>
  <c r="I359" i="38"/>
  <c r="L249" i="39"/>
  <c r="K188" i="38"/>
  <c r="L188" i="38" s="1"/>
  <c r="I188" i="38"/>
  <c r="H285" i="38"/>
  <c r="L34" i="38"/>
  <c r="I40" i="38"/>
  <c r="J9" i="38"/>
  <c r="J8" i="38" s="1"/>
  <c r="L11" i="38"/>
  <c r="I17" i="38"/>
  <c r="K128" i="38"/>
  <c r="K139" i="38"/>
  <c r="L139" i="38" s="1"/>
  <c r="I143" i="38"/>
  <c r="I189" i="38"/>
  <c r="F192" i="38"/>
  <c r="E203" i="38"/>
  <c r="I10" i="38"/>
  <c r="H54" i="38"/>
  <c r="J92" i="38"/>
  <c r="K103" i="38"/>
  <c r="H125" i="38"/>
  <c r="K137" i="38"/>
  <c r="L137" i="38" s="1"/>
  <c r="K143" i="38"/>
  <c r="L143" i="38" s="1"/>
  <c r="H178" i="39"/>
  <c r="E177" i="39"/>
  <c r="E176" i="39" s="1"/>
  <c r="L96" i="38"/>
  <c r="L127" i="38"/>
  <c r="E376" i="38"/>
  <c r="H377" i="38"/>
  <c r="K56" i="38"/>
  <c r="I118" i="38"/>
  <c r="J117" i="38"/>
  <c r="J116" i="38" s="1"/>
  <c r="J115" i="38" s="1"/>
  <c r="L215" i="38"/>
  <c r="I82" i="39"/>
  <c r="E81" i="39"/>
  <c r="I56" i="38"/>
  <c r="J76" i="38"/>
  <c r="J75" i="38" s="1"/>
  <c r="L98" i="38"/>
  <c r="K135" i="38"/>
  <c r="L135" i="38" s="1"/>
  <c r="K156" i="38"/>
  <c r="I156" i="38"/>
  <c r="H151" i="38"/>
  <c r="K161" i="38"/>
  <c r="L161" i="38" s="1"/>
  <c r="I161" i="38"/>
  <c r="K203" i="38"/>
  <c r="F255" i="38"/>
  <c r="J270" i="38"/>
  <c r="G285" i="38"/>
  <c r="F319" i="38"/>
  <c r="K402" i="38"/>
  <c r="L402" i="38" s="1"/>
  <c r="J17" i="39"/>
  <c r="K17" i="39" s="1"/>
  <c r="K18" i="39"/>
  <c r="K126" i="39"/>
  <c r="L127" i="39"/>
  <c r="J156" i="39"/>
  <c r="J146" i="39" s="1"/>
  <c r="K157" i="39"/>
  <c r="L196" i="39"/>
  <c r="K192" i="39"/>
  <c r="K343" i="38"/>
  <c r="L343" i="38" s="1"/>
  <c r="I399" i="38"/>
  <c r="H397" i="38"/>
  <c r="K403" i="38"/>
  <c r="L403" i="38" s="1"/>
  <c r="I192" i="39"/>
  <c r="H440" i="39"/>
  <c r="I441" i="39"/>
  <c r="K441" i="39"/>
  <c r="J440" i="39"/>
  <c r="J338" i="38"/>
  <c r="J337" i="38" s="1"/>
  <c r="J336" i="38" s="1"/>
  <c r="J26" i="39"/>
  <c r="J25" i="39" s="1"/>
  <c r="J24" i="39" s="1"/>
  <c r="K109" i="39"/>
  <c r="J107" i="39"/>
  <c r="H161" i="39"/>
  <c r="H301" i="39"/>
  <c r="I309" i="39"/>
  <c r="K364" i="38"/>
  <c r="I364" i="38"/>
  <c r="H363" i="38"/>
  <c r="H378" i="38"/>
  <c r="I378" i="38" s="1"/>
  <c r="L399" i="38"/>
  <c r="K8" i="39"/>
  <c r="L111" i="39"/>
  <c r="I180" i="39"/>
  <c r="H250" i="39"/>
  <c r="I250" i="39" s="1"/>
  <c r="K251" i="39"/>
  <c r="K248" i="39" s="1"/>
  <c r="I251" i="39"/>
  <c r="H107" i="39"/>
  <c r="K416" i="39"/>
  <c r="L416" i="39" s="1"/>
  <c r="I416" i="39"/>
  <c r="E26" i="39"/>
  <c r="F49" i="39"/>
  <c r="F48" i="39" s="1"/>
  <c r="I109" i="39"/>
  <c r="I210" i="39"/>
  <c r="K398" i="39"/>
  <c r="L398" i="39" s="1"/>
  <c r="I398" i="39"/>
  <c r="K474" i="39"/>
  <c r="H465" i="39"/>
  <c r="K531" i="39"/>
  <c r="K525" i="39" s="1"/>
  <c r="H146" i="39"/>
  <c r="I156" i="39"/>
  <c r="H248" i="39"/>
  <c r="H507" i="39"/>
  <c r="I507" i="39" s="1"/>
  <c r="I508" i="39"/>
  <c r="I32" i="39"/>
  <c r="K210" i="39"/>
  <c r="I249" i="39"/>
  <c r="L447" i="39"/>
  <c r="K445" i="39"/>
  <c r="L445" i="39" s="1"/>
  <c r="I492" i="39"/>
  <c r="H491" i="39"/>
  <c r="K569" i="39"/>
  <c r="I569" i="39"/>
  <c r="H564" i="39"/>
  <c r="K387" i="39"/>
  <c r="I387" i="39"/>
  <c r="K395" i="39"/>
  <c r="L395" i="39" s="1"/>
  <c r="I395" i="39"/>
  <c r="K407" i="39"/>
  <c r="L407" i="39" s="1"/>
  <c r="I407" i="39"/>
  <c r="F107" i="39"/>
  <c r="F97" i="39" s="1"/>
  <c r="J301" i="39"/>
  <c r="J300" i="39" s="1"/>
  <c r="J299" i="39" s="1"/>
  <c r="K302" i="39"/>
  <c r="I599" i="39"/>
  <c r="F358" i="39"/>
  <c r="F357" i="39" s="1"/>
  <c r="K571" i="39"/>
  <c r="L571" i="39" s="1"/>
  <c r="H368" i="39"/>
  <c r="K381" i="39"/>
  <c r="L381" i="39" s="1"/>
  <c r="K598" i="39"/>
  <c r="L599" i="39"/>
  <c r="H598" i="39"/>
  <c r="I397" i="39"/>
  <c r="I400" i="39"/>
  <c r="I411" i="39"/>
  <c r="I415" i="39"/>
  <c r="I418" i="39"/>
  <c r="L572" i="39"/>
  <c r="H531" i="39"/>
  <c r="H525" i="39" s="1"/>
  <c r="H555" i="39"/>
  <c r="H551" i="39" s="1"/>
  <c r="H550" i="39" s="1"/>
  <c r="K557" i="39"/>
  <c r="K76" i="37"/>
  <c r="H76" i="37"/>
  <c r="G76" i="37"/>
  <c r="F76" i="37"/>
  <c r="E76" i="37"/>
  <c r="I72" i="37"/>
  <c r="K70" i="37"/>
  <c r="L70" i="37" s="1"/>
  <c r="I70" i="37"/>
  <c r="I69" i="37"/>
  <c r="H67" i="37"/>
  <c r="H65" i="37" s="1"/>
  <c r="H64" i="37" s="1"/>
  <c r="G67" i="37"/>
  <c r="F67" i="37"/>
  <c r="F65" i="37" s="1"/>
  <c r="F64" i="37" s="1"/>
  <c r="E67" i="37"/>
  <c r="E65" i="37" s="1"/>
  <c r="E64" i="37" s="1"/>
  <c r="J63" i="37"/>
  <c r="L58" i="37"/>
  <c r="K58" i="37"/>
  <c r="J58" i="37"/>
  <c r="I58" i="37"/>
  <c r="H58" i="37"/>
  <c r="G58" i="37"/>
  <c r="F58" i="37"/>
  <c r="E58" i="37"/>
  <c r="K52" i="37"/>
  <c r="L52" i="37" s="1"/>
  <c r="I52" i="37"/>
  <c r="K51" i="37"/>
  <c r="L51" i="37" s="1"/>
  <c r="I51" i="37"/>
  <c r="K50" i="37"/>
  <c r="I50" i="37"/>
  <c r="J49" i="37"/>
  <c r="J47" i="37" s="1"/>
  <c r="J46" i="37" s="1"/>
  <c r="J45" i="37" s="1"/>
  <c r="H49" i="37"/>
  <c r="H47" i="37" s="1"/>
  <c r="G49" i="37"/>
  <c r="F49" i="37"/>
  <c r="F47" i="37" s="1"/>
  <c r="F46" i="37" s="1"/>
  <c r="E49" i="37"/>
  <c r="E47" i="37" s="1"/>
  <c r="E46" i="37" s="1"/>
  <c r="K40" i="37"/>
  <c r="J40" i="37"/>
  <c r="H40" i="37"/>
  <c r="G40" i="37"/>
  <c r="F40" i="37"/>
  <c r="E40" i="37"/>
  <c r="L36" i="37"/>
  <c r="I36" i="37"/>
  <c r="K34" i="37"/>
  <c r="L34" i="37" s="1"/>
  <c r="I34" i="37"/>
  <c r="L33" i="37"/>
  <c r="I33" i="37"/>
  <c r="K32" i="37"/>
  <c r="L32" i="37" s="1"/>
  <c r="I32" i="37"/>
  <c r="K31" i="37"/>
  <c r="L31" i="37" s="1"/>
  <c r="I31" i="37"/>
  <c r="K30" i="37"/>
  <c r="L30" i="37" s="1"/>
  <c r="I30" i="37"/>
  <c r="J29" i="37"/>
  <c r="J27" i="37" s="1"/>
  <c r="J26" i="37" s="1"/>
  <c r="H29" i="37"/>
  <c r="G29" i="37"/>
  <c r="G27" i="37" s="1"/>
  <c r="G26" i="37" s="1"/>
  <c r="F29" i="37"/>
  <c r="F27" i="37" s="1"/>
  <c r="F26" i="37" s="1"/>
  <c r="E29" i="37"/>
  <c r="E27" i="37" s="1"/>
  <c r="E26" i="37" s="1"/>
  <c r="K28" i="37"/>
  <c r="L28" i="37" s="1"/>
  <c r="I28" i="37"/>
  <c r="J19" i="37"/>
  <c r="H19" i="37"/>
  <c r="G19" i="37"/>
  <c r="F19" i="37"/>
  <c r="E19" i="37"/>
  <c r="F12" i="37"/>
  <c r="K11" i="37"/>
  <c r="L11" i="37" s="1"/>
  <c r="I11" i="37"/>
  <c r="H9" i="37"/>
  <c r="G9" i="37"/>
  <c r="G8" i="37" s="1"/>
  <c r="F9" i="37"/>
  <c r="E9" i="37"/>
  <c r="E8" i="37" s="1"/>
  <c r="J8" i="37"/>
  <c r="J7" i="37" s="1"/>
  <c r="J6" i="37" s="1"/>
  <c r="L281" i="38" l="1"/>
  <c r="I7" i="38"/>
  <c r="L33" i="38"/>
  <c r="K161" i="39"/>
  <c r="L161" i="39" s="1"/>
  <c r="L563" i="39"/>
  <c r="F115" i="38"/>
  <c r="F91" i="38" s="1"/>
  <c r="K285" i="38"/>
  <c r="L220" i="38"/>
  <c r="E25" i="37"/>
  <c r="I269" i="39"/>
  <c r="I191" i="39"/>
  <c r="L221" i="38"/>
  <c r="I208" i="39"/>
  <c r="I76" i="38"/>
  <c r="F63" i="37"/>
  <c r="L76" i="38"/>
  <c r="F489" i="39"/>
  <c r="I206" i="39"/>
  <c r="H240" i="38"/>
  <c r="I240" i="38" s="1"/>
  <c r="H27" i="37"/>
  <c r="K27" i="37" s="1"/>
  <c r="L27" i="37" s="1"/>
  <c r="K29" i="37"/>
  <c r="J489" i="39"/>
  <c r="L227" i="39"/>
  <c r="I207" i="39"/>
  <c r="E439" i="39"/>
  <c r="I336" i="38"/>
  <c r="J25" i="37"/>
  <c r="L494" i="39"/>
  <c r="F268" i="39"/>
  <c r="K465" i="39"/>
  <c r="K459" i="39" s="1"/>
  <c r="K458" i="39" s="1"/>
  <c r="F239" i="38"/>
  <c r="F439" i="39"/>
  <c r="L269" i="39"/>
  <c r="I285" i="38"/>
  <c r="H75" i="38"/>
  <c r="I75" i="38" s="1"/>
  <c r="H94" i="38"/>
  <c r="H93" i="38" s="1"/>
  <c r="I93" i="38" s="1"/>
  <c r="E239" i="38"/>
  <c r="F25" i="37"/>
  <c r="I131" i="39"/>
  <c r="L203" i="38"/>
  <c r="I65" i="39"/>
  <c r="I270" i="38"/>
  <c r="I64" i="39"/>
  <c r="L10" i="38"/>
  <c r="G239" i="38"/>
  <c r="K270" i="38"/>
  <c r="L270" i="38" s="1"/>
  <c r="G25" i="37"/>
  <c r="G24" i="37" s="1"/>
  <c r="F8" i="37"/>
  <c r="F7" i="37" s="1"/>
  <c r="F6" i="37" s="1"/>
  <c r="G91" i="38"/>
  <c r="G7" i="37"/>
  <c r="G6" i="37" s="1"/>
  <c r="J24" i="37"/>
  <c r="J81" i="37" s="1"/>
  <c r="K309" i="39"/>
  <c r="L309" i="39" s="1"/>
  <c r="J268" i="39"/>
  <c r="L285" i="38"/>
  <c r="E45" i="37"/>
  <c r="K49" i="37"/>
  <c r="L49" i="37" s="1"/>
  <c r="K192" i="38"/>
  <c r="L192" i="38" s="1"/>
  <c r="I203" i="38"/>
  <c r="F45" i="37"/>
  <c r="K67" i="37"/>
  <c r="K65" i="37" s="1"/>
  <c r="J439" i="39"/>
  <c r="I81" i="39"/>
  <c r="K300" i="38"/>
  <c r="E489" i="39"/>
  <c r="L162" i="39"/>
  <c r="I9" i="37"/>
  <c r="E63" i="37"/>
  <c r="L29" i="37"/>
  <c r="K397" i="38"/>
  <c r="L397" i="38" s="1"/>
  <c r="E268" i="39"/>
  <c r="I161" i="39"/>
  <c r="I162" i="39"/>
  <c r="F96" i="39"/>
  <c r="G614" i="39"/>
  <c r="K141" i="39"/>
  <c r="L141" i="39" s="1"/>
  <c r="L142" i="39"/>
  <c r="L136" i="39"/>
  <c r="K132" i="39"/>
  <c r="J97" i="39"/>
  <c r="J96" i="39" s="1"/>
  <c r="K507" i="39"/>
  <c r="L507" i="39" s="1"/>
  <c r="K95" i="38"/>
  <c r="K94" i="38" s="1"/>
  <c r="F335" i="38"/>
  <c r="I338" i="38"/>
  <c r="L265" i="38"/>
  <c r="L251" i="38"/>
  <c r="I337" i="38"/>
  <c r="G335" i="38"/>
  <c r="J91" i="38"/>
  <c r="J239" i="38"/>
  <c r="K125" i="38"/>
  <c r="L125" i="38" s="1"/>
  <c r="K338" i="38"/>
  <c r="L338" i="38" s="1"/>
  <c r="E335" i="38"/>
  <c r="I47" i="37"/>
  <c r="I67" i="37"/>
  <c r="I65" i="37" s="1"/>
  <c r="E7" i="37"/>
  <c r="E6" i="37" s="1"/>
  <c r="I116" i="39"/>
  <c r="E96" i="39"/>
  <c r="E48" i="39"/>
  <c r="I48" i="39" s="1"/>
  <c r="I49" i="39"/>
  <c r="I440" i="39"/>
  <c r="J6" i="38"/>
  <c r="J7" i="38"/>
  <c r="L126" i="39"/>
  <c r="K116" i="39"/>
  <c r="I151" i="38"/>
  <c r="K247" i="39"/>
  <c r="L248" i="39"/>
  <c r="H358" i="39"/>
  <c r="K7" i="39"/>
  <c r="K6" i="39" s="1"/>
  <c r="H524" i="39"/>
  <c r="K491" i="39"/>
  <c r="L492" i="39"/>
  <c r="I248" i="39"/>
  <c r="H247" i="39"/>
  <c r="E25" i="39"/>
  <c r="I26" i="39"/>
  <c r="K250" i="39"/>
  <c r="L251" i="39"/>
  <c r="J7" i="39"/>
  <c r="J6" i="39" s="1"/>
  <c r="K107" i="39"/>
  <c r="J335" i="38"/>
  <c r="I397" i="38"/>
  <c r="H396" i="38"/>
  <c r="L192" i="39"/>
  <c r="K191" i="39"/>
  <c r="L191" i="39" s="1"/>
  <c r="I54" i="38"/>
  <c r="H53" i="38"/>
  <c r="H563" i="39"/>
  <c r="I563" i="39" s="1"/>
  <c r="H562" i="39"/>
  <c r="I564" i="39"/>
  <c r="L32" i="38"/>
  <c r="K31" i="38"/>
  <c r="K363" i="38"/>
  <c r="L364" i="38"/>
  <c r="K564" i="39"/>
  <c r="L569" i="39"/>
  <c r="H597" i="39"/>
  <c r="I597" i="39" s="1"/>
  <c r="I598" i="39"/>
  <c r="H490" i="39"/>
  <c r="I491" i="39"/>
  <c r="K208" i="39"/>
  <c r="L210" i="39"/>
  <c r="H459" i="39"/>
  <c r="I465" i="39"/>
  <c r="H300" i="39"/>
  <c r="I301" i="39"/>
  <c r="L109" i="39"/>
  <c r="L156" i="38"/>
  <c r="K151" i="38"/>
  <c r="L151" i="38" s="1"/>
  <c r="L250" i="38"/>
  <c r="K240" i="38"/>
  <c r="I178" i="39"/>
  <c r="K178" i="39"/>
  <c r="K177" i="39" s="1"/>
  <c r="K176" i="39" s="1"/>
  <c r="H177" i="39"/>
  <c r="E115" i="38"/>
  <c r="E91" i="38" s="1"/>
  <c r="H97" i="39"/>
  <c r="I107" i="39"/>
  <c r="L441" i="39"/>
  <c r="K440" i="39"/>
  <c r="K156" i="39"/>
  <c r="L157" i="39"/>
  <c r="L56" i="38"/>
  <c r="K55" i="38"/>
  <c r="L128" i="38"/>
  <c r="K555" i="39"/>
  <c r="K551" i="39" s="1"/>
  <c r="K550" i="39" s="1"/>
  <c r="K524" i="39" s="1"/>
  <c r="K553" i="39"/>
  <c r="K301" i="39"/>
  <c r="L302" i="39"/>
  <c r="L598" i="39"/>
  <c r="K597" i="39"/>
  <c r="L597" i="39" s="1"/>
  <c r="K368" i="39"/>
  <c r="I368" i="39"/>
  <c r="I363" i="38"/>
  <c r="H358" i="38"/>
  <c r="L378" i="38"/>
  <c r="K377" i="38"/>
  <c r="L401" i="38"/>
  <c r="I401" i="38"/>
  <c r="H376" i="38"/>
  <c r="I376" i="38" s="1"/>
  <c r="I377" i="38"/>
  <c r="I125" i="38"/>
  <c r="H117" i="38"/>
  <c r="K8" i="38"/>
  <c r="L9" i="38"/>
  <c r="I6" i="38"/>
  <c r="I31" i="38"/>
  <c r="H30" i="38"/>
  <c r="I64" i="37"/>
  <c r="H63" i="37"/>
  <c r="I49" i="37"/>
  <c r="L50" i="37"/>
  <c r="G65" i="37"/>
  <c r="H8" i="37"/>
  <c r="I29" i="37"/>
  <c r="K9" i="37"/>
  <c r="L9" i="37" s="1"/>
  <c r="H46" i="37"/>
  <c r="L69" i="37"/>
  <c r="L72" i="37"/>
  <c r="K548" i="36"/>
  <c r="K547" i="36"/>
  <c r="J546" i="36"/>
  <c r="J545" i="36" s="1"/>
  <c r="H546" i="36"/>
  <c r="H545" i="36" s="1"/>
  <c r="F546" i="36"/>
  <c r="F545" i="36" s="1"/>
  <c r="E546" i="36"/>
  <c r="E545" i="36" s="1"/>
  <c r="K541" i="36"/>
  <c r="L541" i="36" s="1"/>
  <c r="I541" i="36"/>
  <c r="K540" i="36"/>
  <c r="I540" i="36"/>
  <c r="J539" i="36"/>
  <c r="H539" i="36"/>
  <c r="F539" i="36"/>
  <c r="E539" i="36"/>
  <c r="K538" i="36"/>
  <c r="L538" i="36" s="1"/>
  <c r="I538" i="36"/>
  <c r="K537" i="36"/>
  <c r="L537" i="36" s="1"/>
  <c r="I537" i="36"/>
  <c r="J536" i="36"/>
  <c r="H536" i="36"/>
  <c r="F536" i="36"/>
  <c r="E536" i="36"/>
  <c r="K535" i="36"/>
  <c r="L535" i="36" s="1"/>
  <c r="I535" i="36"/>
  <c r="K534" i="36"/>
  <c r="L534" i="36" s="1"/>
  <c r="I534" i="36"/>
  <c r="J533" i="36"/>
  <c r="H533" i="36"/>
  <c r="F533" i="36"/>
  <c r="E533" i="36"/>
  <c r="K532" i="36"/>
  <c r="I532" i="36"/>
  <c r="K531" i="36"/>
  <c r="L531" i="36" s="1"/>
  <c r="I531" i="36"/>
  <c r="J530" i="36"/>
  <c r="H530" i="36"/>
  <c r="F530" i="36"/>
  <c r="E530" i="36"/>
  <c r="K523" i="36"/>
  <c r="L523" i="36" s="1"/>
  <c r="I523" i="36"/>
  <c r="J522" i="36"/>
  <c r="H522" i="36"/>
  <c r="F522" i="36"/>
  <c r="E522" i="36"/>
  <c r="K513" i="36"/>
  <c r="J513" i="36"/>
  <c r="H513" i="36"/>
  <c r="F513" i="36"/>
  <c r="K501" i="36"/>
  <c r="K498" i="36"/>
  <c r="J498" i="36"/>
  <c r="J497" i="36" s="1"/>
  <c r="J496" i="36" s="1"/>
  <c r="H498" i="36"/>
  <c r="H497" i="36" s="1"/>
  <c r="F498" i="36"/>
  <c r="F497" i="36" s="1"/>
  <c r="F496" i="36" s="1"/>
  <c r="E498" i="36"/>
  <c r="E497" i="36" s="1"/>
  <c r="E496" i="36" s="1"/>
  <c r="K492" i="36"/>
  <c r="K491" i="36" s="1"/>
  <c r="J491" i="36"/>
  <c r="H491" i="36"/>
  <c r="F491" i="36"/>
  <c r="E491" i="36"/>
  <c r="K487" i="36"/>
  <c r="L487" i="36" s="1"/>
  <c r="I487" i="36"/>
  <c r="K485" i="36"/>
  <c r="L485" i="36" s="1"/>
  <c r="I485" i="36"/>
  <c r="I484" i="36"/>
  <c r="K483" i="36"/>
  <c r="L483" i="36" s="1"/>
  <c r="I483" i="36"/>
  <c r="K482" i="36"/>
  <c r="L482" i="36" s="1"/>
  <c r="I482" i="36"/>
  <c r="K481" i="36"/>
  <c r="L481" i="36" s="1"/>
  <c r="I481" i="36"/>
  <c r="K480" i="36"/>
  <c r="L480" i="36" s="1"/>
  <c r="I480" i="36"/>
  <c r="K479" i="36"/>
  <c r="I479" i="36"/>
  <c r="J478" i="36"/>
  <c r="H478" i="36"/>
  <c r="F478" i="36"/>
  <c r="E478" i="36"/>
  <c r="K477" i="36"/>
  <c r="L477" i="36" s="1"/>
  <c r="I477" i="36"/>
  <c r="K476" i="36"/>
  <c r="L476" i="36" s="1"/>
  <c r="I476" i="36"/>
  <c r="K475" i="36"/>
  <c r="L475" i="36" s="1"/>
  <c r="I475" i="36"/>
  <c r="K474" i="36"/>
  <c r="L474" i="36" s="1"/>
  <c r="I474" i="36"/>
  <c r="K473" i="36"/>
  <c r="L473" i="36" s="1"/>
  <c r="I473" i="36"/>
  <c r="K472" i="36"/>
  <c r="L472" i="36" s="1"/>
  <c r="I472" i="36"/>
  <c r="L471" i="36"/>
  <c r="L470" i="36"/>
  <c r="I470" i="36"/>
  <c r="J469" i="36"/>
  <c r="H469" i="36"/>
  <c r="F469" i="36"/>
  <c r="E469" i="36"/>
  <c r="K458" i="36"/>
  <c r="L458" i="36" s="1"/>
  <c r="I458" i="36"/>
  <c r="K457" i="36"/>
  <c r="L457" i="36" s="1"/>
  <c r="I457" i="36"/>
  <c r="K456" i="36"/>
  <c r="L456" i="36" s="1"/>
  <c r="I456" i="36"/>
  <c r="K455" i="36"/>
  <c r="L455" i="36" s="1"/>
  <c r="I455" i="36"/>
  <c r="K454" i="36"/>
  <c r="L454" i="36" s="1"/>
  <c r="I454" i="36"/>
  <c r="K453" i="36"/>
  <c r="L453" i="36" s="1"/>
  <c r="I453" i="36"/>
  <c r="K452" i="36"/>
  <c r="L452" i="36" s="1"/>
  <c r="I452" i="36"/>
  <c r="K451" i="36"/>
  <c r="L451" i="36" s="1"/>
  <c r="I451" i="36"/>
  <c r="K450" i="36"/>
  <c r="L450" i="36" s="1"/>
  <c r="I450" i="36"/>
  <c r="K449" i="36"/>
  <c r="L449" i="36" s="1"/>
  <c r="I449" i="36"/>
  <c r="K448" i="36"/>
  <c r="L448" i="36" s="1"/>
  <c r="I448" i="36"/>
  <c r="K447" i="36"/>
  <c r="L447" i="36" s="1"/>
  <c r="I447" i="36"/>
  <c r="K446" i="36"/>
  <c r="L446" i="36" s="1"/>
  <c r="I446" i="36"/>
  <c r="K445" i="36"/>
  <c r="L445" i="36" s="1"/>
  <c r="I445" i="36"/>
  <c r="K444" i="36"/>
  <c r="L444" i="36" s="1"/>
  <c r="I444" i="36"/>
  <c r="K443" i="36"/>
  <c r="L443" i="36" s="1"/>
  <c r="I443" i="36"/>
  <c r="K442" i="36"/>
  <c r="L442" i="36" s="1"/>
  <c r="I442" i="36"/>
  <c r="K441" i="36"/>
  <c r="L441" i="36" s="1"/>
  <c r="I441" i="36"/>
  <c r="J440" i="36"/>
  <c r="J434" i="36" s="1"/>
  <c r="J433" i="36" s="1"/>
  <c r="H440" i="36"/>
  <c r="F440" i="36"/>
  <c r="F434" i="36" s="1"/>
  <c r="F433" i="36" s="1"/>
  <c r="E440" i="36"/>
  <c r="E434" i="36" s="1"/>
  <c r="E433" i="36" s="1"/>
  <c r="K424" i="36"/>
  <c r="L424" i="36" s="1"/>
  <c r="I424" i="36"/>
  <c r="L422" i="36"/>
  <c r="I422" i="36"/>
  <c r="K421" i="36"/>
  <c r="L421" i="36" s="1"/>
  <c r="I421" i="36"/>
  <c r="K420" i="36"/>
  <c r="L420" i="36" s="1"/>
  <c r="I420" i="36"/>
  <c r="K419" i="36"/>
  <c r="L419" i="36" s="1"/>
  <c r="I419" i="36"/>
  <c r="K418" i="36"/>
  <c r="L418" i="36" s="1"/>
  <c r="I418" i="36"/>
  <c r="K417" i="36"/>
  <c r="L417" i="36" s="1"/>
  <c r="I417" i="36"/>
  <c r="K416" i="36"/>
  <c r="I416" i="36"/>
  <c r="J415" i="36"/>
  <c r="H415" i="36"/>
  <c r="F415" i="36"/>
  <c r="E415" i="36"/>
  <c r="K414" i="36"/>
  <c r="L414" i="36" s="1"/>
  <c r="I414" i="36"/>
  <c r="K413" i="36"/>
  <c r="L413" i="36" s="1"/>
  <c r="I413" i="36"/>
  <c r="K412" i="36"/>
  <c r="L412" i="36" s="1"/>
  <c r="I412" i="36"/>
  <c r="K411" i="36"/>
  <c r="L411" i="36" s="1"/>
  <c r="I411" i="36"/>
  <c r="K410" i="36"/>
  <c r="L410" i="36" s="1"/>
  <c r="I410" i="36"/>
  <c r="K409" i="36"/>
  <c r="L409" i="36" s="1"/>
  <c r="I409" i="36"/>
  <c r="K408" i="36"/>
  <c r="L408" i="36" s="1"/>
  <c r="I408" i="36"/>
  <c r="J407" i="36"/>
  <c r="H407" i="36"/>
  <c r="F407" i="36"/>
  <c r="E407" i="36"/>
  <c r="K392" i="36"/>
  <c r="K390" i="36" s="1"/>
  <c r="K389" i="36" s="1"/>
  <c r="K388" i="36" s="1"/>
  <c r="K387" i="36" s="1"/>
  <c r="J390" i="36"/>
  <c r="J389" i="36" s="1"/>
  <c r="J388" i="36" s="1"/>
  <c r="J387" i="36" s="1"/>
  <c r="H390" i="36"/>
  <c r="H389" i="36" s="1"/>
  <c r="H388" i="36" s="1"/>
  <c r="H387" i="36" s="1"/>
  <c r="F390" i="36"/>
  <c r="F389" i="36" s="1"/>
  <c r="F388" i="36" s="1"/>
  <c r="F387" i="36" s="1"/>
  <c r="E390" i="36"/>
  <c r="E389" i="36" s="1"/>
  <c r="E388" i="36" s="1"/>
  <c r="E387" i="36" s="1"/>
  <c r="K376" i="36"/>
  <c r="I376" i="36"/>
  <c r="J374" i="36"/>
  <c r="J373" i="36" s="1"/>
  <c r="J372" i="36" s="1"/>
  <c r="J371" i="36" s="1"/>
  <c r="H374" i="36"/>
  <c r="H373" i="36" s="1"/>
  <c r="F374" i="36"/>
  <c r="F373" i="36" s="1"/>
  <c r="F372" i="36" s="1"/>
  <c r="F371" i="36" s="1"/>
  <c r="E374" i="36"/>
  <c r="E373" i="36" s="1"/>
  <c r="E372" i="36" s="1"/>
  <c r="E371" i="36" s="1"/>
  <c r="K363" i="36"/>
  <c r="K362" i="36"/>
  <c r="K361" i="36"/>
  <c r="K360" i="36"/>
  <c r="K359" i="36"/>
  <c r="K358" i="36"/>
  <c r="K357" i="36"/>
  <c r="K356" i="36"/>
  <c r="K355" i="36"/>
  <c r="K354" i="36"/>
  <c r="K353" i="36"/>
  <c r="J352" i="36"/>
  <c r="H352" i="36"/>
  <c r="F352" i="36"/>
  <c r="E352" i="36"/>
  <c r="K351" i="36"/>
  <c r="L351" i="36" s="1"/>
  <c r="I351" i="36"/>
  <c r="K350" i="36"/>
  <c r="L350" i="36" s="1"/>
  <c r="I350" i="36"/>
  <c r="K349" i="36"/>
  <c r="I349" i="36"/>
  <c r="J348" i="36"/>
  <c r="H348" i="36"/>
  <c r="F348" i="36"/>
  <c r="E348" i="36"/>
  <c r="K346" i="36"/>
  <c r="L346" i="36" s="1"/>
  <c r="I346" i="36"/>
  <c r="K345" i="36"/>
  <c r="K344" i="36"/>
  <c r="L344" i="36" s="1"/>
  <c r="I344" i="36"/>
  <c r="K343" i="36"/>
  <c r="L343" i="36" s="1"/>
  <c r="I343" i="36"/>
  <c r="K342" i="36"/>
  <c r="K341" i="36"/>
  <c r="H340" i="36"/>
  <c r="J339" i="36"/>
  <c r="F339" i="36"/>
  <c r="E339" i="36"/>
  <c r="L338" i="36"/>
  <c r="I338" i="36"/>
  <c r="K337" i="36"/>
  <c r="K336" i="36"/>
  <c r="K335" i="36"/>
  <c r="H334" i="36"/>
  <c r="I334" i="36" s="1"/>
  <c r="K333" i="36"/>
  <c r="K332" i="36"/>
  <c r="K331" i="36"/>
  <c r="J330" i="36"/>
  <c r="F330" i="36"/>
  <c r="E330" i="36"/>
  <c r="K323" i="36"/>
  <c r="K322" i="36" s="1"/>
  <c r="J322" i="36"/>
  <c r="H322" i="36"/>
  <c r="F322" i="36"/>
  <c r="E322" i="36"/>
  <c r="K319" i="36"/>
  <c r="K318" i="36"/>
  <c r="K317" i="36"/>
  <c r="K316" i="36"/>
  <c r="K315" i="36"/>
  <c r="K314" i="36"/>
  <c r="K313" i="36"/>
  <c r="K312" i="36"/>
  <c r="K311" i="36"/>
  <c r="K310" i="36"/>
  <c r="J309" i="36"/>
  <c r="H309" i="36"/>
  <c r="F309" i="36"/>
  <c r="E309" i="36"/>
  <c r="K308" i="36"/>
  <c r="L308" i="36" s="1"/>
  <c r="I308" i="36"/>
  <c r="K306" i="36"/>
  <c r="L306" i="36" s="1"/>
  <c r="I306" i="36"/>
  <c r="K305" i="36"/>
  <c r="L305" i="36" s="1"/>
  <c r="I305" i="36"/>
  <c r="K304" i="36"/>
  <c r="L304" i="36" s="1"/>
  <c r="I304" i="36"/>
  <c r="K303" i="36"/>
  <c r="L303" i="36" s="1"/>
  <c r="I303" i="36"/>
  <c r="K302" i="36"/>
  <c r="L302" i="36" s="1"/>
  <c r="I302" i="36"/>
  <c r="K301" i="36"/>
  <c r="L301" i="36" s="1"/>
  <c r="I301" i="36"/>
  <c r="K300" i="36"/>
  <c r="L300" i="36" s="1"/>
  <c r="I300" i="36"/>
  <c r="K299" i="36"/>
  <c r="L299" i="36" s="1"/>
  <c r="I299" i="36"/>
  <c r="K298" i="36"/>
  <c r="L298" i="36" s="1"/>
  <c r="I298" i="36"/>
  <c r="K297" i="36"/>
  <c r="L297" i="36" s="1"/>
  <c r="I297" i="36"/>
  <c r="K296" i="36"/>
  <c r="L296" i="36" s="1"/>
  <c r="I296" i="36"/>
  <c r="K295" i="36"/>
  <c r="L295" i="36" s="1"/>
  <c r="I295" i="36"/>
  <c r="K294" i="36"/>
  <c r="L294" i="36" s="1"/>
  <c r="I294" i="36"/>
  <c r="K293" i="36"/>
  <c r="L293" i="36" s="1"/>
  <c r="I293" i="36"/>
  <c r="K292" i="36"/>
  <c r="L292" i="36" s="1"/>
  <c r="I292" i="36"/>
  <c r="K291" i="36"/>
  <c r="L291" i="36" s="1"/>
  <c r="I291" i="36"/>
  <c r="J290" i="36"/>
  <c r="H290" i="36"/>
  <c r="F290" i="36"/>
  <c r="E290" i="36"/>
  <c r="K289" i="36"/>
  <c r="L289" i="36" s="1"/>
  <c r="I289" i="36"/>
  <c r="K288" i="36"/>
  <c r="L288" i="36" s="1"/>
  <c r="I288" i="36"/>
  <c r="K287" i="36"/>
  <c r="L287" i="36" s="1"/>
  <c r="I287" i="36"/>
  <c r="K286" i="36"/>
  <c r="L286" i="36" s="1"/>
  <c r="I286" i="36"/>
  <c r="K285" i="36"/>
  <c r="L285" i="36" s="1"/>
  <c r="I285" i="36"/>
  <c r="K284" i="36"/>
  <c r="L284" i="36" s="1"/>
  <c r="I284" i="36"/>
  <c r="K283" i="36"/>
  <c r="L283" i="36" s="1"/>
  <c r="I283" i="36"/>
  <c r="K282" i="36"/>
  <c r="L282" i="36" s="1"/>
  <c r="I282" i="36"/>
  <c r="J281" i="36"/>
  <c r="H281" i="36"/>
  <c r="F281" i="36"/>
  <c r="E281" i="36"/>
  <c r="K274" i="36"/>
  <c r="L274" i="36" s="1"/>
  <c r="I274" i="36"/>
  <c r="L273" i="36"/>
  <c r="L272" i="36"/>
  <c r="I272" i="36"/>
  <c r="J271" i="36"/>
  <c r="H271" i="36"/>
  <c r="F271" i="36"/>
  <c r="E271" i="36"/>
  <c r="K268" i="36"/>
  <c r="K267" i="36"/>
  <c r="K266" i="36"/>
  <c r="L266" i="36" s="1"/>
  <c r="I266" i="36"/>
  <c r="K265" i="36"/>
  <c r="L265" i="36" s="1"/>
  <c r="I265" i="36"/>
  <c r="K264" i="36"/>
  <c r="L264" i="36" s="1"/>
  <c r="I264" i="36"/>
  <c r="K263" i="36"/>
  <c r="L263" i="36" s="1"/>
  <c r="I263" i="36"/>
  <c r="K262" i="36"/>
  <c r="L262" i="36" s="1"/>
  <c r="I262" i="36"/>
  <c r="K261" i="36"/>
  <c r="L261" i="36" s="1"/>
  <c r="I261" i="36"/>
  <c r="K260" i="36"/>
  <c r="L260" i="36" s="1"/>
  <c r="I260" i="36"/>
  <c r="K259" i="36"/>
  <c r="K258" i="36"/>
  <c r="K257" i="36"/>
  <c r="L257" i="36" s="1"/>
  <c r="I257" i="36"/>
  <c r="K256" i="36"/>
  <c r="L256" i="36" s="1"/>
  <c r="I256" i="36"/>
  <c r="K255" i="36"/>
  <c r="L255" i="36" s="1"/>
  <c r="I255" i="36"/>
  <c r="K254" i="36"/>
  <c r="L254" i="36" s="1"/>
  <c r="I254" i="36"/>
  <c r="K253" i="36"/>
  <c r="K252" i="36"/>
  <c r="K251" i="36"/>
  <c r="K250" i="36"/>
  <c r="K249" i="36"/>
  <c r="L249" i="36" s="1"/>
  <c r="I249" i="36"/>
  <c r="K248" i="36"/>
  <c r="L248" i="36" s="1"/>
  <c r="I248" i="36"/>
  <c r="K247" i="36"/>
  <c r="L247" i="36" s="1"/>
  <c r="I247" i="36"/>
  <c r="K246" i="36"/>
  <c r="L246" i="36" s="1"/>
  <c r="I246" i="36"/>
  <c r="K245" i="36"/>
  <c r="L245" i="36" s="1"/>
  <c r="I245" i="36"/>
  <c r="K244" i="36"/>
  <c r="L244" i="36" s="1"/>
  <c r="I244" i="36"/>
  <c r="K243" i="36"/>
  <c r="L243" i="36" s="1"/>
  <c r="I243" i="36"/>
  <c r="K242" i="36"/>
  <c r="L242" i="36" s="1"/>
  <c r="I242" i="36"/>
  <c r="K241" i="36"/>
  <c r="L241" i="36" s="1"/>
  <c r="I241" i="36"/>
  <c r="K240" i="36"/>
  <c r="L240" i="36" s="1"/>
  <c r="I240" i="36"/>
  <c r="K239" i="36"/>
  <c r="L239" i="36" s="1"/>
  <c r="I239" i="36"/>
  <c r="K238" i="36"/>
  <c r="L238" i="36" s="1"/>
  <c r="I238" i="36"/>
  <c r="K237" i="36"/>
  <c r="L237" i="36" s="1"/>
  <c r="I237" i="36"/>
  <c r="K236" i="36"/>
  <c r="L236" i="36" s="1"/>
  <c r="I236" i="36"/>
  <c r="K235" i="36"/>
  <c r="L235" i="36" s="1"/>
  <c r="I235" i="36"/>
  <c r="K234" i="36"/>
  <c r="L234" i="36" s="1"/>
  <c r="I234" i="36"/>
  <c r="K233" i="36"/>
  <c r="L233" i="36" s="1"/>
  <c r="I233" i="36"/>
  <c r="L232" i="36"/>
  <c r="J231" i="36"/>
  <c r="H231" i="36"/>
  <c r="F231" i="36"/>
  <c r="E231" i="36"/>
  <c r="K230" i="36"/>
  <c r="L230" i="36" s="1"/>
  <c r="I230" i="36"/>
  <c r="K228" i="36"/>
  <c r="L228" i="36" s="1"/>
  <c r="I228" i="36"/>
  <c r="K227" i="36"/>
  <c r="L227" i="36" s="1"/>
  <c r="I227" i="36"/>
  <c r="K226" i="36"/>
  <c r="L226" i="36" s="1"/>
  <c r="I226" i="36"/>
  <c r="K225" i="36"/>
  <c r="L225" i="36" s="1"/>
  <c r="I225" i="36"/>
  <c r="K224" i="36"/>
  <c r="L224" i="36" s="1"/>
  <c r="I224" i="36"/>
  <c r="K223" i="36"/>
  <c r="L223" i="36" s="1"/>
  <c r="I223" i="36"/>
  <c r="K222" i="36"/>
  <c r="L222" i="36" s="1"/>
  <c r="I222" i="36"/>
  <c r="K221" i="36"/>
  <c r="L221" i="36" s="1"/>
  <c r="I221" i="36"/>
  <c r="K220" i="36"/>
  <c r="L220" i="36" s="1"/>
  <c r="I220" i="36"/>
  <c r="K219" i="36"/>
  <c r="K218" i="36"/>
  <c r="I218" i="36"/>
  <c r="J217" i="36"/>
  <c r="H217" i="36"/>
  <c r="F217" i="36"/>
  <c r="E217" i="36"/>
  <c r="K216" i="36"/>
  <c r="L216" i="36" s="1"/>
  <c r="I216" i="36"/>
  <c r="K215" i="36"/>
  <c r="L215" i="36" s="1"/>
  <c r="I215" i="36"/>
  <c r="K214" i="36"/>
  <c r="L214" i="36" s="1"/>
  <c r="I214" i="36"/>
  <c r="K213" i="36"/>
  <c r="K212" i="36"/>
  <c r="L212" i="36" s="1"/>
  <c r="I212" i="36"/>
  <c r="K211" i="36"/>
  <c r="L211" i="36" s="1"/>
  <c r="I211" i="36"/>
  <c r="K210" i="36"/>
  <c r="L210" i="36" s="1"/>
  <c r="I210" i="36"/>
  <c r="K209" i="36"/>
  <c r="L209" i="36" s="1"/>
  <c r="I209" i="36"/>
  <c r="J208" i="36"/>
  <c r="H208" i="36"/>
  <c r="F208" i="36"/>
  <c r="E208" i="36"/>
  <c r="K201" i="36"/>
  <c r="K200" i="36" s="1"/>
  <c r="J200" i="36"/>
  <c r="H200" i="36"/>
  <c r="F200" i="36"/>
  <c r="E200" i="36"/>
  <c r="K197" i="36"/>
  <c r="K196" i="36"/>
  <c r="K195" i="36"/>
  <c r="K194" i="36"/>
  <c r="K193" i="36"/>
  <c r="K192" i="36"/>
  <c r="K191" i="36"/>
  <c r="K190" i="36"/>
  <c r="K189" i="36"/>
  <c r="K188" i="36"/>
  <c r="F187" i="36"/>
  <c r="K186" i="36"/>
  <c r="K185" i="36"/>
  <c r="L185" i="36" s="1"/>
  <c r="I185" i="36"/>
  <c r="J184" i="36"/>
  <c r="H184" i="36"/>
  <c r="F184" i="36"/>
  <c r="E184" i="36"/>
  <c r="K182" i="36"/>
  <c r="L182" i="36" s="1"/>
  <c r="I182" i="36"/>
  <c r="K181" i="36"/>
  <c r="L181" i="36" s="1"/>
  <c r="I181" i="36"/>
  <c r="K180" i="36"/>
  <c r="L180" i="36" s="1"/>
  <c r="I180" i="36"/>
  <c r="K179" i="36"/>
  <c r="L179" i="36" s="1"/>
  <c r="I179" i="36"/>
  <c r="K178" i="36"/>
  <c r="L178" i="36" s="1"/>
  <c r="I178" i="36"/>
  <c r="K177" i="36"/>
  <c r="L177" i="36" s="1"/>
  <c r="I177" i="36"/>
  <c r="K176" i="36"/>
  <c r="L176" i="36" s="1"/>
  <c r="I176" i="36"/>
  <c r="K175" i="36"/>
  <c r="L175" i="36" s="1"/>
  <c r="I175" i="36"/>
  <c r="K174" i="36"/>
  <c r="L174" i="36" s="1"/>
  <c r="I174" i="36"/>
  <c r="K173" i="36"/>
  <c r="L173" i="36" s="1"/>
  <c r="I173" i="36"/>
  <c r="K172" i="36"/>
  <c r="L172" i="36" s="1"/>
  <c r="I172" i="36"/>
  <c r="K171" i="36"/>
  <c r="L171" i="36" s="1"/>
  <c r="I171" i="36"/>
  <c r="K170" i="36"/>
  <c r="L170" i="36" s="1"/>
  <c r="I170" i="36"/>
  <c r="K169" i="36"/>
  <c r="L169" i="36" s="1"/>
  <c r="I169" i="36"/>
  <c r="K168" i="36"/>
  <c r="L168" i="36" s="1"/>
  <c r="I168" i="36"/>
  <c r="K167" i="36"/>
  <c r="L167" i="36" s="1"/>
  <c r="I167" i="36"/>
  <c r="K166" i="36"/>
  <c r="L166" i="36" s="1"/>
  <c r="I166" i="36"/>
  <c r="J165" i="36"/>
  <c r="H165" i="36"/>
  <c r="F165" i="36"/>
  <c r="E165" i="36"/>
  <c r="K164" i="36"/>
  <c r="L164" i="36" s="1"/>
  <c r="I164" i="36"/>
  <c r="K163" i="36"/>
  <c r="L163" i="36" s="1"/>
  <c r="I163" i="36"/>
  <c r="K162" i="36"/>
  <c r="L162" i="36" s="1"/>
  <c r="I162" i="36"/>
  <c r="K161" i="36"/>
  <c r="L161" i="36" s="1"/>
  <c r="I161" i="36"/>
  <c r="K160" i="36"/>
  <c r="L160" i="36" s="1"/>
  <c r="I160" i="36"/>
  <c r="K159" i="36"/>
  <c r="L159" i="36" s="1"/>
  <c r="I159" i="36"/>
  <c r="K158" i="36"/>
  <c r="L158" i="36" s="1"/>
  <c r="I158" i="36"/>
  <c r="K157" i="36"/>
  <c r="L157" i="36" s="1"/>
  <c r="I157" i="36"/>
  <c r="J156" i="36"/>
  <c r="H156" i="36"/>
  <c r="F156" i="36"/>
  <c r="E156" i="36"/>
  <c r="K144" i="36"/>
  <c r="L144" i="36" s="1"/>
  <c r="I144" i="36"/>
  <c r="K142" i="36"/>
  <c r="L142" i="36" s="1"/>
  <c r="I142" i="36"/>
  <c r="K141" i="36"/>
  <c r="L141" i="36" s="1"/>
  <c r="I141" i="36"/>
  <c r="K140" i="36"/>
  <c r="L140" i="36" s="1"/>
  <c r="I140" i="36"/>
  <c r="K139" i="36"/>
  <c r="L139" i="36" s="1"/>
  <c r="I139" i="36"/>
  <c r="J138" i="36"/>
  <c r="H138" i="36"/>
  <c r="F138" i="36"/>
  <c r="E138" i="36"/>
  <c r="K137" i="36"/>
  <c r="L137" i="36" s="1"/>
  <c r="I137" i="36"/>
  <c r="K136" i="36"/>
  <c r="L136" i="36" s="1"/>
  <c r="I136" i="36"/>
  <c r="K135" i="36"/>
  <c r="L135" i="36" s="1"/>
  <c r="I135" i="36"/>
  <c r="K134" i="36"/>
  <c r="I134" i="36"/>
  <c r="K133" i="36"/>
  <c r="L133" i="36" s="1"/>
  <c r="I133" i="36"/>
  <c r="L132" i="36"/>
  <c r="L131" i="36"/>
  <c r="J130" i="36"/>
  <c r="H130" i="36"/>
  <c r="F130" i="36"/>
  <c r="E130" i="36"/>
  <c r="L126" i="36"/>
  <c r="L125" i="36"/>
  <c r="L124" i="36"/>
  <c r="L123" i="36"/>
  <c r="L122" i="36"/>
  <c r="L121" i="36"/>
  <c r="L120" i="36"/>
  <c r="L119" i="36"/>
  <c r="L118" i="36"/>
  <c r="L117" i="36"/>
  <c r="L116" i="36"/>
  <c r="L115" i="36"/>
  <c r="L114" i="36"/>
  <c r="L113" i="36"/>
  <c r="L112" i="36"/>
  <c r="K103" i="36"/>
  <c r="L103" i="36" s="1"/>
  <c r="I103" i="36"/>
  <c r="K101" i="36"/>
  <c r="L101" i="36" s="1"/>
  <c r="I101" i="36"/>
  <c r="K100" i="36"/>
  <c r="K99" i="36"/>
  <c r="L99" i="36" s="1"/>
  <c r="I99" i="36"/>
  <c r="K98" i="36"/>
  <c r="K97" i="36"/>
  <c r="L97" i="36" s="1"/>
  <c r="I97" i="36"/>
  <c r="K96" i="36"/>
  <c r="L96" i="36" s="1"/>
  <c r="I96" i="36"/>
  <c r="K95" i="36"/>
  <c r="L95" i="36" s="1"/>
  <c r="I95" i="36"/>
  <c r="K94" i="36"/>
  <c r="L94" i="36" s="1"/>
  <c r="I94" i="36"/>
  <c r="K93" i="36"/>
  <c r="L93" i="36" s="1"/>
  <c r="I93" i="36"/>
  <c r="K92" i="36"/>
  <c r="L92" i="36" s="1"/>
  <c r="I92" i="36"/>
  <c r="K91" i="36"/>
  <c r="L91" i="36" s="1"/>
  <c r="I91" i="36"/>
  <c r="K90" i="36"/>
  <c r="L90" i="36" s="1"/>
  <c r="I90" i="36"/>
  <c r="K89" i="36"/>
  <c r="I89" i="36"/>
  <c r="L88" i="36"/>
  <c r="J87" i="36"/>
  <c r="H87" i="36"/>
  <c r="F87" i="36"/>
  <c r="E87" i="36"/>
  <c r="K86" i="36"/>
  <c r="L86" i="36" s="1"/>
  <c r="I86" i="36"/>
  <c r="K85" i="36"/>
  <c r="L85" i="36" s="1"/>
  <c r="I85" i="36"/>
  <c r="K84" i="36"/>
  <c r="L84" i="36" s="1"/>
  <c r="I84" i="36"/>
  <c r="K83" i="36"/>
  <c r="L83" i="36" s="1"/>
  <c r="I83" i="36"/>
  <c r="K82" i="36"/>
  <c r="L82" i="36" s="1"/>
  <c r="I82" i="36"/>
  <c r="K81" i="36"/>
  <c r="L81" i="36" s="1"/>
  <c r="I81" i="36"/>
  <c r="K80" i="36"/>
  <c r="L80" i="36" s="1"/>
  <c r="I80" i="36"/>
  <c r="K79" i="36"/>
  <c r="L79" i="36" s="1"/>
  <c r="I79" i="36"/>
  <c r="J78" i="36"/>
  <c r="H78" i="36"/>
  <c r="F78" i="36"/>
  <c r="E78" i="36"/>
  <c r="K63" i="36"/>
  <c r="K61" i="36" s="1"/>
  <c r="K60" i="36" s="1"/>
  <c r="K59" i="36" s="1"/>
  <c r="K58" i="36" s="1"/>
  <c r="J61" i="36"/>
  <c r="J60" i="36" s="1"/>
  <c r="J59" i="36" s="1"/>
  <c r="J58" i="36" s="1"/>
  <c r="H61" i="36"/>
  <c r="H60" i="36" s="1"/>
  <c r="H59" i="36" s="1"/>
  <c r="H58" i="36" s="1"/>
  <c r="F61" i="36"/>
  <c r="F60" i="36" s="1"/>
  <c r="F59" i="36" s="1"/>
  <c r="F58" i="36" s="1"/>
  <c r="E61" i="36"/>
  <c r="E60" i="36" s="1"/>
  <c r="E59" i="36" s="1"/>
  <c r="E58" i="36" s="1"/>
  <c r="K54" i="36"/>
  <c r="K53" i="36"/>
  <c r="J52" i="36"/>
  <c r="H52" i="36"/>
  <c r="H51" i="36" s="1"/>
  <c r="F52" i="36"/>
  <c r="E52" i="36"/>
  <c r="K46" i="36"/>
  <c r="K42" i="36" s="1"/>
  <c r="I46" i="36"/>
  <c r="J42" i="36"/>
  <c r="H42" i="36"/>
  <c r="F42" i="36"/>
  <c r="E42" i="36"/>
  <c r="K32" i="36"/>
  <c r="L32" i="36" s="1"/>
  <c r="I32" i="36"/>
  <c r="L30" i="36"/>
  <c r="I30" i="36"/>
  <c r="K29" i="36"/>
  <c r="K28" i="36" s="1"/>
  <c r="I29" i="36"/>
  <c r="J28" i="36"/>
  <c r="J26" i="36" s="1"/>
  <c r="J25" i="36" s="1"/>
  <c r="J24" i="36" s="1"/>
  <c r="H28" i="36"/>
  <c r="F28" i="36"/>
  <c r="F26" i="36" s="1"/>
  <c r="F25" i="36" s="1"/>
  <c r="F24" i="36" s="1"/>
  <c r="E28" i="36"/>
  <c r="I27" i="37" l="1"/>
  <c r="I94" i="38"/>
  <c r="H239" i="38"/>
  <c r="I239" i="38" s="1"/>
  <c r="L95" i="38"/>
  <c r="E24" i="37"/>
  <c r="E81" i="37" s="1"/>
  <c r="H92" i="38"/>
  <c r="I92" i="38" s="1"/>
  <c r="H26" i="37"/>
  <c r="H25" i="37" s="1"/>
  <c r="I25" i="37" s="1"/>
  <c r="J468" i="36"/>
  <c r="J467" i="36" s="1"/>
  <c r="G81" i="37"/>
  <c r="F414" i="38"/>
  <c r="F24" i="37"/>
  <c r="F81" i="37" s="1"/>
  <c r="F614" i="39"/>
  <c r="F329" i="36"/>
  <c r="F328" i="36" s="1"/>
  <c r="F327" i="36" s="1"/>
  <c r="K334" i="36"/>
  <c r="L334" i="36" s="1"/>
  <c r="I63" i="37"/>
  <c r="J129" i="36"/>
  <c r="J128" i="36" s="1"/>
  <c r="J127" i="36" s="1"/>
  <c r="G414" i="38"/>
  <c r="H280" i="36"/>
  <c r="H279" i="36" s="1"/>
  <c r="J329" i="36"/>
  <c r="J328" i="36" s="1"/>
  <c r="J327" i="36" s="1"/>
  <c r="F468" i="36"/>
  <c r="F467" i="36" s="1"/>
  <c r="F466" i="36" s="1"/>
  <c r="L67" i="37"/>
  <c r="K47" i="37"/>
  <c r="K46" i="37" s="1"/>
  <c r="I440" i="36"/>
  <c r="I530" i="36"/>
  <c r="F155" i="36"/>
  <c r="F154" i="36" s="1"/>
  <c r="F153" i="36" s="1"/>
  <c r="J207" i="36"/>
  <c r="J206" i="36" s="1"/>
  <c r="J205" i="36" s="1"/>
  <c r="H207" i="36"/>
  <c r="H206" i="36" s="1"/>
  <c r="J280" i="36"/>
  <c r="J279" i="36" s="1"/>
  <c r="J278" i="36" s="1"/>
  <c r="J512" i="36"/>
  <c r="I533" i="36"/>
  <c r="I271" i="36"/>
  <c r="I290" i="36"/>
  <c r="E329" i="36"/>
  <c r="E328" i="36" s="1"/>
  <c r="E327" i="36" s="1"/>
  <c r="H529" i="36"/>
  <c r="H528" i="36" s="1"/>
  <c r="E280" i="36"/>
  <c r="E279" i="36" s="1"/>
  <c r="E278" i="36" s="1"/>
  <c r="E529" i="36"/>
  <c r="I156" i="36"/>
  <c r="I87" i="36"/>
  <c r="I28" i="36"/>
  <c r="F207" i="36"/>
  <c r="F206" i="36" s="1"/>
  <c r="F205" i="36" s="1"/>
  <c r="F512" i="36"/>
  <c r="I138" i="36"/>
  <c r="F280" i="36"/>
  <c r="F279" i="36" s="1"/>
  <c r="F278" i="36" s="1"/>
  <c r="K52" i="36"/>
  <c r="K51" i="36" s="1"/>
  <c r="K41" i="36" s="1"/>
  <c r="F77" i="36"/>
  <c r="F76" i="36" s="1"/>
  <c r="F75" i="36" s="1"/>
  <c r="I231" i="36"/>
  <c r="I373" i="36"/>
  <c r="L491" i="36"/>
  <c r="E207" i="36"/>
  <c r="H129" i="36"/>
  <c r="H128" i="36" s="1"/>
  <c r="I165" i="36"/>
  <c r="I208" i="36"/>
  <c r="I415" i="36"/>
  <c r="J529" i="36"/>
  <c r="J528" i="36" s="1"/>
  <c r="J527" i="36" s="1"/>
  <c r="F406" i="36"/>
  <c r="F405" i="36" s="1"/>
  <c r="F404" i="36" s="1"/>
  <c r="E155" i="36"/>
  <c r="E154" i="36" s="1"/>
  <c r="E153" i="36" s="1"/>
  <c r="J155" i="36"/>
  <c r="J154" i="36" s="1"/>
  <c r="J153" i="36" s="1"/>
  <c r="J466" i="36"/>
  <c r="I522" i="36"/>
  <c r="I536" i="36"/>
  <c r="E129" i="36"/>
  <c r="E128" i="36" s="1"/>
  <c r="E127" i="36" s="1"/>
  <c r="K184" i="36"/>
  <c r="L184" i="36" s="1"/>
  <c r="K352" i="36"/>
  <c r="E406" i="36"/>
  <c r="E405" i="36" s="1"/>
  <c r="E404" i="36" s="1"/>
  <c r="H496" i="36"/>
  <c r="K165" i="36"/>
  <c r="L165" i="36" s="1"/>
  <c r="K281" i="36"/>
  <c r="L281" i="36" s="1"/>
  <c r="J406" i="36"/>
  <c r="J405" i="36" s="1"/>
  <c r="J404" i="36" s="1"/>
  <c r="K478" i="36"/>
  <c r="L478" i="36" s="1"/>
  <c r="L492" i="36"/>
  <c r="K546" i="36"/>
  <c r="K545" i="36" s="1"/>
  <c r="I130" i="36"/>
  <c r="I217" i="36"/>
  <c r="I348" i="36"/>
  <c r="K87" i="36"/>
  <c r="L87" i="36" s="1"/>
  <c r="K130" i="36"/>
  <c r="L130" i="36" s="1"/>
  <c r="K138" i="36"/>
  <c r="L138" i="36" s="1"/>
  <c r="K231" i="36"/>
  <c r="L231" i="36" s="1"/>
  <c r="K536" i="36"/>
  <c r="L536" i="36" s="1"/>
  <c r="I374" i="36"/>
  <c r="K497" i="36"/>
  <c r="K496" i="36" s="1"/>
  <c r="F529" i="36"/>
  <c r="F528" i="36" s="1"/>
  <c r="F527" i="36" s="1"/>
  <c r="H77" i="36"/>
  <c r="H76" i="36" s="1"/>
  <c r="H75" i="36" s="1"/>
  <c r="F129" i="36"/>
  <c r="F128" i="36" s="1"/>
  <c r="F127" i="36" s="1"/>
  <c r="K208" i="36"/>
  <c r="K217" i="36"/>
  <c r="L217" i="36" s="1"/>
  <c r="K271" i="36"/>
  <c r="L271" i="36" s="1"/>
  <c r="I281" i="36"/>
  <c r="I539" i="36"/>
  <c r="L132" i="39"/>
  <c r="K131" i="39"/>
  <c r="L131" i="39" s="1"/>
  <c r="K117" i="38"/>
  <c r="L117" i="38" s="1"/>
  <c r="E414" i="38"/>
  <c r="K337" i="38"/>
  <c r="L337" i="38" s="1"/>
  <c r="J614" i="39"/>
  <c r="K7" i="38"/>
  <c r="L7" i="38" s="1"/>
  <c r="K6" i="38"/>
  <c r="L8" i="38"/>
  <c r="I300" i="39"/>
  <c r="H299" i="39"/>
  <c r="L564" i="39"/>
  <c r="K562" i="39"/>
  <c r="I562" i="39"/>
  <c r="H561" i="39"/>
  <c r="I561" i="39" s="1"/>
  <c r="E24" i="39"/>
  <c r="I25" i="39"/>
  <c r="I30" i="38"/>
  <c r="H29" i="38"/>
  <c r="I117" i="38"/>
  <c r="H116" i="38"/>
  <c r="I177" i="39"/>
  <c r="H176" i="39"/>
  <c r="I176" i="39" s="1"/>
  <c r="I490" i="39"/>
  <c r="L107" i="39"/>
  <c r="K97" i="39"/>
  <c r="I247" i="39"/>
  <c r="H246" i="39"/>
  <c r="I246" i="39" s="1"/>
  <c r="K396" i="38"/>
  <c r="K358" i="38"/>
  <c r="L363" i="38"/>
  <c r="L55" i="38"/>
  <c r="K54" i="38"/>
  <c r="H458" i="39"/>
  <c r="I459" i="39"/>
  <c r="L377" i="38"/>
  <c r="K376" i="38"/>
  <c r="L376" i="38" s="1"/>
  <c r="K300" i="39"/>
  <c r="L301" i="39"/>
  <c r="K30" i="38"/>
  <c r="L31" i="38"/>
  <c r="I53" i="38"/>
  <c r="H52" i="38"/>
  <c r="I52" i="38" s="1"/>
  <c r="H395" i="38"/>
  <c r="I396" i="38"/>
  <c r="H357" i="39"/>
  <c r="I357" i="39" s="1"/>
  <c r="I358" i="39"/>
  <c r="K246" i="39"/>
  <c r="L246" i="39" s="1"/>
  <c r="L247" i="39"/>
  <c r="L440" i="39"/>
  <c r="K439" i="39"/>
  <c r="L439" i="39" s="1"/>
  <c r="I97" i="39"/>
  <c r="K239" i="38"/>
  <c r="L239" i="38" s="1"/>
  <c r="L240" i="38"/>
  <c r="L250" i="39"/>
  <c r="L491" i="39"/>
  <c r="K490" i="39"/>
  <c r="J414" i="38"/>
  <c r="I358" i="38"/>
  <c r="H357" i="38"/>
  <c r="L368" i="39"/>
  <c r="K358" i="39"/>
  <c r="L156" i="39"/>
  <c r="K146" i="39"/>
  <c r="L146" i="39" s="1"/>
  <c r="K207" i="39"/>
  <c r="L208" i="39"/>
  <c r="L94" i="38"/>
  <c r="K93" i="38"/>
  <c r="L65" i="37"/>
  <c r="K64" i="37"/>
  <c r="I46" i="37"/>
  <c r="H45" i="37"/>
  <c r="K8" i="37"/>
  <c r="I8" i="37"/>
  <c r="H7" i="37"/>
  <c r="L42" i="36"/>
  <c r="K26" i="36"/>
  <c r="L28" i="36"/>
  <c r="K348" i="36"/>
  <c r="L348" i="36" s="1"/>
  <c r="L349" i="36"/>
  <c r="I42" i="36"/>
  <c r="J51" i="36"/>
  <c r="J41" i="36" s="1"/>
  <c r="J23" i="36" s="1"/>
  <c r="E77" i="36"/>
  <c r="E76" i="36" s="1"/>
  <c r="E75" i="36" s="1"/>
  <c r="K78" i="36"/>
  <c r="L134" i="36"/>
  <c r="H155" i="36"/>
  <c r="E205" i="36"/>
  <c r="H406" i="36"/>
  <c r="I407" i="36"/>
  <c r="K539" i="36"/>
  <c r="L539" i="36" s="1"/>
  <c r="L540" i="36"/>
  <c r="K340" i="36"/>
  <c r="I340" i="36"/>
  <c r="H339" i="36"/>
  <c r="I339" i="36" s="1"/>
  <c r="K415" i="36"/>
  <c r="L415" i="36" s="1"/>
  <c r="L416" i="36"/>
  <c r="L89" i="36"/>
  <c r="E468" i="36"/>
  <c r="E467" i="36" s="1"/>
  <c r="E466" i="36" s="1"/>
  <c r="L29" i="36"/>
  <c r="L46" i="36"/>
  <c r="E51" i="36"/>
  <c r="E41" i="36" s="1"/>
  <c r="I184" i="36"/>
  <c r="L218" i="36"/>
  <c r="I478" i="36"/>
  <c r="E26" i="36"/>
  <c r="E25" i="36" s="1"/>
  <c r="E24" i="36" s="1"/>
  <c r="H26" i="36"/>
  <c r="H41" i="36"/>
  <c r="F51" i="36"/>
  <c r="F41" i="36" s="1"/>
  <c r="F23" i="36" s="1"/>
  <c r="J77" i="36"/>
  <c r="J76" i="36" s="1"/>
  <c r="J75" i="36" s="1"/>
  <c r="I78" i="36"/>
  <c r="K156" i="36"/>
  <c r="K290" i="36"/>
  <c r="K309" i="36"/>
  <c r="K374" i="36"/>
  <c r="L376" i="36"/>
  <c r="I469" i="36"/>
  <c r="K530" i="36"/>
  <c r="L532" i="36"/>
  <c r="H434" i="36"/>
  <c r="K440" i="36"/>
  <c r="H468" i="36"/>
  <c r="K522" i="36"/>
  <c r="K533" i="36"/>
  <c r="L533" i="36" s="1"/>
  <c r="H330" i="36"/>
  <c r="H372" i="36"/>
  <c r="K407" i="36"/>
  <c r="L479" i="36"/>
  <c r="H512" i="36"/>
  <c r="K469" i="36"/>
  <c r="E403" i="36" l="1"/>
  <c r="K26" i="37"/>
  <c r="K25" i="37" s="1"/>
  <c r="J511" i="36"/>
  <c r="I26" i="37"/>
  <c r="I128" i="36"/>
  <c r="K330" i="36"/>
  <c r="L330" i="36" s="1"/>
  <c r="J403" i="36"/>
  <c r="I129" i="36"/>
  <c r="L26" i="37"/>
  <c r="F403" i="36"/>
  <c r="L47" i="37"/>
  <c r="I207" i="36"/>
  <c r="I279" i="36"/>
  <c r="H278" i="36"/>
  <c r="I278" i="36" s="1"/>
  <c r="K129" i="36"/>
  <c r="L129" i="36" s="1"/>
  <c r="I280" i="36"/>
  <c r="K336" i="38"/>
  <c r="I529" i="36"/>
  <c r="E528" i="36"/>
  <c r="E527" i="36" s="1"/>
  <c r="E511" i="36" s="1"/>
  <c r="F74" i="36"/>
  <c r="K116" i="38"/>
  <c r="L116" i="38" s="1"/>
  <c r="F511" i="36"/>
  <c r="K207" i="36"/>
  <c r="K206" i="36" s="1"/>
  <c r="J74" i="36"/>
  <c r="E23" i="36"/>
  <c r="L208" i="36"/>
  <c r="E74" i="36"/>
  <c r="I206" i="36"/>
  <c r="H205" i="36"/>
  <c r="I205" i="36" s="1"/>
  <c r="H127" i="36"/>
  <c r="I127" i="36" s="1"/>
  <c r="H489" i="39"/>
  <c r="I489" i="39" s="1"/>
  <c r="H96" i="39"/>
  <c r="I96" i="39" s="1"/>
  <c r="L93" i="38"/>
  <c r="K92" i="38"/>
  <c r="K395" i="38"/>
  <c r="L396" i="38"/>
  <c r="I299" i="39"/>
  <c r="H268" i="39"/>
  <c r="I268" i="39" s="1"/>
  <c r="H356" i="38"/>
  <c r="I357" i="38"/>
  <c r="L336" i="38"/>
  <c r="H115" i="38"/>
  <c r="I116" i="38"/>
  <c r="L490" i="39"/>
  <c r="L300" i="39"/>
  <c r="K299" i="39"/>
  <c r="I29" i="38"/>
  <c r="I24" i="39"/>
  <c r="E614" i="39"/>
  <c r="L358" i="39"/>
  <c r="K357" i="39"/>
  <c r="L357" i="39" s="1"/>
  <c r="K29" i="38"/>
  <c r="L29" i="38" s="1"/>
  <c r="L30" i="38"/>
  <c r="K53" i="38"/>
  <c r="L54" i="38"/>
  <c r="L207" i="39"/>
  <c r="K206" i="39"/>
  <c r="L206" i="39" s="1"/>
  <c r="H394" i="38"/>
  <c r="I394" i="38" s="1"/>
  <c r="I395" i="38"/>
  <c r="L562" i="39"/>
  <c r="K561" i="39"/>
  <c r="L561" i="39" s="1"/>
  <c r="L358" i="38"/>
  <c r="K357" i="38"/>
  <c r="I458" i="39"/>
  <c r="H439" i="39"/>
  <c r="I439" i="39" s="1"/>
  <c r="L97" i="39"/>
  <c r="L6" i="38"/>
  <c r="K45" i="37"/>
  <c r="L45" i="37" s="1"/>
  <c r="L46" i="37"/>
  <c r="K7" i="37"/>
  <c r="L8" i="37"/>
  <c r="L64" i="37"/>
  <c r="K63" i="37"/>
  <c r="L63" i="37" s="1"/>
  <c r="L25" i="37"/>
  <c r="I45" i="37"/>
  <c r="H24" i="37"/>
  <c r="I24" i="37" s="1"/>
  <c r="H6" i="37"/>
  <c r="I7" i="37"/>
  <c r="L340" i="36"/>
  <c r="K339" i="36"/>
  <c r="I468" i="36"/>
  <c r="H467" i="36"/>
  <c r="K155" i="36"/>
  <c r="L156" i="36"/>
  <c r="I372" i="36"/>
  <c r="H371" i="36"/>
  <c r="I371" i="36" s="1"/>
  <c r="H527" i="36"/>
  <c r="H329" i="36"/>
  <c r="I330" i="36"/>
  <c r="I434" i="36"/>
  <c r="H433" i="36"/>
  <c r="I433" i="36" s="1"/>
  <c r="I155" i="36"/>
  <c r="H154" i="36"/>
  <c r="I76" i="36"/>
  <c r="K468" i="36"/>
  <c r="L469" i="36"/>
  <c r="L374" i="36"/>
  <c r="K373" i="36"/>
  <c r="I512" i="36"/>
  <c r="L530" i="36"/>
  <c r="K529" i="36"/>
  <c r="I41" i="36"/>
  <c r="H405" i="36"/>
  <c r="I406" i="36"/>
  <c r="L78" i="36"/>
  <c r="K77" i="36"/>
  <c r="L26" i="36"/>
  <c r="K25" i="36"/>
  <c r="I75" i="36"/>
  <c r="L41" i="36"/>
  <c r="K434" i="36"/>
  <c r="L440" i="36"/>
  <c r="L522" i="36"/>
  <c r="K512" i="36"/>
  <c r="L290" i="36"/>
  <c r="K280" i="36"/>
  <c r="H25" i="36"/>
  <c r="I26" i="36"/>
  <c r="L407" i="36"/>
  <c r="K406" i="36"/>
  <c r="I77" i="36"/>
  <c r="J552" i="36" l="1"/>
  <c r="L207" i="36"/>
  <c r="K128" i="36"/>
  <c r="K127" i="36" s="1"/>
  <c r="L127" i="36" s="1"/>
  <c r="I528" i="36"/>
  <c r="I527" i="36"/>
  <c r="F552" i="36"/>
  <c r="E552" i="36"/>
  <c r="H511" i="36"/>
  <c r="I511" i="36" s="1"/>
  <c r="K115" i="38"/>
  <c r="L115" i="38" s="1"/>
  <c r="K96" i="39"/>
  <c r="L96" i="39" s="1"/>
  <c r="K489" i="39"/>
  <c r="L489" i="39" s="1"/>
  <c r="K24" i="37"/>
  <c r="L24" i="37" s="1"/>
  <c r="H614" i="39"/>
  <c r="I614" i="39" s="1"/>
  <c r="L357" i="38"/>
  <c r="K356" i="38"/>
  <c r="I115" i="38"/>
  <c r="H91" i="38"/>
  <c r="I91" i="38" s="1"/>
  <c r="I356" i="38"/>
  <c r="H335" i="38"/>
  <c r="L395" i="38"/>
  <c r="K394" i="38"/>
  <c r="L394" i="38" s="1"/>
  <c r="L299" i="39"/>
  <c r="K268" i="39"/>
  <c r="L268" i="39" s="1"/>
  <c r="L53" i="38"/>
  <c r="K52" i="38"/>
  <c r="L52" i="38" s="1"/>
  <c r="L92" i="38"/>
  <c r="I6" i="37"/>
  <c r="H81" i="37"/>
  <c r="I81" i="37" s="1"/>
  <c r="K6" i="37"/>
  <c r="L7" i="37"/>
  <c r="K76" i="36"/>
  <c r="L77" i="36"/>
  <c r="L529" i="36"/>
  <c r="K528" i="36"/>
  <c r="L206" i="36"/>
  <c r="K205" i="36"/>
  <c r="L205" i="36" s="1"/>
  <c r="I25" i="36"/>
  <c r="H24" i="36"/>
  <c r="L434" i="36"/>
  <c r="K433" i="36"/>
  <c r="L433" i="36" s="1"/>
  <c r="L468" i="36"/>
  <c r="K467" i="36"/>
  <c r="L406" i="36"/>
  <c r="K405" i="36"/>
  <c r="K279" i="36"/>
  <c r="L280" i="36"/>
  <c r="L339" i="36"/>
  <c r="K329" i="36"/>
  <c r="H153" i="36"/>
  <c r="I154" i="36"/>
  <c r="I329" i="36"/>
  <c r="H328" i="36"/>
  <c r="L155" i="36"/>
  <c r="K154" i="36"/>
  <c r="L512" i="36"/>
  <c r="K24" i="36"/>
  <c r="L25" i="36"/>
  <c r="I405" i="36"/>
  <c r="H404" i="36"/>
  <c r="L373" i="36"/>
  <c r="K372" i="36"/>
  <c r="H466" i="36"/>
  <c r="I466" i="36" s="1"/>
  <c r="I467" i="36"/>
  <c r="L128" i="36" l="1"/>
  <c r="K91" i="38"/>
  <c r="L91" i="38" s="1"/>
  <c r="K614" i="39"/>
  <c r="L356" i="38"/>
  <c r="K335" i="38"/>
  <c r="I335" i="38"/>
  <c r="H414" i="38"/>
  <c r="I414" i="38" s="1"/>
  <c r="K81" i="37"/>
  <c r="L81" i="37" s="1"/>
  <c r="L6" i="37"/>
  <c r="I153" i="36"/>
  <c r="L467" i="36"/>
  <c r="K466" i="36"/>
  <c r="L466" i="36" s="1"/>
  <c r="K75" i="36"/>
  <c r="L76" i="36"/>
  <c r="I328" i="36"/>
  <c r="H327" i="36"/>
  <c r="I327" i="36" s="1"/>
  <c r="L154" i="36"/>
  <c r="K153" i="36"/>
  <c r="L153" i="36" s="1"/>
  <c r="K371" i="36"/>
  <c r="L371" i="36" s="1"/>
  <c r="L372" i="36"/>
  <c r="K23" i="36"/>
  <c r="L23" i="36" s="1"/>
  <c r="L24" i="36"/>
  <c r="L329" i="36"/>
  <c r="K328" i="36"/>
  <c r="L279" i="36"/>
  <c r="K278" i="36"/>
  <c r="L278" i="36" s="1"/>
  <c r="L528" i="36"/>
  <c r="K527" i="36"/>
  <c r="L405" i="36"/>
  <c r="K404" i="36"/>
  <c r="I24" i="36"/>
  <c r="H23" i="36"/>
  <c r="I23" i="36" s="1"/>
  <c r="I404" i="36"/>
  <c r="H403" i="36"/>
  <c r="H74" i="36" l="1"/>
  <c r="I74" i="36" s="1"/>
  <c r="L614" i="39"/>
  <c r="L335" i="38"/>
  <c r="K414" i="38"/>
  <c r="K403" i="36"/>
  <c r="L403" i="36" s="1"/>
  <c r="L404" i="36"/>
  <c r="L328" i="36"/>
  <c r="K327" i="36"/>
  <c r="L327" i="36" s="1"/>
  <c r="L75" i="36"/>
  <c r="I403" i="36"/>
  <c r="L527" i="36"/>
  <c r="K511" i="36"/>
  <c r="H552" i="36" l="1"/>
  <c r="I552" i="36" s="1"/>
  <c r="K74" i="36"/>
  <c r="L74" i="36" s="1"/>
  <c r="L414" i="38"/>
  <c r="L511" i="36"/>
  <c r="K552" i="36" l="1"/>
  <c r="L552" i="36" s="1"/>
  <c r="K18" i="35" l="1"/>
  <c r="K17" i="35" s="1"/>
  <c r="I18" i="35"/>
  <c r="J17" i="35"/>
  <c r="H17" i="35"/>
  <c r="G17" i="35"/>
  <c r="F17" i="35"/>
  <c r="E17" i="35"/>
  <c r="K11" i="35"/>
  <c r="I11" i="35"/>
  <c r="J9" i="35"/>
  <c r="J8" i="35" s="1"/>
  <c r="H9" i="35"/>
  <c r="G9" i="35"/>
  <c r="G8" i="35" s="1"/>
  <c r="F9" i="35"/>
  <c r="F8" i="35" s="1"/>
  <c r="E9" i="35"/>
  <c r="E8" i="35" s="1"/>
  <c r="I9" i="35" l="1"/>
  <c r="J7" i="35"/>
  <c r="J6" i="35" s="1"/>
  <c r="J22" i="35" s="1"/>
  <c r="I17" i="35"/>
  <c r="E7" i="35"/>
  <c r="E6" i="35" s="1"/>
  <c r="E22" i="35" s="1"/>
  <c r="G7" i="35"/>
  <c r="G6" i="35" s="1"/>
  <c r="G22" i="35" s="1"/>
  <c r="F7" i="35"/>
  <c r="F6" i="35" s="1"/>
  <c r="F22" i="35" s="1"/>
  <c r="K9" i="35"/>
  <c r="K8" i="35" s="1"/>
  <c r="K7" i="35" s="1"/>
  <c r="K6" i="35" s="1"/>
  <c r="K22" i="35" s="1"/>
  <c r="H8" i="35"/>
  <c r="H7" i="35" l="1"/>
  <c r="I8" i="35"/>
  <c r="I7" i="35" l="1"/>
  <c r="H6" i="35"/>
  <c r="H22" i="35" l="1"/>
  <c r="I22" i="35" s="1"/>
  <c r="I6" i="35"/>
  <c r="J62" i="3" l="1"/>
  <c r="J51" i="3"/>
  <c r="J42" i="3"/>
  <c r="J168" i="3" l="1"/>
  <c r="J167" i="3"/>
  <c r="J165" i="3"/>
  <c r="I23" i="2" l="1"/>
  <c r="K23" i="2"/>
  <c r="I24" i="2"/>
  <c r="K24" i="2"/>
  <c r="I25" i="2"/>
  <c r="K25" i="2"/>
  <c r="I26" i="2"/>
  <c r="K26" i="2"/>
  <c r="I27" i="2"/>
  <c r="K27" i="2"/>
  <c r="I28" i="2"/>
  <c r="K28" i="2"/>
  <c r="I29" i="2"/>
  <c r="K29" i="2"/>
  <c r="I30" i="2"/>
  <c r="K30" i="2"/>
  <c r="I31" i="2"/>
  <c r="K31" i="2"/>
  <c r="I32" i="2"/>
  <c r="K32" i="2"/>
  <c r="I33" i="2"/>
  <c r="K33" i="2"/>
  <c r="I34" i="2"/>
  <c r="K34" i="2"/>
  <c r="I35" i="2"/>
  <c r="K35" i="2"/>
  <c r="I36" i="2"/>
  <c r="K36" i="2"/>
  <c r="I37" i="2"/>
  <c r="K37" i="2"/>
  <c r="I38" i="2"/>
  <c r="K38" i="2"/>
  <c r="I39" i="2"/>
  <c r="K39" i="2"/>
  <c r="I40" i="2"/>
  <c r="K40" i="2"/>
  <c r="I41" i="2"/>
  <c r="K41" i="2"/>
  <c r="I42" i="2"/>
  <c r="K42" i="2"/>
  <c r="I43" i="2"/>
  <c r="K43" i="2"/>
  <c r="I44" i="2"/>
  <c r="K44" i="2"/>
  <c r="K45" i="2"/>
  <c r="I46" i="2"/>
  <c r="K46" i="2"/>
  <c r="I47" i="2"/>
  <c r="K47" i="2"/>
  <c r="J10" i="3" l="1"/>
  <c r="J164" i="3" l="1"/>
  <c r="K200" i="3"/>
  <c r="K201" i="3"/>
  <c r="K199" i="3"/>
  <c r="K190" i="3"/>
  <c r="K185" i="3"/>
  <c r="K173" i="3"/>
  <c r="K174" i="3"/>
  <c r="K175" i="3"/>
  <c r="K176" i="3"/>
  <c r="K177" i="3"/>
  <c r="K178" i="3"/>
  <c r="K179" i="3"/>
  <c r="K180" i="3"/>
  <c r="K181" i="3"/>
  <c r="K182" i="3"/>
  <c r="K183" i="3"/>
  <c r="K172" i="3"/>
  <c r="K166" i="3"/>
  <c r="K167" i="3"/>
  <c r="K168" i="3"/>
  <c r="K169" i="3"/>
  <c r="K170" i="3"/>
  <c r="K165" i="3"/>
  <c r="K127" i="3"/>
  <c r="K125" i="3"/>
  <c r="K122" i="3"/>
  <c r="K123" i="3"/>
  <c r="K121" i="3"/>
  <c r="K98" i="3"/>
  <c r="K99" i="3"/>
  <c r="K100" i="3"/>
  <c r="K101" i="3"/>
  <c r="K102" i="3"/>
  <c r="K103" i="3"/>
  <c r="K104" i="3"/>
  <c r="K105" i="3"/>
  <c r="K97" i="3"/>
  <c r="K80" i="3"/>
  <c r="K76" i="3"/>
  <c r="K77" i="3"/>
  <c r="K78" i="3"/>
  <c r="K73" i="3"/>
  <c r="K63" i="3"/>
  <c r="K64" i="3"/>
  <c r="K55" i="3"/>
  <c r="K54" i="3"/>
  <c r="K52" i="3"/>
  <c r="K42" i="3"/>
  <c r="K37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18" i="3"/>
  <c r="K12" i="3"/>
  <c r="K13" i="3"/>
  <c r="K14" i="3"/>
  <c r="K15" i="3"/>
  <c r="K16" i="3"/>
  <c r="K11" i="3"/>
  <c r="K17" i="3" l="1"/>
  <c r="K10" i="3"/>
  <c r="K164" i="3"/>
  <c r="J27" i="5"/>
  <c r="J26" i="5" s="1"/>
  <c r="K120" i="5" l="1"/>
  <c r="K119" i="5"/>
  <c r="K103" i="5"/>
  <c r="K102" i="5"/>
  <c r="H84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85" i="5"/>
  <c r="K79" i="5"/>
  <c r="K80" i="5"/>
  <c r="K81" i="5"/>
  <c r="K82" i="5"/>
  <c r="K83" i="5"/>
  <c r="K78" i="5"/>
  <c r="K59" i="5"/>
  <c r="K58" i="5" s="1"/>
  <c r="K62" i="5"/>
  <c r="K61" i="5"/>
  <c r="K29" i="5"/>
  <c r="K27" i="5" s="1"/>
  <c r="K26" i="5" s="1"/>
  <c r="H11" i="5"/>
  <c r="K11" i="5" s="1"/>
  <c r="K9" i="5" s="1"/>
  <c r="K15" i="5"/>
  <c r="K13" i="5"/>
  <c r="K14" i="5"/>
  <c r="K12" i="5"/>
  <c r="J49" i="4"/>
  <c r="K57" i="4"/>
  <c r="K58" i="4"/>
  <c r="K59" i="4"/>
  <c r="K56" i="4"/>
  <c r="K51" i="4"/>
  <c r="K52" i="4"/>
  <c r="K53" i="4"/>
  <c r="K54" i="4"/>
  <c r="K50" i="4"/>
  <c r="J31" i="4"/>
  <c r="K31" i="4" s="1"/>
  <c r="K29" i="4"/>
  <c r="K30" i="4"/>
  <c r="K32" i="4"/>
  <c r="K33" i="4"/>
  <c r="K34" i="4"/>
  <c r="K35" i="4"/>
  <c r="K36" i="4"/>
  <c r="K37" i="4"/>
  <c r="K38" i="4"/>
  <c r="K39" i="4"/>
  <c r="K28" i="4"/>
  <c r="K67" i="4"/>
  <c r="K65" i="4" s="1"/>
  <c r="J65" i="4"/>
  <c r="K49" i="4" l="1"/>
  <c r="K27" i="4"/>
  <c r="K77" i="5"/>
  <c r="K8" i="5"/>
  <c r="K84" i="5"/>
  <c r="H9" i="5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83" i="2"/>
  <c r="K63" i="2"/>
  <c r="K17" i="2"/>
  <c r="K18" i="2"/>
  <c r="K19" i="2"/>
  <c r="K20" i="2"/>
  <c r="K21" i="2"/>
  <c r="K22" i="2"/>
  <c r="K48" i="2"/>
  <c r="K49" i="2"/>
  <c r="K16" i="2"/>
  <c r="K15" i="2"/>
  <c r="K27" i="9"/>
  <c r="K82" i="2" l="1"/>
  <c r="K14" i="2"/>
  <c r="K12" i="1"/>
  <c r="K11" i="1"/>
  <c r="F28" i="4" l="1"/>
  <c r="H42" i="4"/>
  <c r="E42" i="4"/>
  <c r="F42" i="4"/>
  <c r="K32" i="30" l="1"/>
  <c r="H32" i="30"/>
  <c r="G32" i="30"/>
  <c r="F32" i="30"/>
  <c r="E32" i="30"/>
  <c r="K30" i="30"/>
  <c r="I30" i="30"/>
  <c r="H23" i="30"/>
  <c r="G23" i="30"/>
  <c r="E23" i="30"/>
  <c r="J23" i="30"/>
  <c r="J22" i="30" s="1"/>
  <c r="F23" i="30"/>
  <c r="K17" i="30"/>
  <c r="H17" i="30"/>
  <c r="G17" i="30"/>
  <c r="F17" i="30"/>
  <c r="E17" i="30"/>
  <c r="K16" i="30"/>
  <c r="I16" i="30"/>
  <c r="J8" i="30"/>
  <c r="J7" i="30" s="1"/>
  <c r="H8" i="30"/>
  <c r="G8" i="30"/>
  <c r="F8" i="30"/>
  <c r="E8" i="30"/>
  <c r="E22" i="30" l="1"/>
  <c r="E7" i="30"/>
  <c r="K23" i="30"/>
  <c r="K22" i="30" s="1"/>
  <c r="F7" i="30"/>
  <c r="G22" i="30"/>
  <c r="G7" i="30"/>
  <c r="K8" i="30"/>
  <c r="F22" i="30"/>
  <c r="J6" i="30"/>
  <c r="J37" i="30" s="1"/>
  <c r="I8" i="30"/>
  <c r="H7" i="30"/>
  <c r="H22" i="30"/>
  <c r="I23" i="30"/>
  <c r="I22" i="30" l="1"/>
  <c r="E6" i="30"/>
  <c r="E37" i="30" s="1"/>
  <c r="I7" i="30"/>
  <c r="F6" i="30"/>
  <c r="F37" i="30" s="1"/>
  <c r="K7" i="30"/>
  <c r="K6" i="30" s="1"/>
  <c r="G6" i="30"/>
  <c r="G37" i="30" s="1"/>
  <c r="H6" i="30"/>
  <c r="K37" i="30" l="1"/>
  <c r="H37" i="30"/>
  <c r="I37" i="30" s="1"/>
  <c r="I6" i="30"/>
  <c r="I67" i="4" l="1"/>
  <c r="I98" i="3"/>
  <c r="I99" i="3"/>
  <c r="I129" i="1" l="1"/>
  <c r="I136" i="4"/>
  <c r="I157" i="9"/>
  <c r="I130" i="1"/>
  <c r="I137" i="4"/>
  <c r="I158" i="9"/>
  <c r="I190" i="3"/>
  <c r="F124" i="3" l="1"/>
  <c r="E124" i="3"/>
  <c r="H126" i="3"/>
  <c r="H124" i="3" l="1"/>
  <c r="K126" i="3"/>
  <c r="K124" i="3" s="1"/>
  <c r="I77" i="3"/>
  <c r="H75" i="3"/>
  <c r="K75" i="3" s="1"/>
  <c r="H74" i="3"/>
  <c r="K74" i="3" s="1"/>
  <c r="H62" i="3" l="1"/>
  <c r="K62" i="3" s="1"/>
  <c r="H51" i="3"/>
  <c r="K51" i="3" s="1"/>
  <c r="I56" i="4" l="1"/>
  <c r="I80" i="4"/>
  <c r="I75" i="4"/>
  <c r="I102" i="5" l="1"/>
  <c r="F62" i="3" l="1"/>
  <c r="F51" i="3"/>
  <c r="F101" i="5" l="1"/>
  <c r="G101" i="5"/>
  <c r="H101" i="5"/>
  <c r="K101" i="5" s="1"/>
  <c r="E101" i="5"/>
  <c r="I83" i="5"/>
  <c r="E51" i="3"/>
  <c r="I16" i="3"/>
  <c r="I170" i="3"/>
  <c r="K189" i="3"/>
  <c r="J189" i="3"/>
  <c r="H189" i="3"/>
  <c r="I189" i="3" s="1"/>
  <c r="G189" i="3"/>
  <c r="F189" i="3"/>
  <c r="E189" i="3"/>
  <c r="I185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K171" i="3"/>
  <c r="K163" i="3" s="1"/>
  <c r="J171" i="3"/>
  <c r="H171" i="3"/>
  <c r="G171" i="3"/>
  <c r="F171" i="3"/>
  <c r="E171" i="3"/>
  <c r="I169" i="3"/>
  <c r="I168" i="3"/>
  <c r="I167" i="3"/>
  <c r="I166" i="3"/>
  <c r="I165" i="3"/>
  <c r="H164" i="3"/>
  <c r="G164" i="3"/>
  <c r="F164" i="3"/>
  <c r="E164" i="3"/>
  <c r="K435" i="2"/>
  <c r="J435" i="2"/>
  <c r="H435" i="2"/>
  <c r="G435" i="2"/>
  <c r="F435" i="2"/>
  <c r="E435" i="2"/>
  <c r="G429" i="2"/>
  <c r="K426" i="2"/>
  <c r="J426" i="2"/>
  <c r="H426" i="2"/>
  <c r="G426" i="2"/>
  <c r="F426" i="2"/>
  <c r="E426" i="2"/>
  <c r="E82" i="2"/>
  <c r="G82" i="2"/>
  <c r="H82" i="2"/>
  <c r="F82" i="2"/>
  <c r="I107" i="2"/>
  <c r="I106" i="2"/>
  <c r="I49" i="2"/>
  <c r="I48" i="2"/>
  <c r="F65" i="4"/>
  <c r="G42" i="4"/>
  <c r="J425" i="2" l="1"/>
  <c r="G425" i="2"/>
  <c r="K425" i="2"/>
  <c r="E425" i="2"/>
  <c r="H425" i="2"/>
  <c r="F163" i="3"/>
  <c r="F162" i="3" s="1"/>
  <c r="F161" i="3" s="1"/>
  <c r="K162" i="3"/>
  <c r="H163" i="3"/>
  <c r="H162" i="3" s="1"/>
  <c r="H161" i="3" s="1"/>
  <c r="E163" i="3"/>
  <c r="E162" i="3" s="1"/>
  <c r="E161" i="3" s="1"/>
  <c r="I164" i="3"/>
  <c r="J163" i="3"/>
  <c r="J162" i="3" s="1"/>
  <c r="J161" i="3" s="1"/>
  <c r="G163" i="3"/>
  <c r="G162" i="3" s="1"/>
  <c r="G161" i="3" s="1"/>
  <c r="I171" i="3"/>
  <c r="F425" i="2"/>
  <c r="K161" i="3" l="1"/>
  <c r="I161" i="3"/>
  <c r="I162" i="3"/>
  <c r="I163" i="3"/>
  <c r="I199" i="3" l="1"/>
  <c r="I200" i="3"/>
  <c r="H65" i="4" l="1"/>
  <c r="G14" i="4" l="1"/>
  <c r="I33" i="4"/>
  <c r="I14" i="4" l="1"/>
  <c r="F14" i="2" l="1"/>
  <c r="G14" i="2"/>
  <c r="H14" i="2"/>
  <c r="E14" i="2"/>
  <c r="I64" i="3" l="1"/>
  <c r="F72" i="3"/>
  <c r="F79" i="3"/>
  <c r="G79" i="3"/>
  <c r="H79" i="3"/>
  <c r="K79" i="3" s="1"/>
  <c r="E79" i="3"/>
  <c r="I80" i="3"/>
  <c r="H120" i="3"/>
  <c r="F120" i="3"/>
  <c r="E120" i="3"/>
  <c r="H10" i="3"/>
  <c r="E10" i="3"/>
  <c r="F10" i="3"/>
  <c r="E154" i="3"/>
  <c r="F154" i="3"/>
  <c r="G154" i="3"/>
  <c r="H154" i="3"/>
  <c r="I59" i="5" l="1"/>
  <c r="H41" i="5"/>
  <c r="E77" i="5"/>
  <c r="G77" i="5"/>
  <c r="H77" i="5"/>
  <c r="F58" i="5"/>
  <c r="E58" i="5"/>
  <c r="H58" i="5"/>
  <c r="K50" i="5"/>
  <c r="K40" i="5" s="1"/>
  <c r="J50" i="5"/>
  <c r="J40" i="5" s="1"/>
  <c r="H50" i="5"/>
  <c r="G50" i="5"/>
  <c r="F50" i="5"/>
  <c r="E50" i="5"/>
  <c r="G45" i="5"/>
  <c r="K42" i="5"/>
  <c r="J42" i="5"/>
  <c r="G42" i="5"/>
  <c r="F41" i="5"/>
  <c r="E41" i="5"/>
  <c r="F40" i="5" l="1"/>
  <c r="I58" i="5"/>
  <c r="G41" i="5"/>
  <c r="G40" i="5" s="1"/>
  <c r="F77" i="5"/>
  <c r="E40" i="5"/>
  <c r="H40" i="5"/>
  <c r="I12" i="1"/>
  <c r="F53" i="3" l="1"/>
  <c r="I119" i="5" l="1"/>
  <c r="K8" i="4" l="1"/>
  <c r="J8" i="4"/>
  <c r="I42" i="3" l="1"/>
  <c r="H76" i="5" l="1"/>
  <c r="I12" i="5"/>
  <c r="I14" i="5"/>
  <c r="E79" i="4" l="1"/>
  <c r="F79" i="4"/>
  <c r="E74" i="4"/>
  <c r="F74" i="4"/>
  <c r="I95" i="5" l="1"/>
  <c r="H75" i="5"/>
  <c r="E84" i="5"/>
  <c r="F84" i="5"/>
  <c r="G84" i="5"/>
  <c r="K481" i="2"/>
  <c r="J481" i="2"/>
  <c r="H481" i="2"/>
  <c r="G481" i="2"/>
  <c r="F481" i="2"/>
  <c r="E481" i="2"/>
  <c r="G475" i="2"/>
  <c r="K472" i="2"/>
  <c r="J472" i="2"/>
  <c r="H472" i="2"/>
  <c r="G472" i="2"/>
  <c r="F472" i="2"/>
  <c r="E472" i="2"/>
  <c r="K312" i="2"/>
  <c r="J312" i="2"/>
  <c r="H312" i="2"/>
  <c r="G312" i="2"/>
  <c r="F312" i="2"/>
  <c r="E312" i="2"/>
  <c r="G306" i="2"/>
  <c r="K303" i="2"/>
  <c r="J303" i="2"/>
  <c r="H303" i="2"/>
  <c r="G303" i="2"/>
  <c r="F303" i="2"/>
  <c r="E303" i="2"/>
  <c r="K282" i="2"/>
  <c r="J282" i="2"/>
  <c r="H282" i="2"/>
  <c r="G282" i="2"/>
  <c r="F282" i="2"/>
  <c r="E282" i="2"/>
  <c r="G276" i="2"/>
  <c r="K273" i="2"/>
  <c r="J273" i="2"/>
  <c r="H273" i="2"/>
  <c r="G273" i="2"/>
  <c r="F273" i="2"/>
  <c r="E273" i="2"/>
  <c r="K266" i="2"/>
  <c r="J266" i="2"/>
  <c r="H266" i="2"/>
  <c r="G266" i="2"/>
  <c r="F266" i="2"/>
  <c r="E266" i="2"/>
  <c r="G260" i="2"/>
  <c r="K257" i="2"/>
  <c r="J257" i="2"/>
  <c r="H257" i="2"/>
  <c r="G257" i="2"/>
  <c r="F257" i="2"/>
  <c r="E257" i="2"/>
  <c r="K126" i="2"/>
  <c r="J126" i="2"/>
  <c r="H126" i="2"/>
  <c r="G126" i="2"/>
  <c r="F126" i="2"/>
  <c r="E126" i="2"/>
  <c r="G120" i="2"/>
  <c r="K117" i="2"/>
  <c r="J117" i="2"/>
  <c r="H117" i="2"/>
  <c r="G117" i="2"/>
  <c r="F117" i="2"/>
  <c r="E117" i="2"/>
  <c r="I53" i="4"/>
  <c r="I36" i="4"/>
  <c r="J116" i="2" l="1"/>
  <c r="F256" i="2"/>
  <c r="E116" i="2"/>
  <c r="H471" i="2"/>
  <c r="K256" i="2"/>
  <c r="F116" i="2"/>
  <c r="F115" i="2" s="1"/>
  <c r="K116" i="2"/>
  <c r="G256" i="2"/>
  <c r="H272" i="2"/>
  <c r="E256" i="2"/>
  <c r="J256" i="2"/>
  <c r="H256" i="2"/>
  <c r="F272" i="2"/>
  <c r="K272" i="2"/>
  <c r="G302" i="2"/>
  <c r="H116" i="2"/>
  <c r="G116" i="2"/>
  <c r="F302" i="2"/>
  <c r="K302" i="2"/>
  <c r="K471" i="2"/>
  <c r="G272" i="2"/>
  <c r="E471" i="2"/>
  <c r="J471" i="2"/>
  <c r="E272" i="2"/>
  <c r="J272" i="2"/>
  <c r="E302" i="2"/>
  <c r="J302" i="2"/>
  <c r="H302" i="2"/>
  <c r="G471" i="2"/>
  <c r="F471" i="2"/>
  <c r="G219" i="3" l="1"/>
  <c r="F150" i="3" l="1"/>
  <c r="G150" i="3"/>
  <c r="H150" i="3"/>
  <c r="E150" i="3"/>
  <c r="G130" i="3"/>
  <c r="I54" i="4" l="1"/>
  <c r="I28" i="4"/>
  <c r="I29" i="4"/>
  <c r="I30" i="4"/>
  <c r="I31" i="4"/>
  <c r="I32" i="4"/>
  <c r="I34" i="4"/>
  <c r="I35" i="4"/>
  <c r="E55" i="4" l="1"/>
  <c r="G55" i="4"/>
  <c r="H55" i="4"/>
  <c r="F55" i="4"/>
  <c r="E49" i="4"/>
  <c r="G49" i="4"/>
  <c r="H49" i="4"/>
  <c r="F49" i="4"/>
  <c r="I87" i="5" l="1"/>
  <c r="I120" i="5" l="1"/>
  <c r="I13" i="5" l="1"/>
  <c r="F11" i="5" l="1"/>
  <c r="E11" i="5"/>
  <c r="F60" i="5"/>
  <c r="F57" i="5" s="1"/>
  <c r="E60" i="5"/>
  <c r="G11" i="5"/>
  <c r="G104" i="5"/>
  <c r="E57" i="5" l="1"/>
  <c r="I29" i="5"/>
  <c r="K17" i="9"/>
  <c r="J17" i="9"/>
  <c r="H17" i="9"/>
  <c r="F17" i="9"/>
  <c r="E17" i="9"/>
  <c r="J8" i="9"/>
  <c r="G9" i="9"/>
  <c r="G8" i="9" s="1"/>
  <c r="G7" i="9" s="1"/>
  <c r="G6" i="9" s="1"/>
  <c r="F8" i="9"/>
  <c r="E8" i="9"/>
  <c r="K8" i="9"/>
  <c r="H8" i="9"/>
  <c r="E7" i="9" l="1"/>
  <c r="E6" i="9" s="1"/>
  <c r="K7" i="9"/>
  <c r="K6" i="9" s="1"/>
  <c r="J7" i="9"/>
  <c r="J6" i="9" s="1"/>
  <c r="F7" i="9"/>
  <c r="F6" i="9" s="1"/>
  <c r="H7" i="9"/>
  <c r="H6" i="9" l="1"/>
  <c r="K328" i="2" l="1"/>
  <c r="J328" i="2"/>
  <c r="H328" i="2"/>
  <c r="G328" i="2"/>
  <c r="F328" i="2"/>
  <c r="E328" i="2"/>
  <c r="G322" i="2"/>
  <c r="K319" i="2"/>
  <c r="J319" i="2"/>
  <c r="H319" i="2"/>
  <c r="G319" i="2"/>
  <c r="F319" i="2"/>
  <c r="E319" i="2"/>
  <c r="K220" i="2"/>
  <c r="J220" i="2"/>
  <c r="H220" i="2"/>
  <c r="G220" i="2"/>
  <c r="F220" i="2"/>
  <c r="E220" i="2"/>
  <c r="G214" i="2"/>
  <c r="K211" i="2"/>
  <c r="J211" i="2"/>
  <c r="H211" i="2"/>
  <c r="G211" i="2"/>
  <c r="F211" i="2"/>
  <c r="E211" i="2"/>
  <c r="K204" i="2"/>
  <c r="J204" i="2"/>
  <c r="H204" i="2"/>
  <c r="G204" i="2"/>
  <c r="F204" i="2"/>
  <c r="E204" i="2"/>
  <c r="G198" i="2"/>
  <c r="K195" i="2"/>
  <c r="J195" i="2"/>
  <c r="H195" i="2"/>
  <c r="G195" i="2"/>
  <c r="F195" i="2"/>
  <c r="E195" i="2"/>
  <c r="J210" i="2" l="1"/>
  <c r="E210" i="2"/>
  <c r="G318" i="2"/>
  <c r="G317" i="2" s="1"/>
  <c r="E318" i="2"/>
  <c r="E317" i="2" s="1"/>
  <c r="J318" i="2"/>
  <c r="J317" i="2" s="1"/>
  <c r="H194" i="2"/>
  <c r="H193" i="2" s="1"/>
  <c r="K210" i="2"/>
  <c r="K318" i="2"/>
  <c r="K317" i="2" s="1"/>
  <c r="F194" i="2"/>
  <c r="F193" i="2" s="1"/>
  <c r="K194" i="2"/>
  <c r="K193" i="2" s="1"/>
  <c r="F210" i="2"/>
  <c r="H210" i="2"/>
  <c r="G210" i="2"/>
  <c r="H318" i="2"/>
  <c r="H317" i="2" s="1"/>
  <c r="F318" i="2"/>
  <c r="F317" i="2" s="1"/>
  <c r="E194" i="2"/>
  <c r="E193" i="2" s="1"/>
  <c r="J194" i="2"/>
  <c r="J193" i="2" s="1"/>
  <c r="G194" i="2"/>
  <c r="G193" i="2" s="1"/>
  <c r="I102" i="2"/>
  <c r="I101" i="2"/>
  <c r="I101" i="3" l="1"/>
  <c r="I102" i="3"/>
  <c r="I105" i="3"/>
  <c r="I74" i="3" l="1"/>
  <c r="I75" i="3"/>
  <c r="I74" i="4" l="1"/>
  <c r="E73" i="4"/>
  <c r="E65" i="4"/>
  <c r="H27" i="4"/>
  <c r="F27" i="4"/>
  <c r="E27" i="4"/>
  <c r="G74" i="4"/>
  <c r="G79" i="4"/>
  <c r="E64" i="4" l="1"/>
  <c r="I65" i="4"/>
  <c r="G25" i="4" l="1"/>
  <c r="F8" i="4"/>
  <c r="H8" i="4"/>
  <c r="E8" i="4"/>
  <c r="I8" i="4" l="1"/>
  <c r="K35" i="5"/>
  <c r="K25" i="5" s="1"/>
  <c r="J35" i="5"/>
  <c r="J25" i="5" s="1"/>
  <c r="H35" i="5"/>
  <c r="G35" i="5"/>
  <c r="F35" i="5"/>
  <c r="E35" i="5"/>
  <c r="G30" i="5"/>
  <c r="G27" i="5"/>
  <c r="F27" i="5"/>
  <c r="F26" i="5" s="1"/>
  <c r="E27" i="5"/>
  <c r="H27" i="5"/>
  <c r="F25" i="5" l="1"/>
  <c r="G26" i="5"/>
  <c r="G25" i="5" s="1"/>
  <c r="E26" i="5"/>
  <c r="I27" i="5"/>
  <c r="H26" i="5"/>
  <c r="E25" i="5" l="1"/>
  <c r="I26" i="5"/>
  <c r="H25" i="5"/>
  <c r="K420" i="2"/>
  <c r="J420" i="2"/>
  <c r="H420" i="2"/>
  <c r="G420" i="2"/>
  <c r="F420" i="2"/>
  <c r="E420" i="2"/>
  <c r="G414" i="2"/>
  <c r="K411" i="2"/>
  <c r="J411" i="2"/>
  <c r="F411" i="2"/>
  <c r="E411" i="2"/>
  <c r="H411" i="2"/>
  <c r="G411" i="2"/>
  <c r="K359" i="2"/>
  <c r="J359" i="2"/>
  <c r="H359" i="2"/>
  <c r="G359" i="2"/>
  <c r="F359" i="2"/>
  <c r="E359" i="2"/>
  <c r="G353" i="2"/>
  <c r="K350" i="2"/>
  <c r="J350" i="2"/>
  <c r="H350" i="2"/>
  <c r="G350" i="2"/>
  <c r="F350" i="2"/>
  <c r="E350" i="2"/>
  <c r="K344" i="2"/>
  <c r="J344" i="2"/>
  <c r="H344" i="2"/>
  <c r="G344" i="2"/>
  <c r="F344" i="2"/>
  <c r="E344" i="2"/>
  <c r="G338" i="2"/>
  <c r="G335" i="2" s="1"/>
  <c r="K335" i="2"/>
  <c r="J335" i="2"/>
  <c r="H335" i="2"/>
  <c r="F335" i="2"/>
  <c r="F334" i="2" s="1"/>
  <c r="E335" i="2"/>
  <c r="K157" i="2"/>
  <c r="J157" i="2"/>
  <c r="H157" i="2"/>
  <c r="G157" i="2"/>
  <c r="F157" i="2"/>
  <c r="E157" i="2"/>
  <c r="G151" i="2"/>
  <c r="G149" i="2" s="1"/>
  <c r="G148" i="2" s="1"/>
  <c r="G147" i="2" s="1"/>
  <c r="J148" i="2"/>
  <c r="H148" i="2"/>
  <c r="E148" i="2"/>
  <c r="K148" i="2"/>
  <c r="F148" i="2"/>
  <c r="H147" i="2" l="1"/>
  <c r="J147" i="2"/>
  <c r="I25" i="5"/>
  <c r="F349" i="2"/>
  <c r="K349" i="2"/>
  <c r="G334" i="2"/>
  <c r="K410" i="2"/>
  <c r="G410" i="2"/>
  <c r="H334" i="2"/>
  <c r="K334" i="2"/>
  <c r="G349" i="2"/>
  <c r="F410" i="2"/>
  <c r="E147" i="2"/>
  <c r="H410" i="2"/>
  <c r="E334" i="2"/>
  <c r="J334" i="2"/>
  <c r="H349" i="2"/>
  <c r="K147" i="2"/>
  <c r="E349" i="2"/>
  <c r="J349" i="2"/>
  <c r="E410" i="2"/>
  <c r="J410" i="2"/>
  <c r="F147" i="2"/>
  <c r="I26" i="3"/>
  <c r="I89" i="5"/>
  <c r="I57" i="4" l="1"/>
  <c r="I58" i="4"/>
  <c r="I59" i="4"/>
  <c r="K60" i="5" l="1"/>
  <c r="J60" i="5"/>
  <c r="G60" i="5"/>
  <c r="H60" i="5"/>
  <c r="K57" i="5" l="1"/>
  <c r="H57" i="5"/>
  <c r="H61" i="2"/>
  <c r="F61" i="2"/>
  <c r="E61" i="2"/>
  <c r="G60" i="4" l="1"/>
  <c r="I51" i="4" l="1"/>
  <c r="I52" i="4"/>
  <c r="I50" i="4"/>
  <c r="G17" i="4"/>
  <c r="F17" i="4"/>
  <c r="E17" i="4"/>
  <c r="K17" i="4"/>
  <c r="J17" i="4"/>
  <c r="G9" i="4"/>
  <c r="G8" i="4" s="1"/>
  <c r="G7" i="4" l="1"/>
  <c r="G6" i="4" s="1"/>
  <c r="K7" i="4"/>
  <c r="E7" i="4"/>
  <c r="E6" i="4" s="1"/>
  <c r="J7" i="4"/>
  <c r="F7" i="4"/>
  <c r="F6" i="4" s="1"/>
  <c r="H17" i="4"/>
  <c r="I152" i="3"/>
  <c r="I153" i="3"/>
  <c r="I156" i="3"/>
  <c r="I157" i="3"/>
  <c r="H7" i="4" l="1"/>
  <c r="I7" i="4" s="1"/>
  <c r="I37" i="3"/>
  <c r="I20" i="3"/>
  <c r="I21" i="3"/>
  <c r="I27" i="3"/>
  <c r="H6" i="4" l="1"/>
  <c r="I6" i="4" s="1"/>
  <c r="H214" i="3" l="1"/>
  <c r="I27" i="9"/>
  <c r="G58" i="5" l="1"/>
  <c r="F9" i="5"/>
  <c r="G57" i="5" l="1"/>
  <c r="F56" i="5"/>
  <c r="F8" i="5"/>
  <c r="I15" i="5"/>
  <c r="G9" i="5"/>
  <c r="G8" i="5" s="1"/>
  <c r="H8" i="5"/>
  <c r="I11" i="5"/>
  <c r="E9" i="5"/>
  <c r="E8" i="5" s="1"/>
  <c r="K390" i="2"/>
  <c r="J390" i="2"/>
  <c r="H390" i="2"/>
  <c r="G390" i="2"/>
  <c r="F390" i="2"/>
  <c r="E390" i="2"/>
  <c r="G384" i="2"/>
  <c r="K381" i="2"/>
  <c r="J381" i="2"/>
  <c r="H381" i="2"/>
  <c r="G381" i="2"/>
  <c r="F381" i="2"/>
  <c r="E381" i="2"/>
  <c r="K374" i="2"/>
  <c r="J374" i="2"/>
  <c r="H374" i="2"/>
  <c r="G374" i="2"/>
  <c r="F374" i="2"/>
  <c r="E374" i="2"/>
  <c r="G368" i="2"/>
  <c r="K365" i="2"/>
  <c r="J365" i="2"/>
  <c r="G365" i="2"/>
  <c r="G364" i="2" s="1"/>
  <c r="G333" i="2" s="1"/>
  <c r="F365" i="2"/>
  <c r="E365" i="2"/>
  <c r="H365" i="2"/>
  <c r="E396" i="2"/>
  <c r="F396" i="2"/>
  <c r="H396" i="2"/>
  <c r="J396" i="2"/>
  <c r="K396" i="2"/>
  <c r="G399" i="2"/>
  <c r="G396" i="2" s="1"/>
  <c r="E405" i="2"/>
  <c r="F405" i="2"/>
  <c r="G405" i="2"/>
  <c r="H405" i="2"/>
  <c r="J405" i="2"/>
  <c r="K405" i="2"/>
  <c r="K297" i="2"/>
  <c r="J297" i="2"/>
  <c r="H297" i="2"/>
  <c r="G297" i="2"/>
  <c r="F297" i="2"/>
  <c r="E297" i="2"/>
  <c r="G291" i="2"/>
  <c r="K288" i="2"/>
  <c r="H288" i="2"/>
  <c r="G288" i="2"/>
  <c r="G287" i="2" s="1"/>
  <c r="G271" i="2" s="1"/>
  <c r="F288" i="2"/>
  <c r="E288" i="2"/>
  <c r="J288" i="2"/>
  <c r="I76" i="3"/>
  <c r="I78" i="3"/>
  <c r="I73" i="3"/>
  <c r="F380" i="2" l="1"/>
  <c r="H287" i="2"/>
  <c r="H271" i="2" s="1"/>
  <c r="E364" i="2"/>
  <c r="E333" i="2" s="1"/>
  <c r="E287" i="2"/>
  <c r="E271" i="2" s="1"/>
  <c r="F364" i="2"/>
  <c r="F333" i="2" s="1"/>
  <c r="K364" i="2"/>
  <c r="K333" i="2" s="1"/>
  <c r="J364" i="2"/>
  <c r="J333" i="2" s="1"/>
  <c r="G380" i="2"/>
  <c r="J287" i="2"/>
  <c r="J271" i="2" s="1"/>
  <c r="G395" i="2"/>
  <c r="E380" i="2"/>
  <c r="J380" i="2"/>
  <c r="F395" i="2"/>
  <c r="H380" i="2"/>
  <c r="J395" i="2"/>
  <c r="H395" i="2"/>
  <c r="H364" i="2"/>
  <c r="H333" i="2" s="1"/>
  <c r="K287" i="2"/>
  <c r="K271" i="2" s="1"/>
  <c r="K395" i="2"/>
  <c r="E395" i="2"/>
  <c r="K380" i="2"/>
  <c r="F287" i="2"/>
  <c r="F271" i="2" s="1"/>
  <c r="G124" i="3" l="1"/>
  <c r="K73" i="4" l="1"/>
  <c r="J73" i="4"/>
  <c r="H73" i="4"/>
  <c r="G73" i="4"/>
  <c r="F73" i="4"/>
  <c r="K64" i="4"/>
  <c r="J64" i="4"/>
  <c r="G64" i="4"/>
  <c r="F64" i="4"/>
  <c r="K63" i="4" l="1"/>
  <c r="K62" i="4" s="1"/>
  <c r="F63" i="4"/>
  <c r="F62" i="4" s="1"/>
  <c r="J63" i="4"/>
  <c r="J62" i="4" s="1"/>
  <c r="I79" i="4"/>
  <c r="G63" i="4"/>
  <c r="G62" i="4" s="1"/>
  <c r="I73" i="4"/>
  <c r="H64" i="4"/>
  <c r="I64" i="4" s="1"/>
  <c r="E63" i="4" l="1"/>
  <c r="E62" i="4" s="1"/>
  <c r="H63" i="4"/>
  <c r="I63" i="4" l="1"/>
  <c r="H62" i="4"/>
  <c r="K49" i="9" l="1"/>
  <c r="J49" i="9"/>
  <c r="H49" i="9"/>
  <c r="F49" i="9"/>
  <c r="E49" i="9"/>
  <c r="G43" i="9"/>
  <c r="G40" i="9" s="1"/>
  <c r="G39" i="9" s="1"/>
  <c r="G38" i="9" s="1"/>
  <c r="K40" i="9"/>
  <c r="J40" i="9"/>
  <c r="H40" i="9"/>
  <c r="F40" i="9"/>
  <c r="E40" i="9"/>
  <c r="K33" i="9"/>
  <c r="J33" i="9"/>
  <c r="H33" i="9"/>
  <c r="F33" i="9"/>
  <c r="E33" i="9"/>
  <c r="J24" i="9"/>
  <c r="H25" i="9"/>
  <c r="K25" i="9" s="1"/>
  <c r="K24" i="9" s="1"/>
  <c r="G25" i="9"/>
  <c r="G24" i="9" s="1"/>
  <c r="G23" i="9" s="1"/>
  <c r="G22" i="9" s="1"/>
  <c r="F25" i="9"/>
  <c r="F24" i="9" s="1"/>
  <c r="E25" i="9"/>
  <c r="E24" i="9" s="1"/>
  <c r="J23" i="9" l="1"/>
  <c r="J22" i="9" s="1"/>
  <c r="G54" i="9"/>
  <c r="J39" i="9"/>
  <c r="J38" i="9" s="1"/>
  <c r="E23" i="9"/>
  <c r="E22" i="9" s="1"/>
  <c r="F23" i="9"/>
  <c r="F22" i="9" s="1"/>
  <c r="H39" i="9"/>
  <c r="K23" i="9"/>
  <c r="K22" i="9" s="1"/>
  <c r="E39" i="9"/>
  <c r="E38" i="9" s="1"/>
  <c r="K39" i="9"/>
  <c r="K38" i="9" s="1"/>
  <c r="I25" i="9"/>
  <c r="F39" i="9"/>
  <c r="F38" i="9" s="1"/>
  <c r="H24" i="9"/>
  <c r="J54" i="9" l="1"/>
  <c r="K54" i="9"/>
  <c r="F54" i="9"/>
  <c r="E54" i="9"/>
  <c r="H38" i="9"/>
  <c r="I24" i="9"/>
  <c r="H23" i="9"/>
  <c r="I23" i="9" l="1"/>
  <c r="H22" i="9"/>
  <c r="H54" i="9" s="1"/>
  <c r="I22" i="9" l="1"/>
  <c r="I54" i="9" l="1"/>
  <c r="K125" i="5" l="1"/>
  <c r="J125" i="5"/>
  <c r="H125" i="5"/>
  <c r="G125" i="5"/>
  <c r="F125" i="5"/>
  <c r="E125" i="5"/>
  <c r="G112" i="5"/>
  <c r="G111" i="5"/>
  <c r="J110" i="5"/>
  <c r="I101" i="5"/>
  <c r="I99" i="5"/>
  <c r="I98" i="5"/>
  <c r="I97" i="5"/>
  <c r="I96" i="5"/>
  <c r="I94" i="5"/>
  <c r="I93" i="5"/>
  <c r="I92" i="5"/>
  <c r="I91" i="5"/>
  <c r="I90" i="5"/>
  <c r="I88" i="5"/>
  <c r="I86" i="5"/>
  <c r="J84" i="5"/>
  <c r="I82" i="5"/>
  <c r="I81" i="5"/>
  <c r="I80" i="5"/>
  <c r="I79" i="5"/>
  <c r="J77" i="5"/>
  <c r="K68" i="5"/>
  <c r="J68" i="5"/>
  <c r="H68" i="5"/>
  <c r="G68" i="5"/>
  <c r="F68" i="5"/>
  <c r="E68" i="5"/>
  <c r="I62" i="5"/>
  <c r="I61" i="5"/>
  <c r="K20" i="5"/>
  <c r="K7" i="5" s="1"/>
  <c r="J20" i="5"/>
  <c r="H20" i="5"/>
  <c r="G20" i="5"/>
  <c r="G7" i="5" s="1"/>
  <c r="F20" i="5"/>
  <c r="E20" i="5"/>
  <c r="E7" i="5" s="1"/>
  <c r="J9" i="5"/>
  <c r="K55" i="4"/>
  <c r="J55" i="4"/>
  <c r="H48" i="4"/>
  <c r="F48" i="4"/>
  <c r="I39" i="4"/>
  <c r="K25" i="4"/>
  <c r="J27" i="4"/>
  <c r="K225" i="3"/>
  <c r="J225" i="3"/>
  <c r="H225" i="3"/>
  <c r="G225" i="3"/>
  <c r="F225" i="3"/>
  <c r="E225" i="3"/>
  <c r="F214" i="3"/>
  <c r="E214" i="3"/>
  <c r="K207" i="3"/>
  <c r="J207" i="3"/>
  <c r="H207" i="3"/>
  <c r="G207" i="3"/>
  <c r="F207" i="3"/>
  <c r="E207" i="3"/>
  <c r="I201" i="3"/>
  <c r="K198" i="3"/>
  <c r="K196" i="3" s="1"/>
  <c r="J198" i="3"/>
  <c r="J196" i="3" s="1"/>
  <c r="H198" i="3"/>
  <c r="G198" i="3"/>
  <c r="G196" i="3" s="1"/>
  <c r="G195" i="3" s="1"/>
  <c r="F198" i="3"/>
  <c r="F196" i="3" s="1"/>
  <c r="E198" i="3"/>
  <c r="E196" i="3" s="1"/>
  <c r="K154" i="3"/>
  <c r="J154" i="3"/>
  <c r="K150" i="3"/>
  <c r="K149" i="3" s="1"/>
  <c r="J150" i="3"/>
  <c r="J149" i="3" s="1"/>
  <c r="G149" i="3"/>
  <c r="F149" i="3"/>
  <c r="E149" i="3"/>
  <c r="G143" i="3"/>
  <c r="G141" i="3" s="1"/>
  <c r="G140" i="3" s="1"/>
  <c r="G139" i="3" s="1"/>
  <c r="G138" i="3" s="1"/>
  <c r="K140" i="3"/>
  <c r="J140" i="3"/>
  <c r="H140" i="3"/>
  <c r="F140" i="3"/>
  <c r="E140" i="3"/>
  <c r="K133" i="3"/>
  <c r="J133" i="3"/>
  <c r="H133" i="3"/>
  <c r="G133" i="3"/>
  <c r="F133" i="3"/>
  <c r="E133" i="3"/>
  <c r="I126" i="3"/>
  <c r="J124" i="3"/>
  <c r="I123" i="3"/>
  <c r="I122" i="3"/>
  <c r="I121" i="3"/>
  <c r="K120" i="3"/>
  <c r="J120" i="3"/>
  <c r="G120" i="3"/>
  <c r="K111" i="3"/>
  <c r="J111" i="3"/>
  <c r="H111" i="3"/>
  <c r="G111" i="3"/>
  <c r="F111" i="3"/>
  <c r="E111" i="3"/>
  <c r="F96" i="3"/>
  <c r="I100" i="3"/>
  <c r="I97" i="3"/>
  <c r="H96" i="3"/>
  <c r="K96" i="3" s="1"/>
  <c r="K94" i="3" s="1"/>
  <c r="K93" i="3" s="1"/>
  <c r="G96" i="3"/>
  <c r="E96" i="3"/>
  <c r="E94" i="3" s="1"/>
  <c r="E93" i="3" s="1"/>
  <c r="G95" i="3"/>
  <c r="J94" i="3"/>
  <c r="J93" i="3" s="1"/>
  <c r="K86" i="3"/>
  <c r="J86" i="3"/>
  <c r="H86" i="3"/>
  <c r="G86" i="3"/>
  <c r="F86" i="3"/>
  <c r="E86" i="3"/>
  <c r="I79" i="3"/>
  <c r="K72" i="3"/>
  <c r="K70" i="3" s="1"/>
  <c r="K69" i="3" s="1"/>
  <c r="J72" i="3"/>
  <c r="J70" i="3" s="1"/>
  <c r="J69" i="3" s="1"/>
  <c r="H72" i="3"/>
  <c r="G72" i="3"/>
  <c r="G70" i="3" s="1"/>
  <c r="G69" i="3" s="1"/>
  <c r="F70" i="3"/>
  <c r="F69" i="3" s="1"/>
  <c r="E72" i="3"/>
  <c r="E70" i="3" s="1"/>
  <c r="E69" i="3" s="1"/>
  <c r="I63" i="3"/>
  <c r="F61" i="3"/>
  <c r="E61" i="3"/>
  <c r="K61" i="3"/>
  <c r="J61" i="3"/>
  <c r="G61" i="3"/>
  <c r="I55" i="3"/>
  <c r="I54" i="3"/>
  <c r="K53" i="3"/>
  <c r="J53" i="3"/>
  <c r="H53" i="3"/>
  <c r="E53" i="3"/>
  <c r="I52" i="3"/>
  <c r="I51" i="3"/>
  <c r="K50" i="3"/>
  <c r="J50" i="3"/>
  <c r="J48" i="3" s="1"/>
  <c r="H50" i="3"/>
  <c r="F50" i="3"/>
  <c r="F48" i="3" s="1"/>
  <c r="E50" i="3"/>
  <c r="G50" i="3" s="1"/>
  <c r="K41" i="3"/>
  <c r="J41" i="3"/>
  <c r="H41" i="3"/>
  <c r="F41" i="3"/>
  <c r="E41" i="3"/>
  <c r="I35" i="3"/>
  <c r="I33" i="3"/>
  <c r="I31" i="3"/>
  <c r="I30" i="3"/>
  <c r="I29" i="3"/>
  <c r="I28" i="3"/>
  <c r="I25" i="3"/>
  <c r="I24" i="3"/>
  <c r="I23" i="3"/>
  <c r="I22" i="3"/>
  <c r="I19" i="3"/>
  <c r="I18" i="3"/>
  <c r="J17" i="3"/>
  <c r="H17" i="3"/>
  <c r="F17" i="3"/>
  <c r="E17" i="3"/>
  <c r="I15" i="3"/>
  <c r="I14" i="3"/>
  <c r="I13" i="3"/>
  <c r="I12" i="3"/>
  <c r="I11" i="3"/>
  <c r="G10" i="3"/>
  <c r="K511" i="2"/>
  <c r="J511" i="2"/>
  <c r="H511" i="2"/>
  <c r="G511" i="2"/>
  <c r="F511" i="2"/>
  <c r="E511" i="2"/>
  <c r="G505" i="2"/>
  <c r="G502" i="2" s="1"/>
  <c r="K502" i="2"/>
  <c r="H502" i="2"/>
  <c r="F502" i="2"/>
  <c r="E502" i="2"/>
  <c r="J502" i="2"/>
  <c r="K496" i="2"/>
  <c r="J496" i="2"/>
  <c r="H496" i="2"/>
  <c r="G496" i="2"/>
  <c r="F496" i="2"/>
  <c r="E496" i="2"/>
  <c r="G490" i="2"/>
  <c r="K487" i="2"/>
  <c r="J487" i="2"/>
  <c r="H487" i="2"/>
  <c r="G487" i="2"/>
  <c r="F487" i="2"/>
  <c r="E487" i="2"/>
  <c r="K466" i="2"/>
  <c r="J466" i="2"/>
  <c r="H466" i="2"/>
  <c r="G466" i="2"/>
  <c r="F466" i="2"/>
  <c r="E466" i="2"/>
  <c r="G460" i="2"/>
  <c r="G457" i="2" s="1"/>
  <c r="K457" i="2"/>
  <c r="J457" i="2"/>
  <c r="H457" i="2"/>
  <c r="F457" i="2"/>
  <c r="E457" i="2"/>
  <c r="K450" i="2"/>
  <c r="J450" i="2"/>
  <c r="H450" i="2"/>
  <c r="G450" i="2"/>
  <c r="F450" i="2"/>
  <c r="E450" i="2"/>
  <c r="G444" i="2"/>
  <c r="K441" i="2"/>
  <c r="J441" i="2"/>
  <c r="G441" i="2"/>
  <c r="F441" i="2"/>
  <c r="E441" i="2"/>
  <c r="H441" i="2"/>
  <c r="K251" i="2"/>
  <c r="J251" i="2"/>
  <c r="H251" i="2"/>
  <c r="G251" i="2"/>
  <c r="F251" i="2"/>
  <c r="E251" i="2"/>
  <c r="G245" i="2"/>
  <c r="K242" i="2"/>
  <c r="J242" i="2"/>
  <c r="H242" i="2"/>
  <c r="G242" i="2"/>
  <c r="F242" i="2"/>
  <c r="E242" i="2"/>
  <c r="K235" i="2"/>
  <c r="J235" i="2"/>
  <c r="H235" i="2"/>
  <c r="G235" i="2"/>
  <c r="F235" i="2"/>
  <c r="E235" i="2"/>
  <c r="G229" i="2"/>
  <c r="K226" i="2"/>
  <c r="J226" i="2"/>
  <c r="H226" i="2"/>
  <c r="G226" i="2"/>
  <c r="F226" i="2"/>
  <c r="E226" i="2"/>
  <c r="K188" i="2"/>
  <c r="J188" i="2"/>
  <c r="H188" i="2"/>
  <c r="G188" i="2"/>
  <c r="F188" i="2"/>
  <c r="E188" i="2"/>
  <c r="G182" i="2"/>
  <c r="K179" i="2"/>
  <c r="J179" i="2"/>
  <c r="F179" i="2"/>
  <c r="E179" i="2"/>
  <c r="H179" i="2"/>
  <c r="G179" i="2"/>
  <c r="K173" i="2"/>
  <c r="J173" i="2"/>
  <c r="H173" i="2"/>
  <c r="G173" i="2"/>
  <c r="F173" i="2"/>
  <c r="E173" i="2"/>
  <c r="G167" i="2"/>
  <c r="G164" i="2" s="1"/>
  <c r="K164" i="2"/>
  <c r="J164" i="2"/>
  <c r="H164" i="2"/>
  <c r="F164" i="2"/>
  <c r="E164" i="2"/>
  <c r="K142" i="2"/>
  <c r="J142" i="2"/>
  <c r="H142" i="2"/>
  <c r="G142" i="2"/>
  <c r="F142" i="2"/>
  <c r="E142" i="2"/>
  <c r="G136" i="2"/>
  <c r="G134" i="2" s="1"/>
  <c r="G133" i="2" s="1"/>
  <c r="G132" i="2" s="1"/>
  <c r="G131" i="2" s="1"/>
  <c r="G115" i="2" s="1"/>
  <c r="K133" i="2"/>
  <c r="J133" i="2"/>
  <c r="H133" i="2"/>
  <c r="F133" i="2"/>
  <c r="E133" i="2"/>
  <c r="G112" i="2"/>
  <c r="G111" i="2" s="1"/>
  <c r="G110" i="2" s="1"/>
  <c r="I105" i="2"/>
  <c r="I104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J82" i="2"/>
  <c r="G77" i="2"/>
  <c r="K69" i="2"/>
  <c r="J69" i="2"/>
  <c r="H69" i="2"/>
  <c r="G69" i="2"/>
  <c r="F69" i="2"/>
  <c r="E69" i="2"/>
  <c r="I63" i="2"/>
  <c r="K61" i="2"/>
  <c r="J61" i="2"/>
  <c r="G61" i="2"/>
  <c r="G54" i="2"/>
  <c r="G53" i="2"/>
  <c r="K52" i="2"/>
  <c r="J52" i="2"/>
  <c r="H52" i="2"/>
  <c r="F52" i="2"/>
  <c r="E52" i="2"/>
  <c r="I22" i="2"/>
  <c r="I21" i="2"/>
  <c r="J14" i="2"/>
  <c r="E8" i="2"/>
  <c r="K18" i="1"/>
  <c r="J18" i="1"/>
  <c r="H18" i="1"/>
  <c r="F18" i="1"/>
  <c r="E18" i="1"/>
  <c r="I11" i="1"/>
  <c r="H10" i="1"/>
  <c r="F10" i="1"/>
  <c r="E10" i="1"/>
  <c r="J8" i="1"/>
  <c r="J7" i="1" s="1"/>
  <c r="H8" i="1" l="1"/>
  <c r="H7" i="1" s="1"/>
  <c r="K10" i="1"/>
  <c r="K48" i="3"/>
  <c r="K47" i="3" s="1"/>
  <c r="G456" i="2"/>
  <c r="J6" i="1"/>
  <c r="J5" i="1" s="1"/>
  <c r="J23" i="1" s="1"/>
  <c r="H48" i="3"/>
  <c r="H47" i="3" s="1"/>
  <c r="G225" i="2"/>
  <c r="G209" i="2" s="1"/>
  <c r="G440" i="2"/>
  <c r="G379" i="2" s="1"/>
  <c r="K195" i="3"/>
  <c r="K194" i="3" s="1"/>
  <c r="K160" i="3" s="1"/>
  <c r="E195" i="3"/>
  <c r="J195" i="3"/>
  <c r="J194" i="3" s="1"/>
  <c r="J160" i="3" s="1"/>
  <c r="F195" i="3"/>
  <c r="F194" i="3" s="1"/>
  <c r="F160" i="3" s="1"/>
  <c r="F241" i="2"/>
  <c r="F240" i="2" s="1"/>
  <c r="I120" i="3"/>
  <c r="G52" i="2"/>
  <c r="G241" i="2"/>
  <c r="G240" i="2" s="1"/>
  <c r="G486" i="2"/>
  <c r="I41" i="3"/>
  <c r="J214" i="3"/>
  <c r="J213" i="3" s="1"/>
  <c r="J212" i="3" s="1"/>
  <c r="K214" i="3"/>
  <c r="K213" i="3" s="1"/>
  <c r="K212" i="3" s="1"/>
  <c r="G48" i="3"/>
  <c r="G60" i="3"/>
  <c r="J60" i="3"/>
  <c r="K60" i="3"/>
  <c r="G178" i="2"/>
  <c r="E486" i="2"/>
  <c r="G501" i="2"/>
  <c r="H119" i="3"/>
  <c r="H118" i="3" s="1"/>
  <c r="H117" i="3" s="1"/>
  <c r="H116" i="3" s="1"/>
  <c r="F117" i="5"/>
  <c r="F116" i="5" s="1"/>
  <c r="F115" i="5" s="1"/>
  <c r="G117" i="5"/>
  <c r="G116" i="5" s="1"/>
  <c r="G115" i="5" s="1"/>
  <c r="K117" i="5"/>
  <c r="K116" i="5" s="1"/>
  <c r="K115" i="5" s="1"/>
  <c r="H117" i="5"/>
  <c r="H116" i="5" s="1"/>
  <c r="H115" i="5" s="1"/>
  <c r="J117" i="5"/>
  <c r="J116" i="5" s="1"/>
  <c r="J115" i="5" s="1"/>
  <c r="E48" i="4"/>
  <c r="J48" i="4"/>
  <c r="K48" i="4"/>
  <c r="G48" i="4"/>
  <c r="F25" i="4"/>
  <c r="F24" i="4" s="1"/>
  <c r="E25" i="4"/>
  <c r="E24" i="4" s="1"/>
  <c r="H25" i="4"/>
  <c r="H24" i="4" s="1"/>
  <c r="G163" i="2"/>
  <c r="E7" i="2"/>
  <c r="J178" i="2"/>
  <c r="K8" i="2"/>
  <c r="K7" i="2" s="1"/>
  <c r="I150" i="3"/>
  <c r="I55" i="4"/>
  <c r="E60" i="3"/>
  <c r="F60" i="3"/>
  <c r="I154" i="3"/>
  <c r="J76" i="2"/>
  <c r="G24" i="4"/>
  <c r="I49" i="4"/>
  <c r="G217" i="3"/>
  <c r="G214" i="3" s="1"/>
  <c r="G213" i="3" s="1"/>
  <c r="G212" i="3" s="1"/>
  <c r="G76" i="5"/>
  <c r="G75" i="5" s="1"/>
  <c r="J7" i="5"/>
  <c r="H56" i="5"/>
  <c r="H55" i="5" s="1"/>
  <c r="G59" i="2"/>
  <c r="G58" i="2" s="1"/>
  <c r="G57" i="2" s="1"/>
  <c r="J57" i="5"/>
  <c r="J56" i="5" s="1"/>
  <c r="J55" i="5" s="1"/>
  <c r="F55" i="5"/>
  <c r="G56" i="5"/>
  <c r="G55" i="5" s="1"/>
  <c r="G6" i="5" s="1"/>
  <c r="H110" i="5"/>
  <c r="H241" i="2"/>
  <c r="H240" i="2" s="1"/>
  <c r="E56" i="5"/>
  <c r="E110" i="5"/>
  <c r="K76" i="5"/>
  <c r="K75" i="5" s="1"/>
  <c r="F456" i="2"/>
  <c r="K456" i="2"/>
  <c r="K163" i="2"/>
  <c r="J163" i="2"/>
  <c r="E456" i="2"/>
  <c r="J456" i="2"/>
  <c r="J110" i="2"/>
  <c r="E163" i="2"/>
  <c r="J501" i="2"/>
  <c r="H501" i="2"/>
  <c r="H225" i="2"/>
  <c r="H209" i="2" s="1"/>
  <c r="E241" i="2"/>
  <c r="E240" i="2" s="1"/>
  <c r="H486" i="2"/>
  <c r="F225" i="2"/>
  <c r="F209" i="2" s="1"/>
  <c r="F76" i="2"/>
  <c r="K76" i="2"/>
  <c r="E132" i="2"/>
  <c r="E131" i="2" s="1"/>
  <c r="E115" i="2" s="1"/>
  <c r="J132" i="2"/>
  <c r="J131" i="2" s="1"/>
  <c r="J115" i="2" s="1"/>
  <c r="E178" i="2"/>
  <c r="K241" i="2"/>
  <c r="K240" i="2" s="1"/>
  <c r="E440" i="2"/>
  <c r="E379" i="2" s="1"/>
  <c r="F486" i="2"/>
  <c r="K486" i="2"/>
  <c r="G76" i="2"/>
  <c r="G75" i="2" s="1"/>
  <c r="G74" i="2" s="1"/>
  <c r="F132" i="2"/>
  <c r="F131" i="2" s="1"/>
  <c r="H163" i="2"/>
  <c r="F178" i="2"/>
  <c r="K178" i="2"/>
  <c r="F440" i="2"/>
  <c r="H440" i="2"/>
  <c r="H379" i="2" s="1"/>
  <c r="E501" i="2"/>
  <c r="E76" i="2"/>
  <c r="K132" i="2"/>
  <c r="K131" i="2" s="1"/>
  <c r="K115" i="2" s="1"/>
  <c r="H178" i="2"/>
  <c r="E225" i="2"/>
  <c r="E209" i="2" s="1"/>
  <c r="K440" i="2"/>
  <c r="K379" i="2" s="1"/>
  <c r="F501" i="2"/>
  <c r="H110" i="2"/>
  <c r="J225" i="2"/>
  <c r="J209" i="2" s="1"/>
  <c r="H456" i="2"/>
  <c r="I82" i="2"/>
  <c r="I14" i="2"/>
  <c r="I72" i="3"/>
  <c r="E117" i="5"/>
  <c r="E116" i="5" s="1"/>
  <c r="E115" i="5" s="1"/>
  <c r="F163" i="2"/>
  <c r="E110" i="2"/>
  <c r="H76" i="2"/>
  <c r="E59" i="2"/>
  <c r="E58" i="2" s="1"/>
  <c r="E57" i="2" s="1"/>
  <c r="G8" i="2"/>
  <c r="H8" i="2"/>
  <c r="I8" i="2" s="1"/>
  <c r="F7" i="5"/>
  <c r="I10" i="1"/>
  <c r="E8" i="1"/>
  <c r="E7" i="1" s="1"/>
  <c r="E6" i="1" s="1"/>
  <c r="E5" i="1" s="1"/>
  <c r="E23" i="1" s="1"/>
  <c r="E92" i="3"/>
  <c r="E91" i="3" s="1"/>
  <c r="F213" i="3"/>
  <c r="F212" i="3" s="1"/>
  <c r="E213" i="3"/>
  <c r="E212" i="3" s="1"/>
  <c r="J47" i="3"/>
  <c r="G53" i="3"/>
  <c r="K139" i="3"/>
  <c r="K138" i="3" s="1"/>
  <c r="E119" i="3"/>
  <c r="E118" i="3" s="1"/>
  <c r="E117" i="3" s="1"/>
  <c r="E116" i="3" s="1"/>
  <c r="J119" i="3"/>
  <c r="J118" i="3" s="1"/>
  <c r="J117" i="3" s="1"/>
  <c r="J116" i="3" s="1"/>
  <c r="J139" i="3"/>
  <c r="J138" i="3" s="1"/>
  <c r="E48" i="3"/>
  <c r="I96" i="3"/>
  <c r="G41" i="3"/>
  <c r="E68" i="3"/>
  <c r="G194" i="3"/>
  <c r="G160" i="3" s="1"/>
  <c r="E9" i="3"/>
  <c r="K68" i="3"/>
  <c r="F119" i="3"/>
  <c r="F118" i="3" s="1"/>
  <c r="F117" i="3" s="1"/>
  <c r="F116" i="3" s="1"/>
  <c r="K119" i="3"/>
  <c r="F139" i="3"/>
  <c r="F138" i="3" s="1"/>
  <c r="E194" i="3"/>
  <c r="E160" i="3" s="1"/>
  <c r="F9" i="3"/>
  <c r="J9" i="3"/>
  <c r="F47" i="3"/>
  <c r="K92" i="3"/>
  <c r="K91" i="3" s="1"/>
  <c r="H149" i="3"/>
  <c r="I149" i="3" s="1"/>
  <c r="G68" i="3"/>
  <c r="G119" i="3"/>
  <c r="G118" i="3" s="1"/>
  <c r="G117" i="3" s="1"/>
  <c r="I124" i="3"/>
  <c r="I17" i="3"/>
  <c r="J92" i="3"/>
  <c r="J91" i="3" s="1"/>
  <c r="H94" i="3"/>
  <c r="I94" i="3" s="1"/>
  <c r="F94" i="3"/>
  <c r="F93" i="3" s="1"/>
  <c r="F92" i="3" s="1"/>
  <c r="F91" i="3" s="1"/>
  <c r="I10" i="3"/>
  <c r="I50" i="3"/>
  <c r="H70" i="3"/>
  <c r="J68" i="3"/>
  <c r="G94" i="3"/>
  <c r="G93" i="3" s="1"/>
  <c r="G92" i="3" s="1"/>
  <c r="G91" i="3" s="1"/>
  <c r="H6" i="1"/>
  <c r="F59" i="2"/>
  <c r="F58" i="2" s="1"/>
  <c r="F57" i="2" s="1"/>
  <c r="J59" i="2"/>
  <c r="J58" i="2" s="1"/>
  <c r="J57" i="2" s="1"/>
  <c r="H61" i="3"/>
  <c r="I62" i="3"/>
  <c r="I85" i="5"/>
  <c r="F8" i="1"/>
  <c r="F7" i="1" s="1"/>
  <c r="F6" i="1" s="1"/>
  <c r="F5" i="1" s="1"/>
  <c r="F23" i="1" s="1"/>
  <c r="F8" i="2"/>
  <c r="F7" i="2" s="1"/>
  <c r="J8" i="2"/>
  <c r="J7" i="2" s="1"/>
  <c r="H59" i="2"/>
  <c r="I61" i="2"/>
  <c r="H196" i="3"/>
  <c r="I198" i="3"/>
  <c r="K59" i="2"/>
  <c r="K58" i="2" s="1"/>
  <c r="K57" i="2" s="1"/>
  <c r="F110" i="2"/>
  <c r="K110" i="2"/>
  <c r="H132" i="2"/>
  <c r="H131" i="2" s="1"/>
  <c r="H115" i="2" s="1"/>
  <c r="G9" i="3"/>
  <c r="F68" i="3"/>
  <c r="K501" i="2"/>
  <c r="K9" i="3"/>
  <c r="I27" i="4"/>
  <c r="K225" i="2"/>
  <c r="K209" i="2" s="1"/>
  <c r="J241" i="2"/>
  <c r="J240" i="2" s="1"/>
  <c r="J440" i="2"/>
  <c r="J379" i="2" s="1"/>
  <c r="J486" i="2"/>
  <c r="H9" i="3"/>
  <c r="J25" i="4"/>
  <c r="J24" i="4" s="1"/>
  <c r="K24" i="4"/>
  <c r="I9" i="5"/>
  <c r="I78" i="5"/>
  <c r="I53" i="3"/>
  <c r="E139" i="3"/>
  <c r="E138" i="3" s="1"/>
  <c r="I8" i="5"/>
  <c r="H7" i="5"/>
  <c r="K56" i="5"/>
  <c r="K55" i="5" s="1"/>
  <c r="K6" i="5" s="1"/>
  <c r="J76" i="5"/>
  <c r="J75" i="5" s="1"/>
  <c r="J74" i="5" s="1"/>
  <c r="F110" i="5"/>
  <c r="K110" i="5"/>
  <c r="G110" i="5"/>
  <c r="I60" i="5"/>
  <c r="G7" i="2" l="1"/>
  <c r="G6" i="2" s="1"/>
  <c r="K23" i="4"/>
  <c r="K22" i="4" s="1"/>
  <c r="K86" i="4" s="1"/>
  <c r="J46" i="3"/>
  <c r="K8" i="1"/>
  <c r="K7" i="1" s="1"/>
  <c r="K6" i="1" s="1"/>
  <c r="K5" i="1" s="1"/>
  <c r="K23" i="1" s="1"/>
  <c r="K118" i="3"/>
  <c r="J73" i="5"/>
  <c r="J6" i="5"/>
  <c r="F379" i="2"/>
  <c r="I48" i="3"/>
  <c r="F162" i="2"/>
  <c r="F455" i="2"/>
  <c r="F6" i="5"/>
  <c r="G455" i="2"/>
  <c r="H6" i="5"/>
  <c r="E455" i="2"/>
  <c r="G230" i="3"/>
  <c r="K46" i="3"/>
  <c r="G162" i="2"/>
  <c r="E6" i="2"/>
  <c r="J8" i="3"/>
  <c r="J7" i="3" s="1"/>
  <c r="F8" i="3"/>
  <c r="F7" i="3" s="1"/>
  <c r="E8" i="3"/>
  <c r="E7" i="3" s="1"/>
  <c r="I70" i="3"/>
  <c r="E23" i="4"/>
  <c r="E22" i="4" s="1"/>
  <c r="E86" i="4" s="1"/>
  <c r="G23" i="4"/>
  <c r="G22" i="4" s="1"/>
  <c r="G86" i="4" s="1"/>
  <c r="G116" i="3"/>
  <c r="J162" i="2"/>
  <c r="H75" i="2"/>
  <c r="H74" i="2" s="1"/>
  <c r="I48" i="4"/>
  <c r="H139" i="3"/>
  <c r="F46" i="3"/>
  <c r="J455" i="2"/>
  <c r="J75" i="2"/>
  <c r="J74" i="2" s="1"/>
  <c r="F23" i="4"/>
  <c r="F22" i="4" s="1"/>
  <c r="F86" i="4" s="1"/>
  <c r="G74" i="5"/>
  <c r="G73" i="5" s="1"/>
  <c r="G130" i="5" s="1"/>
  <c r="I115" i="5"/>
  <c r="E55" i="5"/>
  <c r="E6" i="5" s="1"/>
  <c r="I56" i="5"/>
  <c r="K74" i="5"/>
  <c r="K75" i="2"/>
  <c r="K74" i="2" s="1"/>
  <c r="F6" i="2"/>
  <c r="I57" i="5"/>
  <c r="E162" i="2"/>
  <c r="K162" i="2"/>
  <c r="K455" i="2"/>
  <c r="I116" i="5"/>
  <c r="H162" i="2"/>
  <c r="F75" i="2"/>
  <c r="F74" i="2" s="1"/>
  <c r="H455" i="2"/>
  <c r="I76" i="2"/>
  <c r="J6" i="2"/>
  <c r="K6" i="2"/>
  <c r="H7" i="2"/>
  <c r="I7" i="2" s="1"/>
  <c r="E75" i="2"/>
  <c r="E74" i="2" s="1"/>
  <c r="E47" i="3"/>
  <c r="E46" i="3" s="1"/>
  <c r="I7" i="1"/>
  <c r="I8" i="1"/>
  <c r="G47" i="3"/>
  <c r="G46" i="3" s="1"/>
  <c r="H69" i="3"/>
  <c r="I69" i="3" s="1"/>
  <c r="H93" i="3"/>
  <c r="H92" i="3" s="1"/>
  <c r="E76" i="5"/>
  <c r="F76" i="5"/>
  <c r="F75" i="5" s="1"/>
  <c r="F74" i="5" s="1"/>
  <c r="F73" i="5" s="1"/>
  <c r="I119" i="3"/>
  <c r="I9" i="3"/>
  <c r="H8" i="3"/>
  <c r="I196" i="3"/>
  <c r="H195" i="3"/>
  <c r="I61" i="3"/>
  <c r="H60" i="3"/>
  <c r="K8" i="3"/>
  <c r="K7" i="3" s="1"/>
  <c r="J23" i="4"/>
  <c r="J22" i="4" s="1"/>
  <c r="J86" i="4" s="1"/>
  <c r="H5" i="1"/>
  <c r="I6" i="1"/>
  <c r="I24" i="4"/>
  <c r="H23" i="4"/>
  <c r="I25" i="4"/>
  <c r="I7" i="5"/>
  <c r="I77" i="5"/>
  <c r="I84" i="5"/>
  <c r="H213" i="3"/>
  <c r="G8" i="3"/>
  <c r="G7" i="3" s="1"/>
  <c r="I59" i="2"/>
  <c r="H58" i="2"/>
  <c r="J130" i="5" l="1"/>
  <c r="K516" i="2"/>
  <c r="K117" i="3"/>
  <c r="K73" i="5"/>
  <c r="K130" i="5" s="1"/>
  <c r="F516" i="2"/>
  <c r="G516" i="2"/>
  <c r="J6" i="3"/>
  <c r="J230" i="3" s="1"/>
  <c r="E75" i="5"/>
  <c r="E74" i="5" s="1"/>
  <c r="E73" i="5" s="1"/>
  <c r="E130" i="5" s="1"/>
  <c r="F130" i="5"/>
  <c r="K6" i="3"/>
  <c r="F6" i="3"/>
  <c r="F230" i="3" s="1"/>
  <c r="G6" i="3"/>
  <c r="E6" i="3"/>
  <c r="E230" i="3" s="1"/>
  <c r="E516" i="2"/>
  <c r="J516" i="2"/>
  <c r="H138" i="3"/>
  <c r="I138" i="3" s="1"/>
  <c r="I139" i="3"/>
  <c r="I6" i="5"/>
  <c r="I55" i="5"/>
  <c r="I74" i="2"/>
  <c r="I75" i="2"/>
  <c r="I47" i="3"/>
  <c r="H68" i="3"/>
  <c r="I93" i="3"/>
  <c r="I60" i="3"/>
  <c r="H46" i="3"/>
  <c r="I76" i="5"/>
  <c r="I23" i="4"/>
  <c r="H22" i="4"/>
  <c r="H91" i="3"/>
  <c r="I91" i="3" s="1"/>
  <c r="I92" i="3"/>
  <c r="I213" i="3"/>
  <c r="H212" i="3"/>
  <c r="H23" i="1"/>
  <c r="I5" i="1"/>
  <c r="H57" i="2"/>
  <c r="H6" i="2" s="1"/>
  <c r="H516" i="2" s="1"/>
  <c r="I58" i="2"/>
  <c r="I195" i="3"/>
  <c r="H194" i="3"/>
  <c r="H160" i="3" s="1"/>
  <c r="I160" i="3" s="1"/>
  <c r="H7" i="3"/>
  <c r="I8" i="3"/>
  <c r="I118" i="3"/>
  <c r="K116" i="3" l="1"/>
  <c r="H86" i="4"/>
  <c r="I22" i="4"/>
  <c r="H6" i="3"/>
  <c r="H230" i="3" s="1"/>
  <c r="I46" i="3"/>
  <c r="I68" i="3"/>
  <c r="I23" i="1"/>
  <c r="I57" i="2"/>
  <c r="I194" i="3"/>
  <c r="I117" i="3"/>
  <c r="I116" i="3"/>
  <c r="I7" i="3"/>
  <c r="I212" i="3"/>
  <c r="I75" i="5"/>
  <c r="H74" i="5"/>
  <c r="K230" i="3" l="1"/>
  <c r="I6" i="3"/>
  <c r="I74" i="5"/>
  <c r="H73" i="5"/>
  <c r="H130" i="5" s="1"/>
  <c r="I6" i="2"/>
  <c r="I516" i="2" l="1"/>
  <c r="I230" i="3"/>
  <c r="I73" i="5"/>
  <c r="I130" i="5" l="1"/>
  <c r="I86" i="4" l="1"/>
  <c r="I62" i="4"/>
</calcChain>
</file>

<file path=xl/sharedStrings.xml><?xml version="1.0" encoding="utf-8"?>
<sst xmlns="http://schemas.openxmlformats.org/spreadsheetml/2006/main" count="4471" uniqueCount="637">
  <si>
    <t>kwota  w  zł</t>
  </si>
  <si>
    <t>Dział</t>
  </si>
  <si>
    <t>Rozdział</t>
  </si>
  <si>
    <t>Wyszczególnienie</t>
  </si>
  <si>
    <t>§</t>
  </si>
  <si>
    <t>(6: 4)
%</t>
  </si>
  <si>
    <t>1.</t>
  </si>
  <si>
    <t>2.</t>
  </si>
  <si>
    <t>3.</t>
  </si>
  <si>
    <t>4.</t>
  </si>
  <si>
    <t>5.</t>
  </si>
  <si>
    <t>6.</t>
  </si>
  <si>
    <t>7.</t>
  </si>
  <si>
    <t>9.</t>
  </si>
  <si>
    <t>750</t>
  </si>
  <si>
    <t>ADMINISTRACJA PUBLICZNA</t>
  </si>
  <si>
    <t>75095</t>
  </si>
  <si>
    <t>Pozostała działalność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</si>
  <si>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</si>
  <si>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</si>
  <si>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</si>
  <si>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</si>
  <si>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razem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</si>
  <si>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</si>
  <si>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</si>
  <si>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</si>
  <si>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</si>
  <si>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</si>
  <si>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</si>
  <si>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</si>
  <si>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</si>
  <si>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</si>
  <si>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</si>
  <si>
    <t>WYDATKI OGÓŁEM</t>
  </si>
  <si>
    <t xml:space="preserve">    - wydatki związane z realizacją ich statutowych
      zadań</t>
  </si>
  <si>
    <t>4. Wydatki na programy finansowane z udziałem 
    środków UE i źródeł zagranicznych</t>
  </si>
  <si>
    <t xml:space="preserve">   - na programy finansowane z udziałem środków 
    UE i źródeł zagranicznych</t>
  </si>
  <si>
    <t>Lp.</t>
  </si>
  <si>
    <t>Plan wg. założeń na 2014r.</t>
  </si>
  <si>
    <t>(6 : 4)
%</t>
  </si>
  <si>
    <t>010</t>
  </si>
  <si>
    <t>ROLNICTWO I ŁOWIECTWO</t>
  </si>
  <si>
    <t>Dotacje</t>
  </si>
  <si>
    <t>Własne</t>
  </si>
  <si>
    <t>Ogółem</t>
  </si>
  <si>
    <t>4. Wydatki na programy finansowane z udziałem środków
     UE i źródeł zagranicznych</t>
  </si>
  <si>
    <t xml:space="preserve">   - na programy finansowane z udziałem środków UE i 
     źródeł  zagranicznych</t>
  </si>
  <si>
    <t>01041</t>
  </si>
  <si>
    <t>Program Rozwoju Obszarów Wiejskich</t>
  </si>
  <si>
    <t>01095</t>
  </si>
  <si>
    <t>050</t>
  </si>
  <si>
    <t>RYBOŁÓWSTWO I RYBACTWO</t>
  </si>
  <si>
    <t>05011</t>
  </si>
  <si>
    <t>Program Operacyjny Zrównoważony rozwój sektora rybołówstwa i nadbrzeżnych obszarów rybackich 2007-2013 oraz Program Operacyjny Rybactwo i Morze 2014-2020</t>
  </si>
  <si>
    <t>4. Wydatki na programy finansowane z udziałem środków 
    UE i źródeł zagranicznych</t>
  </si>
  <si>
    <t>600</t>
  </si>
  <si>
    <t>TRANSPORT I ŁĄCZNOŚĆ</t>
  </si>
  <si>
    <t>630</t>
  </si>
  <si>
    <t>TURYSTYKA</t>
  </si>
  <si>
    <t>Zadania w zakresie upowszechniania turystyki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</si>
  <si>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</si>
  <si>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</si>
  <si>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</si>
  <si>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</si>
  <si>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</si>
  <si>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</si>
  <si>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</si>
  <si>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75075</t>
  </si>
  <si>
    <t>Promocja jednostek samorządu terytorialnego</t>
  </si>
  <si>
    <t>900</t>
  </si>
  <si>
    <t>GOSPODARKA KOMUNALNA I OCHRONA ŚRODOWISKA</t>
  </si>
  <si>
    <t>90095</t>
  </si>
  <si>
    <t>921</t>
  </si>
  <si>
    <t>KULTURA I OCHRONA DZIEDZICTWA NARODOWEGO</t>
  </si>
  <si>
    <t>92109</t>
  </si>
  <si>
    <t>Domy i ośrodki kultury, świetlice i kluby</t>
  </si>
  <si>
    <t>92195</t>
  </si>
  <si>
    <t>926</t>
  </si>
  <si>
    <t>KULTURA FIZYCZNA</t>
  </si>
  <si>
    <t>92601</t>
  </si>
  <si>
    <t>Obiekty sportowe</t>
  </si>
  <si>
    <t>92605</t>
  </si>
  <si>
    <t>Zadania w zakresie kultury fizycznej</t>
  </si>
  <si>
    <t>92695</t>
  </si>
  <si>
    <t>Plan wg. założeń na 2015r.</t>
  </si>
  <si>
    <t>01004</t>
  </si>
  <si>
    <t>Biura geodezji i terenów rolnych</t>
  </si>
  <si>
    <t xml:space="preserve">   - na programy finansowane z udziałem środków UE 
     i źródeł zagranicznych</t>
  </si>
  <si>
    <t>4. Wydatki na programy finansowane z udziałem środków 
     UE i źródeł zagranicznych</t>
  </si>
  <si>
    <t xml:space="preserve">   - na programy finansowane z udziałem środków 
     UE i źródeł zagranicznych</t>
  </si>
  <si>
    <t>4. Wydatki na programy finansowane z udziałem środków
    UE i źródeł zagranicznych</t>
  </si>
  <si>
    <t>01042</t>
  </si>
  <si>
    <t>Wyłączenie z produkcji gruntów rolnych</t>
  </si>
  <si>
    <t xml:space="preserve">   - na programy finansowane z udziałem środków UE 
      i źródeł zagranicznych</t>
  </si>
  <si>
    <t>71012</t>
  </si>
  <si>
    <t>720</t>
  </si>
  <si>
    <t>INFORMATYKA</t>
  </si>
  <si>
    <t>72095</t>
  </si>
  <si>
    <t>90005</t>
  </si>
  <si>
    <t>Ochrona powietrza atmosferycznego i klimatu</t>
  </si>
  <si>
    <t>925</t>
  </si>
  <si>
    <t>OGRODY BOTANICZNE I ZOOLOGICZNE ORAZ NATURALNE OBSZARY I OBIEKTY CHRONIONEJ PRZYRODY</t>
  </si>
  <si>
    <t>92502</t>
  </si>
  <si>
    <t>Parki krajobrazowe</t>
  </si>
  <si>
    <t>4. Wydatki na programy finansowane z udziałem 
    środków  UE i źródeł zagranicznych</t>
  </si>
  <si>
    <t>92595</t>
  </si>
  <si>
    <t>Urzędy marszałkowskie</t>
  </si>
  <si>
    <t>754</t>
  </si>
  <si>
    <t>BEZPIECZEŃSTWO PUBLICZNE I OCHRONA PRZECIWPOŻAROWA</t>
  </si>
  <si>
    <t xml:space="preserve">   - na programy finansowane z udziałem środków UE i 
     źródeł zagranicznych</t>
  </si>
  <si>
    <t>851</t>
  </si>
  <si>
    <t>OCHRONA ZDROWIA</t>
  </si>
  <si>
    <t>85119</t>
  </si>
  <si>
    <t>Leczenie sanatoryjno-klimatyczne</t>
  </si>
  <si>
    <t>75018</t>
  </si>
  <si>
    <t>801</t>
  </si>
  <si>
    <t>OŚWIATA I WYCHOWANIE</t>
  </si>
  <si>
    <t>92105</t>
  </si>
  <si>
    <t>Pozostałe zadania w zakresie kultury</t>
  </si>
  <si>
    <t>Ochotnicze straże pożarne</t>
  </si>
  <si>
    <t>Zadania z zakresu geodezji i kartografii</t>
  </si>
  <si>
    <t>63095</t>
  </si>
  <si>
    <t>90004</t>
  </si>
  <si>
    <t>92120</t>
  </si>
  <si>
    <t>Ochrona zabytków i opieka nad zabytkami</t>
  </si>
  <si>
    <t>Utrzymanie zieleni w miastach i gminach</t>
  </si>
  <si>
    <t>Nie zgłoszono potrzeb na 2019r.
W 2018r. wydatki zaplanowano na dotacje celowe na pomoc finansową dla jednostek samorządu terytorialnego realizujących Podkarpacki Program Odnowy Wsi na lata 2017-2020.</t>
  </si>
  <si>
    <t>90007</t>
  </si>
  <si>
    <t>Zmniejszenie hałasu i wibracji</t>
  </si>
  <si>
    <t>71035</t>
  </si>
  <si>
    <t>Cmentarze</t>
  </si>
  <si>
    <t>80104</t>
  </si>
  <si>
    <t>Przedszkola</t>
  </si>
  <si>
    <t>Nie zgłoszono potrzeb na 2020r.
W 2019r. wydatki zaplanowano na dotacje celowe na pomoc finansową dla jednostek samorządu terytorialnego realizujących Podkarpacki Program Odnowy Wsi na lata 2017-2020.</t>
  </si>
  <si>
    <t>60095</t>
  </si>
  <si>
    <t>Parki narodowe</t>
  </si>
  <si>
    <t>92501</t>
  </si>
  <si>
    <t xml:space="preserve">Nie zgłoszono potrzeb na 2020r.
W 2019r. wydatki zaplanowano na dotację celową dla Bieszczadzkiego Parku Narodowego na sfinansowanie budowy bacówki wraz z wyposażeniem na Połoninie Wetlińskiej.
</t>
  </si>
  <si>
    <t>853</t>
  </si>
  <si>
    <t>80195</t>
  </si>
  <si>
    <t>92116</t>
  </si>
  <si>
    <t>Biblioteki</t>
  </si>
  <si>
    <t>85395</t>
  </si>
  <si>
    <t>80101</t>
  </si>
  <si>
    <t>POZOSTAŁE ZADANIA W ZAKRESIE POLITYKI SPOŁECZNEJ</t>
  </si>
  <si>
    <t>92604</t>
  </si>
  <si>
    <t>90008</t>
  </si>
  <si>
    <t>Nie zgłoszono potrzeb na 2022r.
W 2021r. wydatki zaplanowano na dotacje celowe na pomoc finansową dla jednostek samorządu terytorialnego realizujących Podkarpacki Program Odnowy Wsi na lata 2021-2025.</t>
  </si>
  <si>
    <t>Plan wg. uchwały budżetowej na 2022r.</t>
  </si>
  <si>
    <t>Plan po zmianach na 31.08.2022r.</t>
  </si>
  <si>
    <t>Plan po zmianach na
 31.08.2022r.</t>
  </si>
  <si>
    <t>Plan na 2023r.</t>
  </si>
  <si>
    <t xml:space="preserve">Plan na 2023r. </t>
  </si>
  <si>
    <t>Plan po zmianach na
 31.08.2022 r.</t>
  </si>
  <si>
    <t xml:space="preserve">WYDATKI OGÓŁEM </t>
  </si>
  <si>
    <t>Plan według założeń na 
2013 r.</t>
  </si>
  <si>
    <t>757</t>
  </si>
  <si>
    <t>OBSŁUGA DŁUGU PUBLICZNEGO</t>
  </si>
  <si>
    <t>75702</t>
  </si>
  <si>
    <t>75704</t>
  </si>
  <si>
    <t>Rozliczenia z tytułu poręczeń i gwarancji udzielonych przez Skarb Państwa lub jednostkę samorządu terytorialnego</t>
  </si>
  <si>
    <t>Plan według uchwały budżetowej na 2022 r.</t>
  </si>
  <si>
    <t>Wydatki bieżące: zabezpieczenie udzielonych poręczeń zaciągniętych kredytów i pożyczki przez szpitale - § 8030 - 16.085.733,-zł:
1) Wojewódzki Szpital im. Zofii Zamoyskich Tarnowskiej  w Tarnobrzegu - 727.795,-zł,
2) Kliniczny Szpital Wojewódzki Nr 1 im. Fryderyka Chopina w Rzeszowie - 3.272.728,-zł,
3) Kliniczny Szpital Nr 2 im. Św. Jadwigi Królowej w Rzeszowie - 6.227.273,-zł,
4) Wojewódzki Szpital Podkarpacki im. Jana Pawła II w  Krośnie - 1.680.000,-zł,
5) Wojewódzka Stacja Pogotowia Ratunkowego w Przemyślu - 3.522.728,-zł,
6) Wojewódzka Stacja Pogotowia Ratunkowego w Przemyślu - 655.209,-zł.</t>
  </si>
  <si>
    <r>
      <t xml:space="preserve">WYKAZ ZADAŃ BUDŻETOWYCH NA ROK 2023
</t>
    </r>
    <r>
      <rPr>
        <b/>
        <sz val="14"/>
        <color rgb="FF000000"/>
        <rFont val="Arial"/>
        <family val="2"/>
        <charset val="238"/>
      </rPr>
      <t>DEPARTAMENT WSPIERANIA PRZEDSIĘBIORCZOŚCI</t>
    </r>
  </si>
  <si>
    <r>
      <t xml:space="preserve">WYKAZ ZADAŃ BUDŻETOWYCH NA ROK 2023
</t>
    </r>
    <r>
      <rPr>
        <b/>
        <sz val="14"/>
        <rFont val="Arial"/>
        <family val="2"/>
        <charset val="238"/>
      </rPr>
      <t>BIURO NADZORU WŁAŚCICIELSKIEGO I ANALIZ EKONOMICZNYCH</t>
    </r>
  </si>
  <si>
    <r>
      <t xml:space="preserve">WYKAZ ZADAŃ BUDŻETOWYCH NA ROK 2023
</t>
    </r>
    <r>
      <rPr>
        <b/>
        <sz val="14"/>
        <rFont val="Arial"/>
        <family val="2"/>
        <charset val="238"/>
      </rPr>
      <t xml:space="preserve">OBSŁUGA DŁUGU </t>
    </r>
  </si>
  <si>
    <t>Plan na 2023 r.</t>
  </si>
  <si>
    <r>
      <t xml:space="preserve">WYKAZ ZADAŃ BUDŻETOWYCH NA ROK 2023
</t>
    </r>
    <r>
      <rPr>
        <b/>
        <sz val="14"/>
        <color rgb="FF000000"/>
        <rFont val="Arial"/>
        <family val="2"/>
        <charset val="238"/>
      </rPr>
      <t>DEPARTAMENT SPOŁECZEŃSTWA INFORMACYJNEGO</t>
    </r>
  </si>
  <si>
    <r>
      <t xml:space="preserve">WYKAZ ZADAŃ BUDŻETOWYCH NA ROK 2023
</t>
    </r>
    <r>
      <rPr>
        <b/>
        <sz val="14"/>
        <color rgb="FF000000"/>
        <rFont val="Arial"/>
        <family val="2"/>
        <charset val="238"/>
      </rPr>
      <t>DEPARTAMENT PROGRAMÓW ROZWOJU OBSZARÓW WIEJSKICH</t>
    </r>
  </si>
  <si>
    <r>
      <t xml:space="preserve">WYKAZ ZADAŃ BUDŻETOWYCH NA ROK 2023
</t>
    </r>
    <r>
      <rPr>
        <b/>
        <sz val="14"/>
        <color rgb="FF000000"/>
        <rFont val="Arial"/>
        <family val="2"/>
        <charset val="238"/>
      </rPr>
      <t>DEPARTAMENT OCHRONY ŚRODOWISKA</t>
    </r>
  </si>
  <si>
    <r>
      <t xml:space="preserve">WYKAZ ZADAŃ BUDŻETOWYCH NA ROK 2023
</t>
    </r>
    <r>
      <rPr>
        <b/>
        <sz val="14"/>
        <color rgb="FF000000"/>
        <rFont val="Arial"/>
        <family val="2"/>
        <charset val="238"/>
      </rPr>
      <t>DEPARTAMENT ROLNICTWA, GEODEZJI I GOSPODARKI MIENIEM</t>
    </r>
  </si>
  <si>
    <t xml:space="preserve">Wydatki bieżące: koszty opinii, ekspertyz i analiz związanych z pomocą publiczną lub koncentracją kapitału oraz sprawowaniem nadzoru właścicielskiego przez Samorząd Województwa - § 4390 - 17.768,-zł. </t>
  </si>
  <si>
    <r>
      <t xml:space="preserve">Wydatki bieżące: realizacja Podkarpackiego Programu Odnowy Wsi na lata 2021-2025 - § 4300 - 1.225.104,-zł.
</t>
    </r>
    <r>
      <rPr>
        <b/>
        <sz val="11"/>
        <rFont val="Arial"/>
        <family val="2"/>
        <charset val="238"/>
      </rPr>
      <t xml:space="preserve">
</t>
    </r>
  </si>
  <si>
    <r>
      <t xml:space="preserve">1. Wydatki bieżące:
</t>
    </r>
    <r>
      <rPr>
        <sz val="12"/>
        <rFont val="Arial"/>
        <family val="2"/>
        <charset val="238"/>
      </rPr>
      <t>1) działania promocyjne na rzecz popularyzacji społeczeństwa informacyjnego w województwie podkarpackim - §</t>
    </r>
    <r>
      <rPr>
        <sz val="12"/>
        <rFont val="Arial CE"/>
        <charset val="238"/>
      </rPr>
      <t xml:space="preserve"> 4300 - 10.000,-zł,
2) wykonanie ekspertyz, analiz i opinii w zakresie projektów realizowanych i planowanych do realizacji - § 4390 - 775.171,-zł,
3) opłaty i rozliczenia związane z utrzymaniem sieci szerokopasmowej  - 4.391.000,-zł: § 4430 - 3.570.000,-zł, § 4530 - 821.000,-zł,
4) wykonanie prac związanych z zakończeniem eksploatacji sieci SSPW przez obecnego operatora infrastruktury - § 4300 - 3.000.000,-zł,
5) utrzymanie projektu pn. "Podkarpacki System Informacji Medycznej "PSIM" - 2.220.000,-zł, w tym:
a) koszty energii elektrycznej dotyczące serwerowni Regionalnego Centrum Informacji Medycznej (RCIM) - § 4260 - 100.000,-zł, 
b) zakup oprogramowania dla wsparcia systemu RCIM - § 4210 -  10.000,-zł,
c) serwis infrastruktury sprzętowej i sieciowej RCIM - § 4270 - 135.000,-zł,
d) dostosowanie e-Usług pod kątem ergonomii użytkowania - § 4300 - 35.000,-zł,
e) dostęp do sieci Internet - § 4360 - 10.000,-zł, 
f) koszy utrzymania pomieszczeń RCIM - § 4400 - 20.000,-zł,
g) serwis oprogramowania aplikacyjnego e-Usług umożliwiający m. in. poprawę wad, otrzymywanie nowych wersji, świadczenie usług helpdesk dla administratorów IT - § 4300 - 910.000,-zł, 
h) koszty usług pełnienia funkcji Administratora RCIM - § 4300 - 1.000.000,-zł.
Zadanie ujete w wykazie przedsięwzięć do WPF.</t>
    </r>
  </si>
  <si>
    <r>
      <t>Wydatki bieżące: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utrzymanie projektu pn. "Podkarpacki System e-Administracji Publicznej - 2 (PSeAP-2)" - modernizacje oprogramowania, w tym e-Usług pod kątem zmian w prawie oraz w obszarze wydajności i ergonomizacji działania, administracja i utrzymanie oraz monitorowanie infrastruktury i oprogramowania zlokalizowanego w Urzędzie Marszałkowskim Województwa Podkarpackiego pod kątem prawidłowości działania, wydajności oraz dostępności - § 4300 - 690.000,-zł.</t>
    </r>
    <r>
      <rPr>
        <b/>
        <sz val="12"/>
        <rFont val="Arial CE"/>
        <charset val="238"/>
      </rPr>
      <t xml:space="preserve">
</t>
    </r>
    <r>
      <rPr>
        <sz val="12"/>
        <rFont val="Arial CE"/>
        <charset val="238"/>
      </rPr>
      <t xml:space="preserve">Zadanie ujęte w wykazie przedsięwzięć do WPF. </t>
    </r>
  </si>
  <si>
    <r>
      <rPr>
        <sz val="12"/>
        <rFont val="Arial CE"/>
        <charset val="238"/>
      </rPr>
      <t>Wydatki bieżące:
1) dotacje celowe dla organizacji prowadzących działalność pożytku publicznego (jednostki spoza sektora finansów publicznych) na realizację zadania publicznego z zakresu edukacji ekologicznej dotyczącej jakości powietrza - § 2360 - 7.000,-zł,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2) edukacja ekologiczna w zakresie ochrony powietrza - § 4300 - 44.216,-zł,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3) system rozpowszechniania informacji w zakresie poprawy jakości powietrza - § 4300 - 100.000,-zł,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4) przeprowadzenie kampanii szkoleniowo-edukacyjnych i informacyjnych, konferencji i konkursów w zakresie ochrony klimatu, odnawialnych źródeł energii i gospodarki obiegu zamkniętego - § 4300 - 25.000,-zł,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 xml:space="preserve">5) wykonanie i dostawa materiałów promocyjnych w ramach promocji działań w zakresie ochrony klimatu, odnawialnych źródeł energii i gospodarki obiegu zamkniętego na terenie województwa podkarpackiego podczas kampanii szkoleniowo – edukacyjnych i informacyjnych - § 4210 - 15.000,-zł,
6) wykonanie ekspertyz dotyczących ochrony powietrza - § 4390 - 9.000,-zł, 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7) wykonanie ekspertyz z zakresu ochrony klimatu i gospodarki obiegu zamkniętego - § 4390 - 10.000,-zł.</t>
    </r>
  </si>
  <si>
    <t>Wydatki bieżące:
1) dotacje celowe dla organizacji prowadzących działalność pożytku publicznego (jednostki spoza sektora finansów publicznych) na realizację zadania publicznego z zakresu ochrony dziedzictwa przyrodniczego poprzez działania edukacyjne dotyczące ochrony walorów krajobrazowych województwa podkarpackiego w szczególności na obszarach chronionego krajobrazu - § 2360 - 7.000,-zł,
2) realizacja zadań edukacyjno-promocyjnych w zakresie ochrony przyrody i ochrony krajobrazu na terenie województwa podkarpackiego w szczególności na obszarach chronionego krajobrazu - § 4300 - 27.000,-zł.</t>
  </si>
  <si>
    <r>
      <rPr>
        <sz val="12"/>
        <rFont val="Arial CE"/>
        <charset val="238"/>
      </rPr>
      <t>Wydatki bieżące: organizacja i udział w imprezach promujących Województwo oraz prezentacja dorobku kulturowego i kulinarnego ludności zamieszkującej obszary wiejskie województwa podkarpackiego - 268.701,-zł: § 4190 - 61.000,-zł, § 4210 - 29.701,-zł, § 4300 - 178.000,-zł.</t>
    </r>
    <r>
      <rPr>
        <sz val="12"/>
        <color rgb="FFFF0000"/>
        <rFont val="Arial CE"/>
        <charset val="238"/>
      </rPr>
      <t xml:space="preserve">
</t>
    </r>
  </si>
  <si>
    <t>Decyzje Zarządu</t>
  </si>
  <si>
    <t>Plan na 2023r. złożony przez Departamenty w ramach ustalonych przez Skarbnika limitów</t>
  </si>
  <si>
    <t>Plan na 2023 r. złożony przez Departamenty w ramach ustalonych przez Skarbnika limitów</t>
  </si>
  <si>
    <t>Wydatki bieżące: koszty wdrażania działań I Osi priorytetowej RPO WP  oraz Programu Regionalnego Fundusze Europejskie dla Podkarpacia 2021-2027 nieobjęte Pomocą Techniczną Regionalnego Programu Operacyjnego Województwa Podkarpackiego na lata 2014-2020 i Programem Regionalnym Fundusze Europejskie dla Podkarpacia na lata 2021-2027 - 9.366,-zł: § 4300 - 1.185,-zł, § 4610 - 8.181,-zł.</t>
  </si>
  <si>
    <r>
      <t xml:space="preserve">Wydatki bieżące.
1) wykonanie ekspertyz dotyczących ochrony przed hałasem - § 4390 - 20.000,-zł,
2) opinia dotycząca uciążliwości hałasowej na odcinku autostrady A4 - § 4390 - 200.000,-zł. Zadanie ujęte w wykazie przedsięwzięć do WPF. 
</t>
    </r>
    <r>
      <rPr>
        <b/>
        <sz val="12"/>
        <rFont val="Arial CE"/>
        <charset val="238"/>
      </rPr>
      <t xml:space="preserve">
</t>
    </r>
    <r>
      <rPr>
        <sz val="12"/>
        <rFont val="Arial CE"/>
        <charset val="238"/>
      </rPr>
      <t xml:space="preserve">
</t>
    </r>
  </si>
  <si>
    <r>
      <rPr>
        <sz val="12"/>
        <rFont val="Arial CE"/>
        <charset val="238"/>
      </rPr>
      <t>Wydatki bieżące:
1) przeprowadzenie kampanii edukacyjno-informacyjnych w zakresie gospodarki odpadami, w tym akcji Sprzątanie Świata - § 4300 - 25.000,-zł,
2) wykonanie ekspertyz dotyczących gospodarki odpadami - § 4390 - 5.000,-zł,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3) wykonanie ekspertyz w zakresie opłat z korzystanie ze środowiska - 5.000,-zł: § 4170 - 2.500,-zł, § 4390 - 2.500,-zł,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 xml:space="preserve">4) wykonanie ekspertyz dendrologicznych - § 4390 - 9.000,-zł. 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5) sporządzenie Raportu z wykonania Programu ochrony środowiska Województwa Podkarpackiego za lata 2021-2022 - § 4300 - 100.000,-zł,
6) opracowanie sprawozdania z realizacji Wojewódzkiego Planu Gospodarki Odpadami  - § 4300 - 50.000,-zł.</t>
    </r>
  </si>
  <si>
    <r>
      <rPr>
        <sz val="11"/>
        <rFont val="Arial CE"/>
        <charset val="238"/>
      </rPr>
      <t>Wydatki bieżące: utrzymanie jednostek budżetowych Zespołu Parków Krajobrazowych w Przemyślu i Zespołu Karpackich Parków Krajobrazowych w Krośnie, w tym:
1) Zespół Parków Krajobrazowych w Przemyślu - 502.043,-zł, w tym:</t>
    </r>
    <r>
      <rPr>
        <sz val="11"/>
        <color rgb="FFFF0000"/>
        <rFont val="Arial CE"/>
        <charset val="238"/>
      </rPr>
      <t xml:space="preserve">
</t>
    </r>
    <r>
      <rPr>
        <sz val="11"/>
        <rFont val="Arial CE"/>
        <charset val="238"/>
      </rPr>
      <t>a) wynagrodzenia i składki od nich naliczane oraz umowy zlecenie - 650.684,-zł, 
b) pozostałe wydatki związane z realizacją statutowych zadań jednostki - 142.259,-zł,  w tym bieżące remonty i konserwacje  - § 4270 - 2.500,-zł,
c) świadczenia na rzecz osób fizycznych - § 3020 - 34.100,-zł.</t>
    </r>
    <r>
      <rPr>
        <b/>
        <sz val="11"/>
        <rFont val="Arial CE"/>
        <charset val="238"/>
      </rPr>
      <t xml:space="preserve">
</t>
    </r>
    <r>
      <rPr>
        <sz val="11"/>
        <rFont val="Arial CE"/>
        <charset val="238"/>
      </rPr>
      <t>2)  Zespół Karpackich Parków Krajobrazowych w Krośnie - 860.434,-zł, w tym:</t>
    </r>
    <r>
      <rPr>
        <b/>
        <sz val="11"/>
        <color rgb="FFFF0000"/>
        <rFont val="Arial CE"/>
        <charset val="238"/>
      </rPr>
      <t xml:space="preserve">
</t>
    </r>
    <r>
      <rPr>
        <sz val="11"/>
        <rFont val="Arial CE"/>
        <charset val="238"/>
      </rPr>
      <t>a) wynagrodzenia i składki od nich naliczane oraz umowy zlecenie i o dzieło - 669.696,- zł, 
b) pozostałe wydatki związane z realizacją statutowych zadań jednostki - 173.269,-zł, w tym bieżące remonty i konserwacje - § 4270 - 1.000,-zł,
c) świadczenia na rzecz osób fizycznych - § 3020 - 17.469,-zł.</t>
    </r>
    <r>
      <rPr>
        <sz val="11"/>
        <color rgb="FFFF0000"/>
        <rFont val="Arial CE"/>
        <charset val="238"/>
      </rPr>
      <t xml:space="preserve">
</t>
    </r>
    <r>
      <rPr>
        <sz val="11"/>
        <rFont val="Arial CE"/>
        <charset val="238"/>
      </rPr>
      <t>Wydatki finansowane z dotacji celowej z budżetu państwa - 650.000,-zł i środków własnych budżetu Województwa - 1.037.477,-zł.</t>
    </r>
  </si>
  <si>
    <t>6) utrzymanie projektu pn. "Podkarpacki System Informacji Przestrzennej "PSIP" - 700.000,-zł, w tym:
a) szkolenia administratorów IT i administratorów zasobów - § 4700 - 120.000,-zł, 
b) dostosowanie oprogramowania, w tym e-Usług pod kątem zmian w prawie oraz w obszarze wydajności i ergonomizacji działania - § 4300 - 470.000,-zł,
c) monitorowanie zasobów pod kątem bezpieczeństwa działania PSIP - § 4300 - 100.000,-zł,
d) zakup infrastruktury sprzętowej, sieciowej i oprogramowania systemu PSIP - § 4210 - 10.000,-zł.
Zadanie ujęte w wykazie przedsięwzięć do WPF. 
4) utrzymanie projektu pn. "Sieć Szerokopasmowa Polski Wschodniej - Województwo Podkarpackie" - 150.000,-zł, w tym:
a) koszty przełożenia sieci szerokopasmowej w związku z rozbudową lub modernizacją dróg oraz doradztwa prawnego - § 4300 - 145.000,-zł,
b) zakup sprzętu biurowego i wyposażenia - § 4210 - 5.000,-zł.
 Zadanie ujęte w wykazie przedsięwzięć do WPF, realizowane zarówno w ramach wydatków bieżących jaki i majątkowych.
2. Wydatki majątkowe:
1) realizacja przez Urząd Marszałkowski Województwa Podkarpackiego projektu pn. "Podkarpacki System Informacji Medycznej (PSIM)" w ramach Regionalnego Programu Operacyjnego Województwa Podkarpackiego na lata 2014-2020 - 11.566.430,-zł: środki UE - § 6057 - 9.647.625,-zł, środki własne budżetu Województwa - 1.918.805,-zł: § 6050 - 216.283,-zł, § 6059 - 1.702.522,-zł.
Zadanie ujęte w wykazie przedsięwzięć do WPF.
2) utrzymanie projektu pn. "Sieć Szerokopasmowa Polski Wschodniej - Województwo Podkarpackie" - zakupy odtworzeniowe infrastruktury sprzętowej służącej utrzymaniu rezultatów projektu - § 6060 - 100.000,-zł.
Zadanie ujęte w wykazie przedsięwzięć do WPF, realizowane zarówno w ramach wydatków bieżących jaki i majątkowych.
3) połączenie bezpiecznym linkiem optycznym serwerowni podstawowej i rezerwowej RCIM oraz węzła szkieletowego WS_Rzeszów sieci SSPW - § 6050 - 560.000,-zł.</t>
  </si>
  <si>
    <r>
      <rPr>
        <sz val="12"/>
        <rFont val="Arial CE"/>
        <charset val="238"/>
      </rPr>
      <t>Wydatki bieżące związane z utrzymanie mienia będącego w zasobie województwa, w tym:
1) ogłoszenia dotyczące sprzedaży nieruchomości, akty notarialne, opłaty za wypisy i wyrysy, wyceny i podziały nieruchomości w celu sprzedaży, darowizny - § 4300 - 150.000,- 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2) podatek od nieruchomości - § 4480 - 100.000,-zł,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 xml:space="preserve">3) zakup materiałów i usług związanych z utrzymaniem zasobu województwa  - 20.000,-zł: § 4210 - 10.000,-zł, § 4300 - 10.000,-zł, 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4) opłaty za wieczyste użytkowanie, media i przeglądy techniczne obiektów  - 39.350,-zł: § 4260 - 25.000,-zł, 4300 - 10.000,-zł, § 4520 - 4.350,-zł,
5) koszty postępowań sądowych i komorniczych w sprawach dotyczących mienia Województwa Podkarpackiego, w tym  w sprawach przeciwko dłużnikom z tytułu najmu/dzierżawy mienia Województwa Podkarpackiego - § 4610 - 40.000,-zł,
6) prace zabezpieczające przy budynkach będących w zasobie Województwa Podkarpackiego - § 4270 - 20.000,-zł.</t>
    </r>
    <r>
      <rPr>
        <b/>
        <sz val="12"/>
        <color rgb="FFFF0000"/>
        <rFont val="Arial CE"/>
        <charset val="238"/>
      </rPr>
      <t xml:space="preserve">
</t>
    </r>
    <r>
      <rPr>
        <sz val="12"/>
        <color rgb="FFFF0000"/>
        <rFont val="Arial CE"/>
        <charset val="238"/>
      </rPr>
      <t xml:space="preserve">
</t>
    </r>
  </si>
  <si>
    <r>
      <rPr>
        <sz val="12"/>
        <rFont val="Arial CE"/>
        <charset val="238"/>
      </rPr>
      <t>1. Wydatki bieżące: utrzymanie jednostki Wojewódzkiego Ośrodka Dokumentacji Geodezyjnej i Kartograficznej w Rzeszowie, z tego:
2) wynagrodzenia i składki od nich naliczane oraz umowy zlecenia i o dzieło - 686.388,-zł,
b) pozostałe wydatki związane z realizacją statutowych zadań jednostki - 246.206,-zł, w tym bieżące remonty i konserwacje - 6.540,-zł,
c) świadczenia na rzecz osób fizycznych - 1.000,- zł.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2. Wydatki majątkowe: zakup sprzętu, oprogramowania, infrastruktury technicznej, aplikacji do przetwarzania i udostępniania danych przestrzennych zgromadzonych w wojewódzkim zasobie geodezyjnym i kartograficznym oraz urządzeń wielofunkcyjnych dla Wojewódzkiego Ośrodka Dokumentacji Geodezyjnej i Kartograficznej w Rzeszowie - § 6060 - 36.300,-zł.
Zadanie z zakresu administracji rządowej, finansowane ze środków własnych budżetu Województwa.</t>
    </r>
  </si>
  <si>
    <t>Opis zadań do projektu budżetu na 2023r.</t>
  </si>
  <si>
    <r>
      <rPr>
        <sz val="12"/>
        <rFont val="Arial CE"/>
        <charset val="238"/>
      </rPr>
      <t>Utrzymanie jednostki budżetowej Podkarpackie Biuro Geodezji i Terenów Rolnych w Rzeszowie, w tym:
1. Wydatki bieżące:
1) wynagrodzenia i składki od nich naliczane oraz umowy zlecenia i o dzieło - 15.114.652,-zł 
2) pozostałe wydatki związane z realizacją statutowych zadań jednostki - 4.790.134,- zł, w tym bieżące remonty i konserwacje - § 4270 - 251.513,-zł,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3) świadczenia na rzecz osób fizycznych - § 3020 - 143.715,-zł.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2. Wydatki majątkowe:</t>
    </r>
    <r>
      <rPr>
        <b/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1) zakup samochodów do celów służbowych - § 6060 - 600.000,-zł
2) zakup i montaż klimatyzacji w pomieszczeniach dwóch budynków w Jarosławiu ul. Traugutta 9 - § 6060 - 24.000,-zł,
3) zakup urządzeń wielofunkcyjnych - § 6060 - 100.000,-zł,
4) zakup sprzętu geodezyjnego wraz z oprogramowaniem - § 6060 - 180.000,-zł.</t>
    </r>
    <r>
      <rPr>
        <sz val="12"/>
        <color rgb="FFFF0000"/>
        <rFont val="Arial CE"/>
        <charset val="238"/>
      </rPr>
      <t xml:space="preserve">
</t>
    </r>
  </si>
  <si>
    <t xml:space="preserve">Zmiany 
(decyzje Zarządu, dostosowanie do zawiadomienia Wojewody Podkarpackiego, dostosowanie do decyzji Sejmiku) </t>
  </si>
  <si>
    <t>1. Wydatki bieżące:
1) przeciwdziałanie erozji gleb, ruchom masowym ziemi na gruntach rolniczych, wdrażanie i upowszechnianie wyników prac naukowo-badawczych związanych z ochroną gruntów rolnych, opłata za korzystanie z programu komputerowego - § 4300 - 30.000,-zł,
2) zakup sprzętu pomiarowego i informatycznego oraz oprogramowania na potrzeby  prowadzących sprawy ochrony gruntów rolnych - § 4210 - 110.000,-zł,
3) dotacje celowe dla gmin z przeznaczeniem na modernizację dróg dojazdowych do gruntów rolnych, renowację zbiorników wodnych służących małej retencji oraz użyźnianie gleb o niskiej wartości produkcyjnej, ulepszanie rzeźby terenu i struktury przestrzennej gleb, usuwanie kamieni i odkrzaczanie - § 2310 - 4.065.000,-zł,
4) dotacje celowe dla powiatów z przeznaczeniem na zakup sprzętu pomiarowego i informatycznego oraz oprogramowania niezbędnego do prowadzenia spraw ochrony gruntów rolnych, modernizację dróg dojazdowych do gruntów rolnych oraz renowację zbiorników wodnych służących małej retencji - § 2320 - 50.000,-zł.
2. Wydatki majątkowe:
1) zakup sprzętu pomiarowego i informatycznego oraz oprogramowania na potrzeby prowadzących obsługę dochodów budżetu województwa związanych z wyłączeniem z produkcji gruntów rolnych - § 6060 - 20.000,-zł,
2) zakup zestawu do pozyskiwania trójwymiarowych danych przestrzennych za pomocą technik fotogrametrii niskiego pułapu składającego się z bezzałogowego statku powietrznego typu wirnikowiec wraz z sensorem LiDAR, sensorem RBG do zdjęć poziomych i ukośnych wraz z oprogramowaniem dla Podkarpackiego Biura Geodezji i Terenów Rolnych w Rzeszowie - § 6060 - 400.000,-zł,
3) dotacje celowe dla gmin z przeznaczeniem na budowę i modernizację dróg dojazdowych do gruntów rolnych oraz budowę i renowację zbiorników wodnych służących małej retencji - § 6610 - 7.305.000,-zł,
4) dotacje celowe dla powiatów z przeznaczeniem na zakup sprzętu pomiarowego i informatycznego oraz oprogramowania niezbędnego do prowadzenia spraw ochrony gruntów rolnych, budowę i modernizację dróg dojazdowych do gruntów rolnych oraz budowę i renowację zbiorników wodnych służących małej retencji - § 6620 - 20.000,-zł.
Wydatki finansowane ze środków pochodzących z opłat za wyłączenie z produkcji gruntów rolnych.</t>
  </si>
  <si>
    <r>
      <t xml:space="preserve">Wydatki bieżące związane z wdrażaniem Programu Operacyjnego Rybactwo i Morze 2014-2020, z tego:
1) wynagrodzenia i składki od nich naliczane pracowników zajmujących się wdrażaniem Programu - 300.000,-zł (§ 4018 - § 4719),
b) pozostałe wydatki bieżące związane z wdrażaniem Programu - 100.000,-zł  (§ 4218 - § 4709).
Wydatki finansowane z dotacji celowej z budżetu państwa na finansowanie i współfinansowanie wydatków objętych Pomocą Techniczną Programu Operacyjnego Rybactwo i Morze na lata 2014-2020. 
</t>
    </r>
    <r>
      <rPr>
        <b/>
        <sz val="11"/>
        <rFont val="Arial"/>
        <family val="2"/>
        <charset val="238"/>
      </rPr>
      <t xml:space="preserve">
</t>
    </r>
  </si>
  <si>
    <r>
      <rPr>
        <sz val="11"/>
        <rFont val="Arial"/>
        <family val="2"/>
        <charset val="238"/>
      </rPr>
      <t xml:space="preserve">Wydatki bieżące związane z obsługą Programu Rozwoju Obszarów Wiejskich na lata 2014-2020, z tego:
1) wynagrodzenia i składki od nich naliczane pracowników zajmujących się obsługą Programu oraz umowy zlecenia i o dzieło - 6.510.000,-zł (§ 4018 - § 4719), w tym realizacja Planu Operacyjnego - 10.000,-zł, 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2) pozostałe wydatki bieżące związane z obsługą Programu - 2.300.000,- zł (§ 4198 - § 4709), z tego koszty związane z realizacją Planu Operacyjnego w zakresie promocji i komunikacji  - 1.590.000,-zł.
Wydatki finansowane z dotacji celowej z budżetu państwa na finansowanie i współfinansowanie wydatków objętych Pomocą Techniczną Programu Rozwoju Obszarów Wiejskich na lata 2014-2020</t>
    </r>
    <r>
      <rPr>
        <b/>
        <sz val="11"/>
        <rFont val="Arial"/>
        <family val="2"/>
        <charset val="238"/>
      </rPr>
      <t>.</t>
    </r>
    <r>
      <rPr>
        <b/>
        <sz val="11"/>
        <rFont val="Arial CE"/>
        <charset val="238"/>
      </rPr>
      <t xml:space="preserve">
</t>
    </r>
    <r>
      <rPr>
        <sz val="11"/>
        <rFont val="Arial CE"/>
        <charset val="238"/>
      </rPr>
      <t xml:space="preserve">
</t>
    </r>
  </si>
  <si>
    <r>
      <rPr>
        <sz val="12"/>
        <rFont val="Arial CE"/>
        <charset val="238"/>
      </rPr>
      <t>Wydatki bieżące:
1) dofinansowanie do doświadczeń ze zbożami jarymi i ozimymi, roślinami oleistymi, włóknistymi i winoroślami w ramach Porejestrowego Doświadczalnictwa Odmianowego - § 4300 - 130.000,-zł,
2) działania sprzyjające wsparciu procesu organizowania się producentów rolnych w nowoczesne formy współdziałania (w tym m.in. szkolenia, seminaria, konferencje, spotkania, wyjazdy studyjne dla rolników oraz przedstawicieli środowisk okołorolniczych - służące wymianie doświadczeń oraz prezentacji dobrych przykładów funkcjonowania podmiotów z branży rolniczej) - § 4300 - 8.000,-zł,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3) kampania informacyjno-edukacyjna pn. "Rola pszczół miodnych w zachowaniu bioróżnorodności w rolnictwie" - 62.000,-zł: § 4190 - 22.000,-zł, § 4210 - 32.000,-zł, § 4300 - 8.000,-zł,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 xml:space="preserve">4) organizacja, współudział i uczestnictwo w konkursach, szkoleniach i konferencjach o tematyce rolniczej i rybackiej - 20.185,-zł: § 4190 - 12.000,-zł, § 4300 - 8.185,-zł), 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5) koszty szacowania szkód w uprawach i płodach rolnych wyrządzonych przez zwierzęta łowne na terenach położonych poza obwodami łowieckimi oraz szkód wyrządzonych na terenach obwodów łowieckich polnych i poza obwodami łowieckimi przez zwierzęta łowne objęte całoroczną ochroną - § 4390 - 208.000,-zł.</t>
    </r>
    <r>
      <rPr>
        <sz val="12"/>
        <color rgb="FFFF0000"/>
        <rFont val="Arial CE"/>
        <charset val="238"/>
      </rPr>
      <t xml:space="preserve"> </t>
    </r>
    <r>
      <rPr>
        <sz val="12"/>
        <rFont val="Arial CE"/>
        <charset val="238"/>
      </rPr>
      <t>Zadanie zlecone z zakresu administracji rządowej, finansowane ze środków własnych budżetu Województwa, 
6) wypłata odszkodowań za szkody wyrządzone przez zwierzęta łowne w uprawach i płodach rolnych na obszarach niewchodzących w skład obwodów łowieckich - § 4590 - 3.267.000,-zł. Zadanie zlecone z zakresu administracji rządowej, finansowane z dotacji celowej z budżetu państwa,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7) koszty egzekucyjne i opłaty bankowe związane z prowadzonymi postępowaniami egzekucyjnymi dotyczącymi opłat za wyłączenie z produkcji gruntów rolnych - § 4610 - 5.000,-zł.
8) realizacja Programu aktywizacji gospodarczo-turystycznej województwa podkarpackiego poprzez promocję cennych przyrodniczo i krajobrazowo terenów łąkowo-pastwiskowych z zachowaniem bioróżnorodności w oparciu o naturalny wypas zwierząt gospodarskich i owadopylności - "Podkarpacki Naturalny Wypas III" - 3.471.500,-zł, w tym: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a) dotacje celowe dla organizacji prowadzących działalność pożytku publicznego - § 2360 - 3.371.500,-zł,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b) pozostałe wydatki związane z realizacją Programu tj. kampanie informacyjno-promocyjne oraz szkoleniowo-informacyjne (w tym promocja produktów pochodzenia zwierzęcego z uwzględnieniem ich walorów smakowych i zdrowotnych oraz sposobu ich wytwarzania ukierunkowane na edukację konsumenta), wykonanie materiałów promocyjnych oraz szkoleniowo-informacyjnych dotyczących Programu, monitoring przyrodniczy Programu - 100.000,-zł: § 4210 - 45.000,-zł, § 4300 - 55.000,-zł.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 xml:space="preserve">Zadanie ujęte w wykazie przedsięwzięć do WPF. </t>
    </r>
  </si>
  <si>
    <r>
      <t>Wydatki bieżące:
Zadania zlecone z zakresu administracji rządowej, w tym:
1) utrzymanie jednostki budżetowej Wojewódzkiego Ośrodka Dokumentacji Geodezyjnej i Kartograficznej w Rzeszowie: wynagrodzenia i składki od nich naliczane - 287.000,-zł: § 4010 - 238.410,-zł, § 4110 - 42.740,-zł, § 4120 - 5.850,-zł. 
Wydatki finansowane z dotacji celowej z budżetu państwa,</t>
    </r>
    <r>
      <rPr>
        <b/>
        <sz val="12"/>
        <rFont val="Arial CE"/>
        <charset val="238"/>
      </rPr>
      <t xml:space="preserve">
</t>
    </r>
    <r>
      <rPr>
        <sz val="12"/>
        <rFont val="Arial CE"/>
        <charset val="238"/>
      </rPr>
      <t xml:space="preserve">2) aktualizacja Bazy Danych Obiektów Topograficznych (BDOT10k) z terenu województwa podkarpackiego - § 4300 - 94.500,-zł. 
Wydatki finansowane z dotacji celowej z budżetu państwa - 60.000,-zł i środków własnych budżetu Województwa - 34.500,-zł.
3) gromadzenie, aktualizacja, uzupełnianie, udostępnianie i zabezpieczenie zasobu geodezyjnego i kartograficznego oraz wyłączanie materiałów z zasobu - 17.250,-zł: § 4210 - 5.750,-zł, § 4300 - 1.500,-zł, § 4700 - 10.000,-zł. 
</t>
    </r>
  </si>
  <si>
    <t>kwota w zł</t>
  </si>
  <si>
    <t>Plan wg uchwały budźetowej na 2022 r.</t>
  </si>
  <si>
    <t>Plan wg założeń na 2013r.</t>
  </si>
  <si>
    <t>(6 : 4) 
%</t>
  </si>
  <si>
    <t xml:space="preserve">Propozycja
 zmian </t>
  </si>
  <si>
    <t>Opis zadań do projetu budżetu na 2023r.</t>
  </si>
  <si>
    <t>8.</t>
  </si>
  <si>
    <t>758</t>
  </si>
  <si>
    <t>RÓŻNE ROZLICZENIA</t>
  </si>
  <si>
    <t>75818</t>
  </si>
  <si>
    <t>Rezerwy ogólne i celowe</t>
  </si>
  <si>
    <t>4810</t>
  </si>
  <si>
    <t>6800</t>
  </si>
  <si>
    <t>REZERWY OGÓŁEM</t>
  </si>
  <si>
    <r>
      <t>Załącznik Nr 1 do pisma BF-I.3021.2.</t>
    </r>
    <r>
      <rPr>
        <sz val="10"/>
        <color rgb="FFFF0000"/>
        <rFont val="Arial CE"/>
        <charset val="238"/>
      </rPr>
      <t>77</t>
    </r>
    <r>
      <rPr>
        <sz val="10"/>
        <rFont val="Arial CE"/>
        <charset val="238"/>
      </rPr>
      <t>.2022.MJ</t>
    </r>
  </si>
  <si>
    <r>
      <t xml:space="preserve">WYKAZ ZADAŃ BUDŻETOWYCH NA ROK 2023
</t>
    </r>
    <r>
      <rPr>
        <b/>
        <sz val="14"/>
        <color theme="1"/>
        <rFont val="Arial"/>
        <family val="2"/>
        <charset val="238"/>
      </rPr>
      <t>DEPARTAMENT EDUKACJI, NAUKI I SPORTU</t>
    </r>
  </si>
  <si>
    <t>Plan według uchwały budżetowej na 2022r.</t>
  </si>
  <si>
    <t>(7 : 4)
%</t>
  </si>
  <si>
    <t>GOSPODARKA KOMUNALNA</t>
  </si>
  <si>
    <t xml:space="preserve">Nie zgłoszono potrzeb na 2021r.
Zaplanowane wydatki majątkowe w 2020 r. dotyczyły pomocy finansowej dla Gminy  Radymno na realizację zadania pn. „Modernizacja budynku byłej szkoły w Chotyńcu"
</t>
  </si>
  <si>
    <t>6300</t>
  </si>
  <si>
    <t>730</t>
  </si>
  <si>
    <t>SZKOLNICTWO WYŻSZE I NAUKA</t>
  </si>
  <si>
    <t>73016</t>
  </si>
  <si>
    <t>POMOC MATERIALNA DLA STUDENTÓW I DOKTORANTÓW</t>
  </si>
  <si>
    <t xml:space="preserve">Wydatki bieżące: stypendia dla studentów w ramach programu stypendialnego "Stypendia Marszałka Wojewodztwa Podkarpackiego" oraz koszty organizacji spotkania związanego z wręczaniem dyplomów stypendystom - 352.000,-zł: § 3250 - 345.000,-zł, § 4300 - 7.000,-zł.
</t>
  </si>
  <si>
    <t>4300</t>
  </si>
  <si>
    <t>4610</t>
  </si>
  <si>
    <t>3250</t>
  </si>
  <si>
    <t>73095</t>
  </si>
  <si>
    <t xml:space="preserve">Wydatki bieżące: dotacje celowe dla jednostek spoza sektora finansów publicznych z przeznaczeniem na organizację wydarzeń popularyzujących naukę - § 2360 - 55.000,-zł.
</t>
  </si>
  <si>
    <t>2360</t>
  </si>
  <si>
    <t>6220</t>
  </si>
  <si>
    <t>6230</t>
  </si>
  <si>
    <t>75421</t>
  </si>
  <si>
    <t>ZARZĄDZANIE KRYZYSOWE</t>
  </si>
  <si>
    <t>4210</t>
  </si>
  <si>
    <t>80102</t>
  </si>
  <si>
    <t>Szkoły podstawowe specjalne</t>
  </si>
  <si>
    <t xml:space="preserve">Utrzymanie 2 jednostek tj. Zespołu Szkół przy Klinicznym Szpitalu Wojewódzkim Nr 2 w Rzeszowie oraz Zespołu Szkół Specjalnych w Rymanowie Zdroju:
Wydatki bieżące w kwocie 7.749.234,-zł:
1) wynagrodzenia i składki od nich naliczane oraz umowy zlecenia i o dzieło - 7.154.995,-zł, 
2) pozostałe wydatki związane z realizacją statutowych zadań jednostek - 527.221,-zł, w tym wydatki na przeglądy, konserwacje i naprawy bieżące sprzętu - § 4270 - 4.135,-zł, z tego:
- ZS w Rzeszowie - 2.410,-zł,
- ZSS w Rymanowie Zdroju - 1.725,-zł,
3) świadczenia na rzecz osób fizycznych - § 3020 - 67.018,-zł.
</t>
  </si>
  <si>
    <t>4170</t>
  </si>
  <si>
    <t>4710</t>
  </si>
  <si>
    <t>4790</t>
  </si>
  <si>
    <t>4800</t>
  </si>
  <si>
    <t>4140</t>
  </si>
  <si>
    <t>4240</t>
  </si>
  <si>
    <t>4260</t>
  </si>
  <si>
    <t>4270</t>
  </si>
  <si>
    <t>4280</t>
  </si>
  <si>
    <t>4360</t>
  </si>
  <si>
    <t>4400</t>
  </si>
  <si>
    <t>4410</t>
  </si>
  <si>
    <t>4430</t>
  </si>
  <si>
    <t>4440</t>
  </si>
  <si>
    <t>4700</t>
  </si>
  <si>
    <t>80116</t>
  </si>
  <si>
    <t>Szkoły policealne</t>
  </si>
  <si>
    <t xml:space="preserve">Nie zgłoszono potrzeb na 2021r.
W 2020 r. wydatki zaplanowane na realizację projektu pn."Narodowy Program Rozwoju Czytelnictwa". </t>
  </si>
  <si>
    <t>80121</t>
  </si>
  <si>
    <t>Licea ogólnokształcące specjalne</t>
  </si>
  <si>
    <r>
      <rPr>
        <sz val="11"/>
        <rFont val="Arial CE"/>
        <charset val="238"/>
      </rPr>
      <t>Utrzymanie 2 jednostek tj. Zespołu Szkół przy Klinicznym Szpitalu Wojewódzkim Nr 2 w Rzeszowie oraz Zespołu Szkół Specjalnych w Rymanowie Zdroju.
Wydatki bieżące w kwocie 1.538.787,-zł:
1) wynagrodzenia i składki od nich naliczane - 1.477.043,-zł,</t>
    </r>
    <r>
      <rPr>
        <sz val="11"/>
        <color rgb="FFFF0000"/>
        <rFont val="Arial CE"/>
        <charset val="238"/>
      </rPr>
      <t xml:space="preserve">
</t>
    </r>
    <r>
      <rPr>
        <sz val="11"/>
        <rFont val="Arial CE"/>
        <charset val="238"/>
      </rPr>
      <t>2) pozostałe wydatki związane z realizacją statutowych zadań jednostki - 56.407,-zł,
3) świadczenia na rzecz osób fizycznych - § 3020 - 5.337,-zł.</t>
    </r>
  </si>
  <si>
    <t>3020</t>
  </si>
  <si>
    <t>80130</t>
  </si>
  <si>
    <t>Szkoły zawodowe</t>
  </si>
  <si>
    <r>
      <t>Utrzymanie 5 Medyczno - Społecznych Centrów Kształcenia Zawodowego i Ustawicznego.
I. Wydatki bieżące</t>
    </r>
    <r>
      <rPr>
        <b/>
        <sz val="11"/>
        <rFont val="Arial CE"/>
        <charset val="238"/>
      </rPr>
      <t xml:space="preserve"> </t>
    </r>
    <r>
      <rPr>
        <sz val="11"/>
        <rFont val="Arial CE"/>
        <charset val="238"/>
      </rPr>
      <t>w kwocie 17.715.565,-zł: 
a) wynagrodzenia i składki od nich naliczane oraz umowy zlecenia i o dzieło - 15.125.838,-zł,
b) pozostałe wydatki związane z realizacją statutowych zadań jednostek - 2.542.897,-zł, w tym wydatki na bieżące remonty i konserwacje w kwocie 239.730,-zł, § 4270 - 226.200,-zł, § 4340 - 13.530,-zł, z tego:
- MSCKZiU w Jaśle - 17.530,-zł: § 4270 - 4.000,-zł, § 4340 - 13.530,-zł na: wykonanie projektu technicznego remontu posadzki 4 pomieszczeń - § 4340 - 13.530,-zł, przeglądy, konserwacje i naprawy bieżące budynku i sprzętu - § 4270 - 4.000,-zł,
- MSCKZiU w Sanoku - § 4270 - 9.000,-zł na przeglądy, konserwacje i naprawy bieżące budynku i sprzętu,
 - MSCKZiU w Rzeszowie - § 4270 - 123.000,-zł na: wykonanie dokumentacji architektoniczno - budowlanej  modernizacji pomieszczeń Domu Słuchacza - 80.000,-zł, malowanie sali gimnastycznej - 33.000,-zł, przeglądy, konserwacje i naprawy bieżące budynku i sprzętu - 10.000,-zł,
 - MSCKZiU w Mielcu - § 4270 - 3.400,-zł na przeglądy, konserwacje i naprawy bieżące,</t>
    </r>
  </si>
  <si>
    <t>4340</t>
  </si>
  <si>
    <t>4390</t>
  </si>
  <si>
    <r>
      <t xml:space="preserve"> - MSCKZiU w Przemyślu - § 4270 - 86.800,-zł na: remont klatki schodowej wschodniego skrzydła budynku szkoły - 67.050,-zł, Przeglądy, konserwacje i naprawy bieżące budynku i sprzętu - 19.750,-zł,
c) świadczenia na rzecz osób fizycznych - § 3020 - 46.830,-zł.
II. Wydatki majątkowe w kwocie 28.300,-zł: 
a) zakup serwera szkolnej sieci komputerowej wraz z oprogramowaniem dla Medyczno- Społecznego Centrum Kształcenia Zawodowego i Ustawicznego w Rzeszowie - § 6060 - 18.000,-zł,
b) zakup zasobnika ciepłej wody użytkowej o poj. 500 l dla Medyczno- Społeczn</t>
    </r>
    <r>
      <rPr>
        <sz val="12"/>
        <rFont val="Arial CE"/>
        <charset val="238"/>
      </rPr>
      <t>ego Centrum Kształcenia Zawodowego i Ustawicznego w Rzeszowie - § 6060 - 10.300,-zł.</t>
    </r>
    <r>
      <rPr>
        <sz val="11"/>
        <rFont val="Arial CE"/>
        <charset val="238"/>
      </rPr>
      <t xml:space="preserve">
</t>
    </r>
  </si>
  <si>
    <t>4520</t>
  </si>
  <si>
    <t>4117</t>
  </si>
  <si>
    <t>4119</t>
  </si>
  <si>
    <t>4127</t>
  </si>
  <si>
    <t>4129</t>
  </si>
  <si>
    <t>4177</t>
  </si>
  <si>
    <t>4179</t>
  </si>
  <si>
    <t>4717</t>
  </si>
  <si>
    <t>4719</t>
  </si>
  <si>
    <t>4307</t>
  </si>
  <si>
    <t>4309</t>
  </si>
  <si>
    <t>6060</t>
  </si>
  <si>
    <t>80146</t>
  </si>
  <si>
    <t>Dokształcanie i doskonalenie nauczycieli</t>
  </si>
  <si>
    <t>4010</t>
  </si>
  <si>
    <t>4040</t>
  </si>
  <si>
    <t>4110</t>
  </si>
  <si>
    <t>4120</t>
  </si>
  <si>
    <t>4530</t>
  </si>
  <si>
    <t xml:space="preserve">2) Realizacja przez Podkarpacki Zespół Placówek Wojewódzkich w Rzeszowie projektów w kwocie 145.643,-zł pn.:
a) "Lekcja:Enter - Podkarpacie Uczy Cyfrowo (II)" w ramach Programu Operacyjnego Polska Cyfrowa na lata 2014-2020 - 22.224,-zł,
Źródła finansowania: 
 - środki UE - 18.808,-zł,
 - środki budżetu państwa - 3.416,-zł,
Zadanie ujęte w wykazie przedsięwzięć do WPF.
b) "Podkarpacie Uczy Cyfrowo III" w ramach Programu Operacyjnego Polska Cyfrowa na lata 2014-2020 - 123.419,-zł,
Źródła finansowania: 
 - środki UE - 104.449,-zł,
 - środki budżetu państwa - 18.970,-zł,                                      
Zadanie ujęte w wykazie przedsięwzięć do WPF. 
3) Realizacja przez Podkarpacki Zespół Placówek Wojewódzkich w Rzeszowie zadań w kwocie 24.000,-zł pn.:
a) "Program wsparcia dwujęzyczności w podkarpackich przedszkolach" - 8.000,-zł (§ 4210 - 4.000,-zł, § 4300 - 4.000,-zł),
Zadanie ujęte w wykazie przedsięwzięć do WPF.
b) "Program wsparcia dwujęzyczności w podkarpackich przedszkolach - II" - 16.000,-zł (§ 4210 - 4.000,-zł, § 4300 - 12.000,-zł),  
II. Wydatki majątkowe: zakup 3 szt. kserokopiarek A3 dla Podkarpackiego Zespołu Placówek Wojewódzkich w Rzeszowie - § 6060 - 48.000,-zł .
</t>
  </si>
  <si>
    <t>4016</t>
  </si>
  <si>
    <t>4017</t>
  </si>
  <si>
    <t>4019</t>
  </si>
  <si>
    <t>4116</t>
  </si>
  <si>
    <t>4126</t>
  </si>
  <si>
    <t>4176</t>
  </si>
  <si>
    <t>4216</t>
  </si>
  <si>
    <t>4217</t>
  </si>
  <si>
    <t>4219</t>
  </si>
  <si>
    <t>4226</t>
  </si>
  <si>
    <t>4227</t>
  </si>
  <si>
    <t>4229</t>
  </si>
  <si>
    <t>4247</t>
  </si>
  <si>
    <t>4249</t>
  </si>
  <si>
    <t>4267</t>
  </si>
  <si>
    <t>4269</t>
  </si>
  <si>
    <t>4306</t>
  </si>
  <si>
    <t>4366</t>
  </si>
  <si>
    <t>4367</t>
  </si>
  <si>
    <t>4369</t>
  </si>
  <si>
    <t>4386</t>
  </si>
  <si>
    <t>4387</t>
  </si>
  <si>
    <t>4416</t>
  </si>
  <si>
    <t>4417</t>
  </si>
  <si>
    <t>4419</t>
  </si>
  <si>
    <t>4797</t>
  </si>
  <si>
    <t>4799</t>
  </si>
  <si>
    <t>6050</t>
  </si>
  <si>
    <t>80147</t>
  </si>
  <si>
    <t>Biblioteki pedagogiczne</t>
  </si>
  <si>
    <t xml:space="preserve">Utrzymanie bibliotek pedagogicznych wchodzących w skład Podkarpackiego Zespołu Placówek Wojewódzkich w Rzeszowie. 
I. Wydatki bieżące w kwocie 11.014.478,-zł:
1) Funkcjonowanie 4 bibliotek pedagogicznych wchodzących w skład Podkarpackiego Zespołu Placówek Wojewódzkich w Rzeszowie w kwocie 11.008.478,-zł, w tym:
a) wynagrodzenia i składki od nich naliczane oraz umowy zlecenia i o dzieło - 7.346.668,-zł, 
b) pozostałe wydatki związane z realizacją statutowych zadań jednostki - 3.645.614,-zł, w tym wydatki na bieżące remonty i konserwacje - § 4270 - 623.460,-zł, z tego:
- PZPW w Rzeszowie (PBW w Rzeszowie) - 127.300,-zł na: wykonanie sali szkoleniowej poprzez połączenie dwóch pomieszczeń w budynku biblioteki przy ul. Gałęzowskiej – 50.000,-zł, wymiana drzwi wejściowych od strony wschodniej i wymiana pokrycia dachowego niższej części budynku od strony zachodniej budynku filii PBW w Łańcucie – 50.000,-zł, wymiana drzwi wewnętrznych w budynku filii PBW w Leżajsku – 27.300,-zł,
- PZPW w Rzeszowie (PBW w Przemyślu) - 191.000,-zł na: osuszenie piwnic pod kotłownią w budynku PBW w Przemyślu – 103.000,-zł, wykonanie inwentaryzacji budowlanej budynku filii PBW w Lubaczowie – 30.000,-zł, wykonanie projektu technicznego wraz z kosztorysem gruntownego remontu attyki i elewacji budynku filii PBW w Lubaczowie – 30.000,-zł, wykonanie dokumentacji projektowo - kosztorysowej wymiany instalacji elektrycznej w budynku filii PBW w Przeworsku – 28.000,-zł,
- PZPW w Rzeszowie (PBW w Krośnie) - 275.000,-zł na remont piwnic budynku PBW w Krośnie, 
- PZPW w Rzeszowie - 30.160,-zł na przeglądy, konserwacje i naprawy bieżące budynków i sprzętu.
c) świadczenia na rzecz osób fizycznych - 16.196,-zł.
2) Realizacja przez Podkarpacki Zespół Placówek Wojewódzkich w Rzeszowie zadań w kwocie 6.000,-zł pn.:
a) „Program wsparcia dwujęzyczności w podkarpackich przedszkolach” - § 4410 - 2.000,-zł,
Zadania ujęte w wykazie przedsięwzięć do WPF. 
b) "Program wsparcia dwujęzyczności w podkarpackich przedszkolach-II" - § 4410 - 4.000,-zł,     
</t>
  </si>
  <si>
    <t>4220</t>
  </si>
  <si>
    <t>II. Wydatki majątkowe: zakup 2 szt. kserokopiarek A3 na potrzeby PBW w Przemyślu oraz BP w Tarnobrzegu - § 6060 - 26.880,-zł.</t>
  </si>
  <si>
    <t>4750</t>
  </si>
  <si>
    <t>4350</t>
  </si>
  <si>
    <t>4011</t>
  </si>
  <si>
    <t>4111</t>
  </si>
  <si>
    <t>4121</t>
  </si>
  <si>
    <t>4301</t>
  </si>
  <si>
    <t>4411</t>
  </si>
  <si>
    <t>4421</t>
  </si>
  <si>
    <t>4431</t>
  </si>
  <si>
    <t>4711</t>
  </si>
  <si>
    <t>4791</t>
  </si>
  <si>
    <t>85156</t>
  </si>
  <si>
    <t xml:space="preserve">Składki na ubezpieczenie zdrowotne oraz świadczenia dla osób nie objętych obowiązkiem ubezpieczenia zdrowotnego </t>
  </si>
  <si>
    <t>852</t>
  </si>
  <si>
    <t>POMOC SPOŁECZNA</t>
  </si>
  <si>
    <t>85279</t>
  </si>
  <si>
    <t>Pomoc zagraniczna</t>
  </si>
  <si>
    <t>854</t>
  </si>
  <si>
    <t>EDUKACYJNA OPIEKA WYCHOWAWCZA</t>
  </si>
  <si>
    <t>85410</t>
  </si>
  <si>
    <t>Internaty i bursy szkolne</t>
  </si>
  <si>
    <t>Utrzymanie internatu funkcjonującego przy Medyczno-Społecznym Centrum Kształcenia Zawodowego i Ustawicznego w Rzeszowie.
Wydatki bieżące w kwocie 1.222.611,-zł:
1) wynagrodzenia i składki od nich naliczane - 1.096.176,-zł,
2) pozostałe wydatki związane z realizacją statutowych zadań jednostki - 122.992,-zł, 
3) świadczenia na rzecz osób fizycznych - § 3020 - 3.443,-zł.</t>
  </si>
  <si>
    <t>85416</t>
  </si>
  <si>
    <t>Pomoc materialna dla uczniów o charakterze motywacyjnym</t>
  </si>
  <si>
    <t>3247</t>
  </si>
  <si>
    <t>3249</t>
  </si>
  <si>
    <t>85417</t>
  </si>
  <si>
    <t>Szkolne schroniska młodzieżowe</t>
  </si>
  <si>
    <t>85420</t>
  </si>
  <si>
    <t>Młodzieżowe ośrodki wychowawcze</t>
  </si>
  <si>
    <t>2710</t>
  </si>
  <si>
    <t>6190</t>
  </si>
  <si>
    <t>Finansowanie wydatków w 2023 r.</t>
  </si>
  <si>
    <t>Wydatki ogółem - 67.768.493,- zł, w tym:</t>
  </si>
  <si>
    <t xml:space="preserve"> - wydatki bieżące - 67.415.313,-zł, z tego finansowane z dotacji - 1.074.355,-zł, ze środków własnych - 66.340.958,-zł, </t>
  </si>
  <si>
    <t xml:space="preserve"> - wydatki majątkowe - 353.180,-zł, z tego finansowane z dotacji - 0 ,-zł, ze środków własnych - 353.180,-zł.</t>
  </si>
  <si>
    <r>
      <t xml:space="preserve">WYKAZ ZADAŃ BUDŻETOWYCH NA ROK 2023 
</t>
    </r>
    <r>
      <rPr>
        <b/>
        <sz val="14"/>
        <rFont val="Arial"/>
        <family val="2"/>
        <charset val="238"/>
      </rPr>
      <t xml:space="preserve">KANCELARIA SEJMIKU </t>
    </r>
  </si>
  <si>
    <t xml:space="preserve">§ </t>
  </si>
  <si>
    <t xml:space="preserve">Plan według uchwały budżetowej na 2022 r. </t>
  </si>
  <si>
    <t>Plan na 2023 r. złożony przez Departament w ramach ustalonych przez Skarbnika limitów</t>
  </si>
  <si>
    <t>(7:4)</t>
  </si>
  <si>
    <t>Opis zadań do projektu budżetu na 2023 r.</t>
  </si>
  <si>
    <t>3</t>
  </si>
  <si>
    <t>SZKOLNICTWO WYŻSZE  I NAUKA</t>
  </si>
  <si>
    <t xml:space="preserve">Wydatki bieżące: 
organizacja Podkarpackich Juwenaliów Studenckich pod  patronatem  Sejmiku Województwa  Podkarpackiego - § 4300 - 177.675,-zł.
</t>
  </si>
  <si>
    <t xml:space="preserve">Pozostała działalność </t>
  </si>
  <si>
    <t xml:space="preserve">ADMINISTRACJA PUBLICZNA </t>
  </si>
  <si>
    <t>75017</t>
  </si>
  <si>
    <t>Samorządowe sejmiki województw</t>
  </si>
  <si>
    <t xml:space="preserve">razem </t>
  </si>
  <si>
    <t xml:space="preserve">Promocja jednostek  samorządu terytorialnego </t>
  </si>
  <si>
    <t>Wydatki bieżące:
1) nagrody dla uczestników i laureatów konkursów i plebiscytów realizowanych pod patronatem Przewodniczącego Sejmiku - § 4190 - 5.923,-zł,
2) zakup materiałów, gadżetów i wydawnictw niezbędnych do promocji działań podejmowanych przez Sejmik Województwa Podkarpackiego, organizacja wydarzeń realizowanych pod Patronatem Przewodniczącego Sejmiku - 92.714,-zł: § 4210 - 57.179,-zł, § 4300 - 35.535,-zł.</t>
  </si>
  <si>
    <t xml:space="preserve">    - wydatki związane z realizacją ich statutowych 
      zadań</t>
  </si>
  <si>
    <r>
      <t xml:space="preserve">WYKAZ ZADAŃ BUDŻETOWYCH NA ROK 2023
</t>
    </r>
    <r>
      <rPr>
        <b/>
        <sz val="14"/>
        <color theme="1"/>
        <rFont val="Arial"/>
        <family val="2"/>
        <charset val="238"/>
      </rPr>
      <t>DEPARTAMENT ORGANIZACYJNO - PRAWNY</t>
    </r>
  </si>
  <si>
    <t xml:space="preserve">Rozdział </t>
  </si>
  <si>
    <t>Plan wg uchwały budżetowej na 2022.</t>
  </si>
  <si>
    <t xml:space="preserve">Plan wg założeń na 2022 r. 
</t>
  </si>
  <si>
    <t>(7:4)
%</t>
  </si>
  <si>
    <r>
      <rPr>
        <b/>
        <sz val="12"/>
        <rFont val="Arial"/>
        <family val="2"/>
        <charset val="238"/>
      </rPr>
      <t>Wydatki bieżące.</t>
    </r>
    <r>
      <rPr>
        <sz val="12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Zadania finansowane w ramach ustalonego limitu wydatków ze środków własnych w kwocie 1.245.250,-zł:</t>
    </r>
    <r>
      <rPr>
        <sz val="12"/>
        <rFont val="Arial"/>
        <family val="2"/>
        <charset val="238"/>
      </rPr>
      <t xml:space="preserve">
- wynagrodzenia i składki od nich naliczane w związku z realizacją zadań z zakresu rolnictwa przejętych od administracji rządowej w związku ze zmianami w podziale zadań i kompetencji administracji terenowej - 1.240.250,-zł.
</t>
    </r>
    <r>
      <rPr>
        <b/>
        <sz val="12"/>
        <rFont val="Arial"/>
        <family val="2"/>
        <charset val="238"/>
      </rPr>
      <t>Zadanie zlecone z zakresu administracji rządowej.</t>
    </r>
    <r>
      <rPr>
        <sz val="12"/>
        <rFont val="Arial"/>
        <family val="2"/>
        <charset val="238"/>
      </rPr>
      <t xml:space="preserve">
</t>
    </r>
    <r>
      <rPr>
        <b/>
        <sz val="11"/>
        <color rgb="FFFF0000"/>
        <rFont val="Arial"/>
        <family val="2"/>
        <charset val="238"/>
      </rPr>
      <t/>
    </r>
  </si>
  <si>
    <t xml:space="preserve">  - wydatki związane z realizacją ich statutowych zadań</t>
  </si>
  <si>
    <t xml:space="preserve">Wydatki bieżące:
Realizacja zadań z zakresu transportu przejętych od administracji rządowej w związku ze zmianami w podziale zadań i kompetencji administracji terenowej - wynagrodzenia i składki od nich naliczane - 659.605,-zł: § 4010 - 515.390,-zł, § 4040 - 38.620,-zł, § 4110 - 90.267,-zł, § 4120 - 15.027,-zł, § 4710 - 301,-zł.
Zadanie zlecone z zakresu administracji rządowej, finansowane z dotacji celowej z budżetu państwa w kwocie 130.000,-zł i środków własnych budżetu Województwa w kwocie 529.605,-zł.
</t>
  </si>
  <si>
    <r>
      <rPr>
        <b/>
        <sz val="12"/>
        <rFont val="Arial"/>
        <family val="2"/>
        <charset val="238"/>
      </rPr>
      <t>Wydatki bieżące.
Zadania finansowane w ramach ustalonego limitu wydatków ze środków własnych w kwocie 587.193,-zł:</t>
    </r>
    <r>
      <rPr>
        <sz val="12"/>
        <rFont val="Arial"/>
        <family val="2"/>
        <charset val="238"/>
      </rPr>
      <t xml:space="preserve">
- wynagrodzenia i składki od nich naliczane w związku z realizacją zadań przejętych od administracji rządowej w związku ze zmianami w podziale zadań i kompetencji administracji terenowej - 587.193,-zł. 
</t>
    </r>
    <r>
      <rPr>
        <b/>
        <sz val="12"/>
        <rFont val="Arial"/>
        <family val="2"/>
        <charset val="238"/>
      </rPr>
      <t xml:space="preserve">Zadanie zlecone z zakresu administracji rządowej.
</t>
    </r>
  </si>
  <si>
    <t xml:space="preserve">Wydatki bieżące:
Realizacja zadań z zakresu turystyki przejętych od administracji rządowej w związku ze zmianami w podziale zadań i kompetencji administracji terenowej – wynagrodzenia i składki od nich naliczane –  577.142,-zł: § 4010 - 456.448,-zł, § 4040 - 28.278,-zł, § 4110 - 76.003,-zł, § 4120 - 12.544,-zł, § 4710 - 3.869,-zł.
Zadanie zlecone z zakresu administracji rządowej, finansowane z dotacji celowej z budżetu państwa w kwocie 58.000,-zł i środków własnych budżetu Województwa w kwocie 519.142,-zł.
</t>
  </si>
  <si>
    <r>
      <rPr>
        <b/>
        <sz val="12"/>
        <rFont val="Arial"/>
        <family val="2"/>
        <charset val="238"/>
      </rPr>
      <t>Wydatki bieżące.
Zadania finansowane w ramach ustalonego limitu wydatków ze środków własnych w kwocie 486.624,-zł:</t>
    </r>
    <r>
      <rPr>
        <sz val="12"/>
        <rFont val="Arial"/>
        <family val="2"/>
        <charset val="238"/>
      </rPr>
      <t xml:space="preserve">
- wynagrodzenia i składki od nich naliczane  w związku z realizacją zadań z zakresu turystyki przejętych od administracji rządowej w związku ze zmianami w podziale zadań i kompetencji administracji terenowej - 486.624,-zł. 
</t>
    </r>
    <r>
      <rPr>
        <b/>
        <sz val="12"/>
        <rFont val="Arial"/>
        <family val="2"/>
        <charset val="238"/>
      </rPr>
      <t xml:space="preserve">Zadanie zlecone z zakresu administracji rządowej.
</t>
    </r>
  </si>
  <si>
    <t xml:space="preserve">Wydatki majątkowe:
Zagospodarowanie terenu wokół rzeki Przyrwy przy ul. Lubelskiej w Rzeszowie w celu utworzenia miejsc postojowych na potrzeby Jednostek Organizacyjnych Samorządu Województwa - § 6050 - 330.000,-zł.
</t>
  </si>
  <si>
    <t xml:space="preserve">Wydatki majątkowe:
1) budowa wielopoziomowego obiektu w celu zabezpieczenia miejsc postojowych przy ul. Szpitalnej na potrzeby Jednostek Organizacyjnych Samorządu Województwa – 385.000,-zł, 
2) zagospodarowanie terenu wokół rzeki Przyrwy przy ul. Lubelskiej w Rzeszowie w celu utworzenia miejsc postojowych na potrzeby Jednostek Organizacyjnych Samorządu Województwa - 330.000,-zł.
</t>
  </si>
  <si>
    <t>75011</t>
  </si>
  <si>
    <t xml:space="preserve">Urzędy wojewódzkie </t>
  </si>
  <si>
    <t>Wydatki bieżące 2.178.028,-zł:
Realizacja zadań z zakresu ochrony środowiska, ochrony zdrowia i edukacji przejętych od administracji rządowej w związku ze zmianami w podziale zadań i kompetencji administracji terenowej - wynagrodzenia i składki od nich naliczane - 2.178.028,-zł: § 4010 - 1.716.608,-zł, § 4040 - 112.208,-zł, § 4110 - 289.048,-zł, § 4120 - 47.059,-zł, § 4170 - 5.000,-zł, § 4710 - 8.105,-zł. 
Zadanie zlecone z zakresu administracji rządowej finansowane z dotacji celowej z budżetu państwa w kwocie 276.000,-zł i środków własnych budżetu Województwa w kwocie 1.902.028,-zł.</t>
  </si>
  <si>
    <r>
      <rPr>
        <b/>
        <sz val="12"/>
        <rFont val="Arial"/>
        <family val="2"/>
        <charset val="238"/>
      </rPr>
      <t>Wydatki bieżące.
Zadania finansowane w ramach ustalonego limitu wydatków ze środków własnych:</t>
    </r>
    <r>
      <rPr>
        <sz val="12"/>
        <rFont val="Arial"/>
        <family val="2"/>
        <charset val="238"/>
      </rPr>
      <t xml:space="preserve">
- wynagrodzenia i składki od nich naliczane w związku z realizacją zadań przejętych od administracji rządowej w związku ze zmianami w podziale zadań i kompetencji administracji terenowej - 1.655.839,-zł.
</t>
    </r>
    <r>
      <rPr>
        <b/>
        <sz val="11"/>
        <color rgb="FFFF0000"/>
        <rFont val="Arial"/>
        <family val="2"/>
        <charset val="238"/>
      </rPr>
      <t/>
    </r>
  </si>
  <si>
    <t>1. Wydatki bieżące 148.945.144,-zł:
1) utrzymanie jednostki Urzędu Marszałkowskiego Województwa Podkarpackiego w kwocie 104.189.864,-zł, z tego:
a) wynagrodzenia i składki od nich naliczane oraz umowy zlecenia i o dzieło - 84.545.208,-zł: § 4010 – 66.383.575, § 4110 – 11.439.833,-zł, § 4120 – 1.915.784,-zł, § 4170 – 51.000, § 4710 – 150.000,-zł,
b) pozostałe wydatki związane z funkcjonowaniem jednostki - 19.644.656,-zł w tym: bieżące remonty i konserwacje - § 4270 - 1.308.900,-zł,
2) świadczenia na rzecz osób fizycznych - § 3020 - 142.800,-zł,
Wydatki finansowane ze środków własnych budżetu Województwa.
3) realizacja przez Urząd Marszałkowski Województwa Podkarpackiego projektu pn. "Zatrudnienie pracowników UMWP w Rzeszowie zaangażowanych w realizację RPO WP w 2023 roku" w ramach Pomocy Technicznej RPO WP na lata 2014 - 2020 - 23.371.460,-zł,
Źródła finansowania :
- środki budżetu państwa na finansowanie - 19.865.741,-zł,
- środki własne budżetu Województwa - 3.505.719,-zł.
Zadanie ujęte w wykazie przedsięwzięć do WPF.
4) realizacja przez Urząd Marszałkowski Województwa Podkarpackiego projektu pn.  "Wsparcie UMWP w Rzeszowie w związku z realizacją RPO WP w 2023 roku" w ramach Pomocy Technicznej RPO WP na lata 2014 - 2020 - 5.558.000,-zł
Źródła finansowania :
- środki budżetu państwa na finansowanie - 4.724.300,-zł,
- środki własne budżetu Województwa - 833.700,-zł.
Zadanie ujęte w wykazie przedsięwzięć do WPF.
5)  realizacja przez Urząd Marszałkowski Województwa Podkarpackiego projektu pn. "Zatrudnienie pracowników UMWP w Rzeszowie zaangażowanych w realizację FEP w 2023 roku" w ramach Pomocy Technicznej FEP 2021-2027 (EFRR) - 15.683.020,-zł.
Źródła finansowania :
- środki budżetu państwa na finansowanie - 13.330.567,-zł,
- środki własne budżetu Województwa - 2.352.453,-zł.
Zadanie ujęte w wykazie przedsięwzięć do WPF.</t>
  </si>
  <si>
    <r>
      <t xml:space="preserve">I. Wydatki bieżące:
</t>
    </r>
    <r>
      <rPr>
        <b/>
        <sz val="12"/>
        <rFont val="Arial"/>
        <family val="2"/>
        <charset val="238"/>
      </rPr>
      <t>1. Zadania finansowane w ramach ustalonego limitu wydatków ze środków własnych w kwocie 94.621.598,-zł:</t>
    </r>
    <r>
      <rPr>
        <sz val="12"/>
        <rFont val="Arial"/>
        <family val="2"/>
        <charset val="238"/>
      </rPr>
      <t xml:space="preserve">
1) utrzymanie jednostki Urzędu Marszałkowskiego Województwa Podkarpackiego w kwocie 94.550.198,-zł, z tego:
a) wynagrodzenia i składki od nich naliczane - 77.033.164,-zł,
b) pozostałe wydatki bieżące - 17.517.034,-zł w tym: bieżące remonty i konserwacje - § 4270 - 1.150.000,-zł,
2) świadczenia na rzecz osób fizycznych - § 3020 - 71.400,-zł,
Źródła finansowania:
- środki własne budżetu Województwa -  94.621.598,-zł.
</t>
    </r>
    <r>
      <rPr>
        <b/>
        <sz val="12"/>
        <rFont val="Arial"/>
        <family val="2"/>
        <charset val="238"/>
      </rPr>
      <t>2. Zadania ujęte w wykazie przedsięwzięć do WPF WP oraz finansowane z dotacji i innych źródeł o charakterze podobnym do dotacji w kwocie 44.612.480,-zł:</t>
    </r>
    <r>
      <rPr>
        <sz val="12"/>
        <rFont val="Arial"/>
        <family val="2"/>
        <charset val="238"/>
      </rPr>
      <t xml:space="preserve">
a) realizacja przez Urząd Marszałkowski Województwa Podkarpackiego projektów w ramach Pomocy Technicznej RPO WP na lata 2014 - 2020 - 28.929.460,-zł:
- "Zatrudnienie pracowników UMWP w Rzeszowie zaangażowanych w realizację RPO WP w 2023 roku" - 23.371.460,-zł
Źródła finansowania :
- środki budżetu państwa na finansowanie Pomocy Technicznej RPO - 19.865.741,-zł,
- środki własne budżetu Województwa - 3.505.719,-zł.
- "Wsparcie UMWP w Rzeszowie w związku z realizacją RPO WP w 2023 roku" - 5.558.000,-zł
Źródła finansowania :
- środki budżetu państwa na finansowanie Pomocy Technicznej RPO - 4.724.300,-zł,
- środki własne budżetu Województwa - 833.700,-zł.
b)  realizacja przez Urząd Marszałkowski Województwa Podkarpackiego projektów w ramach Pomocy Technicznej Fundusze Europejskie dla Podkarpacia 2021-2027 "Zatrudnienie pracowników UMWP w Rzeszowie zaangażowanych w realizację FEP w 2023 roku
Program: IX Oś Priorytetowa Pomoc Techniczna Fundusze Europejskie dla Podkarpacia 2021-2027" - 15.683.020,-zł.
Źródła finansowania :
- środki budżetu państwa na finansowanie Pomocy Technicznej Fundusze Europejskie - 13.330.567,-zł,
- środki własne budżetu Województwa - 2.352.453,-zł.
</t>
    </r>
  </si>
  <si>
    <t xml:space="preserve"> - wydatki związane z realizacją ich statutowych zadań</t>
  </si>
  <si>
    <t>II. Wydatki majątkowe:
1) Zadania finansowane w ramach ustalonego limitu wydatków ze środków własnych w kwocie 3.437.500,-zł:
a) wydatki inwestycyjne - § 6050 -  2.337.500,-zł, w tym:
-  Przebudowa Zakładowego Obiektu Socjalnego w Polańczyku – zagospodarowanie terenu  – 150.000,-zł, 
- modernizacja infrastruktury sieciowej - 820.750,-zł, 
- modernizacja infrastruktury serwerowej - 520.750,-zł,  
- zabezpieczenie związane z podnoszeniem poziomu cyberbezpieczeństwa - 500.000,-zł,
- pozostałe inwestycje niezbędne do prawidłowego funkcjonowania Urzędu i obsługi zadań realizowanych przez Urząd Marszałkowski Województwa Podkarpackiego - 346.000,-zł.
b) zakupy inwestycyjne - § 6060 - 1.100.000,-zł, w tym:
- zakup sprzętu komputerowego, urządzeń skanująco-drukujących i oprogramowania - 650.000,-zł,
- zakup samochodów do celów służbowych (3 samochody osobowe)  - 350.000,-zł,
- pozostałe zakupy inwestycyjne niezbędne do prawidłowego funkcjonowania Urzędu i obsługi zadań realizowanych przez Urząd Marszałkowski Województwa Podkarpackiego - 100.000,-zł.
Źródła finansowania:
- środki własne budżetu Województwa - 3.437.500,-zł.</t>
  </si>
  <si>
    <t>Wydatki majątkowe:
Roboty budowalne związane z obiektem Centrum Wystawienniczo – Kongresowego Województwa Podkarpackiego w Jasionce - § 6050 - 302.500,-zł.</t>
  </si>
  <si>
    <r>
      <rPr>
        <b/>
        <sz val="12"/>
        <rFont val="Arial"/>
        <family val="2"/>
        <charset val="238"/>
      </rPr>
      <t>Wydatki majątkowe.
Zadania finansowane w ramach ustalonego limitu wydatków ze środków własnych w kwocie 302.500,-zł:</t>
    </r>
    <r>
      <rPr>
        <sz val="12"/>
        <rFont val="Arial"/>
        <family val="2"/>
        <charset val="238"/>
      </rPr>
      <t xml:space="preserve">
roboty budowalne związane z obiektem Centrum Wystawienniczo – Kongresowego Województwa Podkarpackiego w Jasionce.</t>
    </r>
  </si>
  <si>
    <t>752</t>
  </si>
  <si>
    <t>OBRONA NARODOWA</t>
  </si>
  <si>
    <t>Nie zgłoszono potrzeb na 2023 rok.
W 2022 roku wydatki planowane były na szkolenie obronne finansowane ze środków dotacji celowej z budżetu państwa.</t>
  </si>
  <si>
    <t>Pozostałe wydatki obronne</t>
  </si>
  <si>
    <t>Komendy wojewódzkie Policji</t>
  </si>
  <si>
    <t>Wydatki majątkowe:
Wpłata na Wojewódzki Fundusz Wsparcia Policji z przeznaczeniem na zakup sprzętu i wyposażenia specjalistycznego - § 6170 - 450.000,-zł.</t>
  </si>
  <si>
    <r>
      <rPr>
        <b/>
        <sz val="12"/>
        <rFont val="Arial"/>
        <family val="2"/>
        <charset val="238"/>
      </rPr>
      <t>Wydatki majątkowe.
Zadania finansowane w ramach ustalonego limitu wydatków ze środków własnych w kwocie 385.000,-zł:</t>
    </r>
    <r>
      <rPr>
        <sz val="12"/>
        <rFont val="Arial"/>
        <family val="2"/>
        <charset val="238"/>
      </rPr>
      <t xml:space="preserve">
wpłata na Wojewódzki Fundusz Wsparcia Policji z przeznaczeniem na zakup sprzętu i wyposażenia specjalistycznego.</t>
    </r>
  </si>
  <si>
    <t xml:space="preserve">Straż graniczna </t>
  </si>
  <si>
    <t>Wydatki majątkowe:
Wpłata na Fundusz Wsparcia Bieszczadzkiego Oddziału Straży Granicznej im. gen. bryg. Jana Tomasza Gorzechowskiego w Przemyślu z przeznaczeniem na zakup sprzętu i wyposażenia specjalistycznego - § 6170 - 363.500,-zł.</t>
  </si>
  <si>
    <t>Wydatki majątkowe.
Zadania finansowane w ramach ustalonego limitu wydatków ze środków własnych w kwocie 363.500,-zł:
wpłata na Fundusz Wsparcia Bieszczadzkiego Oddziału Straży Granicznej im. gen. bryg. Jana Tomasza Gorzechowskiego w Przemyślu z przeznaczeniem na zakup sprzętu i wyposażenia specjalistycznego.</t>
  </si>
  <si>
    <t xml:space="preserve">Komendy wojewódzkie Państwowej Straży Pożarnej </t>
  </si>
  <si>
    <t>Wydatki majątkowe:
Wpłata na Wojewódzki Fundusz Wsparcia Państwowej Straży Pożarnej  z przeznaczeniem na zakup sprzętu i wyposażenia specjalistycznego - § 6170 - 500.000,-zł.</t>
  </si>
  <si>
    <t>Wydatki majątkowe.
Zadania finansowane w ramach ustalonego limitu wydatków ze środków własnych w kwocie 500.000,-zł:
wpłata na Wojewódzki Fundusz Wsparcia Państwowej Straży Pożarnej  z przeznaczeniem na zakup sprzętu i wyposażenia specjalistycznego.</t>
  </si>
  <si>
    <t xml:space="preserve">Zadania ratownictwa górskiego i morskiego </t>
  </si>
  <si>
    <t xml:space="preserve">Wydatki bieżące:
Dotacje celowe dla organizacji prowadzących działalność pożytku publicznego na zadania z zakresu ratownictwa górskiego i wodnego - § 2360 - 578.600,-zł.
</t>
  </si>
  <si>
    <r>
      <rPr>
        <b/>
        <sz val="12"/>
        <rFont val="Arial"/>
        <family val="2"/>
        <charset val="238"/>
      </rPr>
      <t>Wydatki bieżące.
Zadania finansowane w ramach ustalonego limitu wydatków ze środków własnych w kwocie 578.600,-zł:</t>
    </r>
    <r>
      <rPr>
        <sz val="12"/>
        <rFont val="Arial"/>
        <family val="2"/>
        <charset val="238"/>
      </rPr>
      <t xml:space="preserve">
dotacje celowe dla organizacji prowadzących działalność pożytku publicznego na zadania z zakresu ratownictwa górskiego i wodnego.
</t>
    </r>
  </si>
  <si>
    <t>Zarządzanie kryzysowe</t>
  </si>
  <si>
    <t>Nie zgłoszono potrzeb na 2023 rok.
W 2022 roku wydatki planowane były na wydatki związane z kryzysem uchodźczym spowodowanym wojną w Ukrainie.</t>
  </si>
  <si>
    <t>Pomoc społeczna</t>
  </si>
  <si>
    <t xml:space="preserve">Gospodarka komunalna i ochrona środowiska </t>
  </si>
  <si>
    <t xml:space="preserve">Wpływy i wydatki związane z gromadzeniem środków z opłat i kar za korzystanie ze środowiska  </t>
  </si>
  <si>
    <t xml:space="preserve">Wydatki bieżące:
1) wynagrodzenia i składki od nich naliczane pracowników zajmujących się kontrolą i windykacją opłat za korzystanie ze środowiska oraz opłat i kar za usuwanie drzew i krzewów - 370.000,-zł: § 4010 - 309.261,-zł, § 4110 - 53.162,-zł, § 4120 - 7.577,-zł,
2) zakup sprzętu biurowego i komputerowego - § 4210 - 10.000,-zł,
3) szkolenia pracowników w zakresie ochrony środowiska, naliczania opłat i kar za korzystanie ze środowiska - § 4700 - 20.000,-zł.
Wydatki finansowane z 3% wpływu z tytułu opłat za korzystanie ze środowiska.    
</t>
  </si>
  <si>
    <r>
      <rPr>
        <b/>
        <sz val="12"/>
        <rFont val="Arial"/>
        <family val="2"/>
        <charset val="238"/>
      </rPr>
      <t>I. Wydatki bieżące.
Zadania ujęte w wykazie przedsięwzięć do WPF WP oraz finansowane z dotacji i innych źródeł o charakterze podobnym do dotacji w kwocie 400.000,-zł:</t>
    </r>
    <r>
      <rPr>
        <sz val="12"/>
        <rFont val="Arial"/>
        <family val="2"/>
        <charset val="238"/>
      </rPr>
      <t xml:space="preserve">
1) wynagrodzenia i składki od nich naliczane pracowników zajmujących się kontrolą i windykacją opłat za korzystanie ze środowiska oraz opłat i kar za usuwanie drzew i krzewów  - 370.000,-zł,
2) zakupsprzętu biurowego i komputerowego  - 10.000,-zł,
3) szkolenia pracowników w zakresie ochrony środowiska, naliczania opłat i kar za korzystanie ze środowiska - 20.000,-zł.
</t>
    </r>
    <r>
      <rPr>
        <b/>
        <sz val="12"/>
        <rFont val="Arial"/>
        <family val="2"/>
        <charset val="238"/>
      </rPr>
      <t xml:space="preserve">Wydatki finansowane z 3% wpływu z tytułu opłat za korzystanie ze środowiska.    
Wydatki zaplanowano na poziomie planowanych dochodów. </t>
    </r>
    <r>
      <rPr>
        <sz val="12"/>
        <rFont val="Arial"/>
        <family val="2"/>
        <charset val="238"/>
      </rPr>
      <t xml:space="preserve">
</t>
    </r>
  </si>
  <si>
    <t xml:space="preserve">Wpływy i wydatki związane z gromadzeniem środków z opłat produktowych </t>
  </si>
  <si>
    <t xml:space="preserve">Wydatki bieżące:
1) wynagrodzenia i składki od nich naliczane pracowników zaangażowanych w obsługę administracyjną systemu poboru opłat - 70.400,-zł: § 4010 - 58.843,-zł, § 4110 - 10.115,-zł, § 4120 - 1.442,-zł,
2) szkolenia pracowników w zakresie prowadzenia spraw związanych z weryfikowaniem sprawozdań o produktach i opakowaniach oraz o wysokości opłaty produktowej; przygotowywania decyzji ustalających wysokość zaległości z tytułu opłaty produktowej, decyzji ustalających dodatkową opłatę produktową, decyzji o odroczeniu terminu płatności, rozłożeniu na raty lub umorzeniu opłaty produktowej, a także decyzji o  stwierdzeniu nadpłaty z tytułu opłaty produktowej  - § 4700 - 3.000,-zł.
Wydatki finansowane z 2% i 10 % wpływu z tytułu opłaty produktowej oraz dodatkowej opłaty produktowej, 5% wpływu z tytułu opłat za nieosiągnięcie wymaganego poziomu odzysku i recyklingu odpadów pochodzących z pojazdów wycofanych z eksploatacji, 1% wpływu z tytułu opłaty recyklingowej za opakowania oraz 10% wpływu z tytułu opłat na publiczne kampanie edukacyjne.
</t>
  </si>
  <si>
    <r>
      <rPr>
        <b/>
        <sz val="12"/>
        <rFont val="Arial"/>
        <family val="2"/>
        <charset val="238"/>
      </rPr>
      <t>Wydatki bieżące.
Zadania ujęte w wykazie przedsięwzięć do WPF WP oraz finansowane z dotacji i innych źródeł o charakterze podobnym do dotacji w kwocie 73.400,-zł:</t>
    </r>
    <r>
      <rPr>
        <sz val="12"/>
        <rFont val="Arial"/>
        <family val="2"/>
        <charset val="238"/>
      </rPr>
      <t xml:space="preserve">
1) wynagrodzenia i składki od nich naliczane pracowników zaangażowanych w obsługę administracyjną systemu poboru opłat - 70.400,-zł,
2) szkolenia pracowników w zakresie prowadzenia spraw związanych z weryfikowaniem sprawozdań o produktach i opakowaniach oraz o wysokości opłaty produktowej, przygotowywania decyzji ustalających wysokość zaległości z tytułu opłaty produktowej, decyzji ustalających dodatkową opłatę produktową, decyzji o odroczeniu terminu płatności, rozłożeniu na raty lub umorzeniu opłaty produktowej, a także decyzji o  stwierdzeniu nadpłaty z tytułu opłaty produktowej - 3.000,-zł.
Wydatki finansowane z 2% i 10 % wpływu z tytułu opłaty produktowej oraz dodatkowej opłaty produktowej, 5% wpływu z tytułu opłat za nieosiągnięcie wymaganego poziomu odzysku i recyklingu odpadów pochodzących z pojazdów wycofanych z eksploatacji, 1% wpływu z tytułu opłaty recyklingowej za opakowania oraz 10% wpływu z tytułu opłat zna publiczne kampanie edukacyjne.
</t>
    </r>
    <r>
      <rPr>
        <b/>
        <sz val="12"/>
        <rFont val="Arial"/>
        <family val="2"/>
        <charset val="238"/>
      </rPr>
      <t>Wydatki zaplanowano na poziomie planowanych dochodów.</t>
    </r>
    <r>
      <rPr>
        <sz val="12"/>
        <rFont val="Arial"/>
        <family val="2"/>
        <charset val="238"/>
      </rPr>
      <t xml:space="preserve">
</t>
    </r>
  </si>
  <si>
    <t>Wpływy i wydatki związane z wprowadzeniem do obrotu baterii i akumulatorów</t>
  </si>
  <si>
    <t xml:space="preserve">Wydatki bieżące.
Szkolenia pracowników zajmujących się kontrolą i windykacją opłat za wprowadzenie do obrotu baterii i akumulatorów - § 4700 - 1.300,-zł .
Wydatki finansowane z 5 % wpływu z tytułu opłat za wprowadzanie do obrotu baterii i akumulatorów. </t>
  </si>
  <si>
    <r>
      <rPr>
        <b/>
        <sz val="12"/>
        <rFont val="Arial"/>
        <family val="2"/>
        <charset val="238"/>
      </rPr>
      <t>Wydatki bieżące.
Zadania ujęte w wykazie przedsięwzięć do WPF WP oraz finansowane z dotacji i innych źródeł o charakterze podobnym do dotacji w kwocie 1.300,-zł:</t>
    </r>
    <r>
      <rPr>
        <sz val="12"/>
        <rFont val="Arial"/>
        <family val="2"/>
        <charset val="238"/>
      </rPr>
      <t xml:space="preserve">
szkolenia pracowników zajmujących się kontrolą i windykacją opłat za wprowadzenie do obrotu baterii i akumulatorów.
Wydatki finansowane z 5 % wpływu z tytułu opłat za wprowadzanie do obrotu baterii i akumulatorów. 
</t>
    </r>
    <r>
      <rPr>
        <b/>
        <sz val="12"/>
        <rFont val="Arial"/>
        <family val="2"/>
        <charset val="238"/>
      </rPr>
      <t>Wydatki zaplanowano na poziomie planowanych dochodów.</t>
    </r>
    <r>
      <rPr>
        <sz val="12"/>
        <rFont val="Arial"/>
        <family val="2"/>
        <charset val="238"/>
      </rPr>
      <t xml:space="preserve">
</t>
    </r>
  </si>
  <si>
    <t>Pozostałe działania związane z gospodarką odpadami</t>
  </si>
  <si>
    <t xml:space="preserve">Wydatki bieżące:
1) wynagrodzenia i składki od nich naliczane pracowników zajmujących się prowadzeniem rejestru Bazy danych o produktach i opakowaniach oraz o gospodarce odpadami (BDO) - 97.000,-zł: § 4010 - 81.077,-zł, § 4110 - 13.937,-zł, § 4120 - 1.986,-zł,
2) szkolenia pracowników w zakresie prowadzenia spraw związanych z Bazą danych o produktach i opakowaniach oraz o gospodarce odpadami - § 4700 - 3.000,-zł.
Wydatki finansowane z 35,65% wpływu z opłaty rejestrowej i opłaty rocznej od podmiotów wprowadzających produkty, produkty w opakowaniach i gospodarujących odpadami.
</t>
  </si>
  <si>
    <r>
      <rPr>
        <b/>
        <sz val="12"/>
        <rFont val="Arial"/>
        <family val="2"/>
        <charset val="238"/>
      </rPr>
      <t>Wydatki bieżące.
Zadania ujęte w wykazie przedsięwzięć do WPF WP oraz finansowane z dotacji i innych źródeł o charakterze podobnym do dotacji w kwocie 100.000,-zł:</t>
    </r>
    <r>
      <rPr>
        <sz val="12"/>
        <rFont val="Arial"/>
        <family val="2"/>
        <charset val="238"/>
      </rPr>
      <t xml:space="preserve">
1) wynagrodzenia i składki od nich naliczane pracowników zajmujących się prowadzeniem rejestru Bazy danych o produktach i opakowaniach oraz o gospodarce odpadami (BDO) - 97.000,-zł
2) szkolenia pracowników w zakresie prowadzenia spraw związanych z Bazą danych o produktach i opakowaniach oraz o gospodarce odpadami - 3.000,-zł.
</t>
    </r>
    <r>
      <rPr>
        <b/>
        <sz val="12"/>
        <rFont val="Arial"/>
        <family val="2"/>
        <charset val="238"/>
      </rPr>
      <t>Wydatki finansowane z 35,65% wpływu z opłaty rejestrowej i opłaty rocznej od podmiotów wprowadzających produkty, produkty w opakowaniach i gospodarujących odpadami.
Wydatki zaplanowano na poziomie planowanych dochodów.</t>
    </r>
    <r>
      <rPr>
        <sz val="12"/>
        <rFont val="Arial"/>
        <family val="2"/>
        <charset val="238"/>
      </rPr>
      <t xml:space="preserve">
</t>
    </r>
  </si>
  <si>
    <r>
      <t xml:space="preserve">WYKAZ ZADAŃ BUDŻETOWYCH NA ROK 2023
</t>
    </r>
    <r>
      <rPr>
        <b/>
        <sz val="14"/>
        <color theme="1"/>
        <rFont val="Arial"/>
        <family val="2"/>
        <charset val="238"/>
      </rPr>
      <t>DEPARTAMENT OCHRONY ZDROWIA I POLITYKI SPOŁECZNEJ</t>
    </r>
    <r>
      <rPr>
        <sz val="14"/>
        <color theme="1"/>
        <rFont val="Arial"/>
        <family val="2"/>
        <charset val="238"/>
      </rPr>
      <t xml:space="preserve"> </t>
    </r>
  </si>
  <si>
    <t>Plan wg uchwały budżetowej na 2022r.</t>
  </si>
  <si>
    <t>4. Wydatki na programy finansowane z udziałem
    środków UE i źródeł zagranicznych</t>
  </si>
  <si>
    <t xml:space="preserve">OCHRONA ZDROWIA </t>
  </si>
  <si>
    <t>85111</t>
  </si>
  <si>
    <t xml:space="preserve">Szpitale ogólne </t>
  </si>
  <si>
    <t>c) „Zakup optycznego tomografu koherentnego (OCT)” – 371.336,-zł,
d) „Zakup tomografu komputerowego z adaptacją i dostosowaniem pomieszczeń” – 4.104.240,-zł,
e) „Poprawa dostępności do kompleksu budynków Wojewódzkiego Szpitala Podkarpackiego im. Jana Pawła II w Krośnie poprzez przebudowę układu komunikacyjnego i parkingów- etap I” – 4.846.912,-zł.
Zadania ujęte w wykazie przedsięwzięć do WPF
5) Wojewódzkiego Szpitala im. Zofii z Zamoyskich Tarnowskiej w Tarnobrzegu – 11.959.518,-zł z przeznaczeniem na realizację zadań pn.:
a) „Poprawa stanu technicznego obiektów użytkowych Szpitala poprzez wymianę dźwigów  windowych w budynkach Wojewódzkiego Szpitala w Tarnobrzegu” – 1.800.248,-zł,
b) „Rozwój systemu ratownictwa medycznego poprzez budowę lądowiska dla Szpitalnego Oddziału Ratunkowego Wojewódzkiego Szpitala im. Zofii z Zamoyskich Tarnowskiej w Tarnobrzegu” – 82.194,-zł,
c) „Zakup mammografu wraz z wyposażeniem na Potrzeby Zakładu Diagnostyki Obrazowej Wojewódzkiego szpitala w Tarnobrzegu” – 1.281.280,-zł
d) „Zakup kotła parowego  wraz z wyposażeniem i  montażem” - 591.360,-zł,
e) „Zakup sterylizatora wraz z wyposażeniem (myjnią i wózkami transportowymi) na potrzeby Centralnej Sterylizatorni Wojewódzkiego Szpitala w Tarnobrzegu” – 534.195,-zł,
f) „Modernizacja Oddziału Neurologii poprzez rozszerzenie  o Pododdział  Udarowy polegająca na  przebudowie  pomieszczeń I pietra Pawilonu  F1 wraz  z zakupem  sprzętu i aparatury medycznej w Wojewódzkim Szpitalu im. Zofii z Zamoyskich Tarnowskiej w Tarnobrzegu” - 7.426.191,-zł
Zadanie ujęte w wykazie przedsięwzięć do WPF.
g) „Wdrożenie elektronicznej dokumentacji medycznej oraz uruchomienie e-usług dla pacjentów Wojewódzkiego Szpitala im. Zofii z Zamoyskich Tarnowskiej 
w Tarnobrzegu” – 244.050,-zł
Zadanie ujęte w wykazie przedsięwzięć do WPF.</t>
  </si>
  <si>
    <t xml:space="preserve">Lecznictwo psychiatryczne </t>
  </si>
  <si>
    <t xml:space="preserve">    - wydatki związane z realizacją ich statutowych 
     zadań</t>
  </si>
  <si>
    <t>Lecznictwo ambulatoryjne</t>
  </si>
  <si>
    <t xml:space="preserve">Ratownictwo medyczne </t>
  </si>
  <si>
    <t xml:space="preserve">Medycyna pracy </t>
  </si>
  <si>
    <t>Programy polityki społecznej</t>
  </si>
  <si>
    <t>85153</t>
  </si>
  <si>
    <t>Zwalczanie narkomanii</t>
  </si>
  <si>
    <t>Wydatki bieżące: dotacje celowe dla jednostek spoza sektora finansów publicznych na zadania z zakresu przeciwdziałania narkomanii wynikające z Wojewódzkiego Programu Profilaktyki i Rozwiązywania Problemów Alkoholowych oraz Przeciwdziałania Narkomanii na lata 2022-2030 - § 2360 - 150.000,-zł. 
Wydatki finansowane z opłat za wydanie zezwoleń na obrót hurtowy napojami alkoholowymi.</t>
  </si>
  <si>
    <t>4. Wydatki na programy finansowane z udziałem 
   środków UE i źródeł zagranicznych</t>
  </si>
  <si>
    <t>Przeciwdziałanie alkoholizmowi</t>
  </si>
  <si>
    <t>Staże i specjalizacje medyczne</t>
  </si>
  <si>
    <t>Wydatki bieżące: wydatki zaplanowane na pokrycie kosztów staży podyplomowych lekarzy i lekarzy dentystów, w kwocie - § 4320 - 18.504.000,-zł.
Zadania z zakresu administracji rządowej, finansowane z dotacji celowej z budżetu państwa.</t>
  </si>
  <si>
    <t xml:space="preserve">Wydatki bieżące w kwocie 140.083,-zł:
1) wynagrodzenia prelegentów i wykładowców oraz koszty związane z organizacją koferencji poświęconych upowszechnianiu wiedzy na temat zdrowia psychicznego wśród dzieci i młodzieży szkolnej, promocji zdrowia psychicznego w miejscu pracy poprzez rozwijanie umiejętności pracowników w radzeniu sobie ze stresem i kształtowaniem prawidłowych stosunków międzyludzkich, wspieranie zdrowego psychicznie starzenia się poprzez aktywność kulturalną, społeczną,  ekonomiczną i obywatelską osób starszych, upowszechnianie środowiskowego modelu psychiatrycznej opieki zdrowotnej  a także zróżnicowanych form pomocy i oparcia społecznego oraz aktywizacji osób z zaburzeniami psychicznymi - 20.083,-zł: § 4170 - 19.175,-zł, § 4300 - 908,-zł,-,
2) dotacje celowe dla organizacji prowadzących działalność pożytku publicznego na realizację zadań zwiazanych z ochroną zdrowia psychicznego,ujętych w „Podkarpackim Programie Ochrony Zdrowia Psychicznego na lata 2017-2022" - § 2360 - 90.000,-zł,
3) realizacja zadań  wynikających z ustawy o ochronie zdrowia psychicznego tj. :
a) przeprowadzenie oceny zasadności zastosowania przymusu bezpośredniego - § 4170 - 7.200,-zł,
b) sprawowanie nadzoru nad wykonywaniem badań lekarskich i wydawaniem orzeczeń lekarskich do kierowania pojazdem - § 4170 - 20.000,-zł,
c) realizacja postanowień sądowych o przyjęcie do szpitala psychiatrycznego osób chorych psychicznie bez ich zgody  - § 4300 - 2.800,-zł.
Zadanie zlecone z zakresu administracji rządowej finansowane z dotacji celowej z budżetu państwa. </t>
  </si>
  <si>
    <t xml:space="preserve">852 </t>
  </si>
  <si>
    <t xml:space="preserve"> POMOC SPOŁECZNA </t>
  </si>
  <si>
    <t>85205</t>
  </si>
  <si>
    <t>Zadania w zakresie przeciwdziałania przemocy w rodzinie</t>
  </si>
  <si>
    <t>Wydatki bieżące: dotacje celowe dla jednostek spoza sektora finansów publicznych na zadania wynikające z Wojewódzkiego Programu Przeciwdziałania Przemocy w Rodzinie - § 2360 - 200.000,-zł (w tym na organizację szkoleń dla osób realizujących zadania związane z przeciwdziałaniem przemocy w rodzinie - 100.000,-zł).
Źródła finansowania:
- wpływy z tytułu wydawania zezwoleń na obrót hurtowy napojami alkoholowymi - 100.000,-zł,
- dotacja z budżetu państwa - 100.000,-zł.</t>
  </si>
  <si>
    <t>85214</t>
  </si>
  <si>
    <t>ZASIŁKI OKRESOWE, CELOWE I POMOC W NATURZE ORAZ SKŁADKI NA UBEZPIECZENIA EMERYTALNE I RENTOWE</t>
  </si>
  <si>
    <t xml:space="preserve">Regionalne ośrodki polityki społecznej </t>
  </si>
  <si>
    <t>Usuwanie skutków klęsk żywiołowych</t>
  </si>
  <si>
    <r>
      <rPr>
        <b/>
        <sz val="10"/>
        <rFont val="Arial"/>
        <family val="2"/>
        <charset val="238"/>
      </rPr>
      <t>Nie zgłoszono potrzeb na 2021r.</t>
    </r>
    <r>
      <rPr>
        <sz val="10"/>
        <rFont val="Arial"/>
        <family val="2"/>
        <charset val="238"/>
      </rPr>
      <t xml:space="preserve">
W 2020r. wydatki zaplanowano na dotacje celowe na pomoc finansową na wypłatę zasiłków celowych lub specjalnych dla mieszkańców gmin z terenu województwa podkarpackiego poszkodowanych w wyniku ulewnych deszczy, które miały miejsce w okresie czerwiec – lipiec 2020 r. 
</t>
    </r>
  </si>
  <si>
    <t>Wydatki bieżące:
1. Realizacja Uchwały nr XLVII/780/22 Sejmiku Województwa Podkarpackiego z dnia 28 marca 2022 r. w sprawie zakresu pomocy Województwa Podkarpackiego obywatelom Ukrainy w związku z konfliktem zbrojnym na terytorium tego państwa- 489.000,-zł: § 2340 - 200.000,-zł, § 4350 -200.000,-zł, § 4370 - 89.000,-zł.  
2. Realizacja przez Regionalny Ośrodek Polityki Społecznej w Rzeszowie projektów pn.:
a) "Koordynacja sektora ekonomii społecznej w województwie podkarpackim w latach 2020-2022" w ramach Regionalnego Programu Operacyjnego Województwa Podkarpackiego na lata 2014-2020 - 31.191,-zł. 
Żródła finansowania: 
- środki UE (środki niewykorzystane w 2022 r.)
Zadanie ujęte w wykazie przedsięwzięć do WPF.
b) "Liderzy kooperacji" w ramach Programu Operacyjnego Wiedza, Edukacja, Rozwój na lata 2014-2020 - 3.871.981,-zł.
Żródła finansowania: 
- środki UE - 3.289.511,-zł,
- dotacje z budżetu państwa - 582.470,-zł.
Zadanie ujęte w wykazie przedsięwzięć do WPF.</t>
  </si>
  <si>
    <t xml:space="preserve">Pozostałe zadania w zakresie polityki społecznej </t>
  </si>
  <si>
    <t xml:space="preserve">Rehabilitacja zawodowa i społeczna  osób niepełnosprawnych </t>
  </si>
  <si>
    <t>Wydatki bieżące w kwocie: 3.412.553,-zł:
1. Dotacje podmiotowe dla Zakładów Aktywności Zawodowej na dofinansowanie kosztów działalności obsługowo - rehabilitacyjnej - 2.532.553,-zł (w tym dla jednostek sektora finansów publicznych - § 2570 - 140.047,-zł oraz dla jednostek spoza sektora finansów publicznych - § 2580 - 2.392.506,-zł, w tym dla:
a) Zakładu Aktywności Zawodowej w Rymanowie Zdroju - 229.167,-zł,
b) Zakładu Aktywności Zawodowej w Nowej Sarzynie - 287.223,-zł,
c) Zakładu Aktywności Zawodowej w Woli Rafałowskiej - 216.945,-zł,
d) Zakładu Aktywności Zawodowej w Jarosławiu - 409.445,-zł,
e) Zakładu Aktywności Zawodowej w Woli Dalszej - 97.778,-zł
f) Zakładu Aktywności Zawodowej w Maliniu - 140.047,-zł,
g) Zakładu Aktywności Zawodowej w Woli Żyrakowskiej - 290.278,-zł,
h) Zakładu Aktywności Zawodowej w Starych Oleszycach - 161.945,-zł,
i) Zakładu Aktywności Zawodowej Nr 1 w Krośnie - 131.389,-zł,
j) Zakładu Aktywności Zawodowej Nr 2 w Krośnie - 192.501,-zł, 
k) Zakładu Aktywności Zawodowej w Rzeszowie ul. Rejtana 10 - 238.334,-zł,
l)  Zakładu Aktywności Zawodowej w Budach Głogowskich - 137.501,-zł.
2. Dotacje celowe dla jednostek spoza sektora finansów publicznych na realizację zadań wynikających z Wojewódzkiego Programu Na Rzecz Wyrównywania Szans Osób Niepełnosprawnych i Przeciwdziałania Ich Wykluczeniu Społecznemu na lata 2021-2030- § 2360 - 880.000,-zł.</t>
  </si>
  <si>
    <t>855</t>
  </si>
  <si>
    <t>Rodzina</t>
  </si>
  <si>
    <t>Karta Dużej Rodziny</t>
  </si>
  <si>
    <t>Wydatki bieżące: realizacja zadań wynikających z programu Wojewódzka Karta Dużej Rodziny - 4.312,-zł: § 4210 - 1.642-zł, § 4300 - 2.670,-zł.</t>
  </si>
  <si>
    <t xml:space="preserve">Wspieranie rodziny </t>
  </si>
  <si>
    <t>Wydatki bieżące: dotacje celowe dla jednostek spoza sektora finansów publicznych na zadania wynikające z Wojewódzkiego Programu Wspierania Rodziny i Systemu Pieczy Zastępczej - § 2360 - 275.000,-zł.</t>
  </si>
  <si>
    <t>Rodziny zastępcze</t>
  </si>
  <si>
    <t xml:space="preserve">Działalność ośrodków adopcyjnych </t>
  </si>
  <si>
    <t>Wydatki bieżące: utrzymanie Ośrodka Adopcyjnego będącego w strukturze Regionalnego Ośrodka Polityki Społecznej w Rzeszowie - 1.758.000,-zł, w tym na:
1) wynagrodzenia i składki od nich naliczane - 1.433.568,-zł w tym: § 4010 - 1.085.195,-zł, § 4040 - 111.218,-zł, § 4110 - 203.864,-zł, § 4120 -28.920,-zł, § 4710 - 4.371,-zł,
2) pozostałe wydatki bieżące - 317.377,-zł, w tym bieżące remonty i konserwacje  - § 4270 - 14.448,-zł.
3) świadczenia na rzecz osób fizycznych - § 3020 - 7.055,-zł.
Zadanie zlecone z zakresu administracji rządowej, finansowane z dotacji celowej z budżetu państwa.</t>
  </si>
  <si>
    <t xml:space="preserve">Działalność placówek opiekuńczo - wychowawczych </t>
  </si>
  <si>
    <t>Wydatki bieżące:
1) dotacje celowe dla jednostek spoza sektora finansów publicznych na prowadzenie regionalnych placówek opiekuńczo - terapeutycznych w 2023 r. - § 2360 - 6.751.955,-zł,
Zadanie ujęte w wykazie przedsięwzięć do WPF.
2) pozostałe wydatki bieżące przeznaczone na zakup materiałów biurowych - § 4210 - 1.232,-zł,
Źródłą finansowania:
- dotacja celowa z powiatów: 6.751.955,-zł,
- środki własne budżetu Województwa: 1.232,-zł.</t>
  </si>
  <si>
    <t>Wydatki bieżące: zabezpieczenie udzielonych poręczeń zaciągniętych kredytów i pożyczki przez szpitale - § 8030 - 16.085.733,-zł:
1) Wojewódzki Szpital im. Zofii Zamoyskich Tarnowskiej  w Tarnobrzegu - 727.795,-zł,
2) Kliniczny Szpital Wojewódzki Nr 1 im. Fryderyka Chopina w Rzeszowie - 3.272.728,-zł,
3) Kliniczny Szpital Nr 2 im. Św. Jadwigi Królowej w Rzeszowie - 6.227.273,-zł,
4) Wojewódzki Szpital Podkarpacki im. Jana Pawła II w  Krośnie - 1.680.000,-zł,
5) Wojewódzki Szpital im. Św. Ojca Pio w Przemyślu  - 3.522.728,-zł,
6) Wojewódzka Stacja Pogotowia Ratunkowego w Przemyślu - 655.209,-zł.</t>
  </si>
  <si>
    <r>
      <t xml:space="preserve">WYKAZ ZADAŃ BUDŻETOWYCH NA ROK 2023 
</t>
    </r>
    <r>
      <rPr>
        <b/>
        <sz val="14"/>
        <rFont val="Arial"/>
        <family val="2"/>
        <charset val="238"/>
      </rPr>
      <t>KANCELARIA ZARZĄDU</t>
    </r>
  </si>
  <si>
    <t>Plan wg. założeń na 2013r.</t>
  </si>
  <si>
    <t>%
(6:4)</t>
  </si>
  <si>
    <t>W 2021r. wydatki zaplanowane na dofinansowanie zadań  własnych realizowanych przez organizacje pozarządowe z udziałem środków zewnętrznych.
Uruchamiane w trakcie roku z rezerwy celowej.</t>
  </si>
  <si>
    <t>63003</t>
  </si>
  <si>
    <t>Urzędy Marszałkowskie</t>
  </si>
  <si>
    <r>
      <rPr>
        <sz val="12"/>
        <rFont val="Arial"/>
        <family val="2"/>
        <charset val="238"/>
      </rPr>
      <t>Wydatki bieżące: w</t>
    </r>
    <r>
      <rPr>
        <sz val="12"/>
        <color theme="1"/>
        <rFont val="Arial"/>
        <family val="2"/>
        <charset val="238"/>
      </rPr>
      <t>ydatki związane z bieżącą obsługą Zarządu Województwa Podkarpackiego - 110.000,-zł: § 4210 - 65.000,-zł, §</t>
    </r>
    <r>
      <rPr>
        <sz val="12"/>
        <color theme="1"/>
        <rFont val="Calibri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4300 - 45.000,-zł.</t>
    </r>
    <r>
      <rPr>
        <sz val="12"/>
        <color rgb="FFFF0000"/>
        <rFont val="Arial"/>
        <family val="2"/>
        <charset val="238"/>
      </rPr>
      <t xml:space="preserve">
</t>
    </r>
  </si>
  <si>
    <t xml:space="preserve">   - na programy finansowane z udziałem środków UE i  
     źródeł zagranicznych</t>
  </si>
  <si>
    <r>
      <t>Wydatki bieżące w kwocie 1.061.783,-zł:</t>
    </r>
    <r>
      <rPr>
        <b/>
        <sz val="12"/>
        <color theme="1"/>
        <rFont val="Arial CE"/>
        <charset val="238"/>
      </rPr>
      <t xml:space="preserve">
</t>
    </r>
    <r>
      <rPr>
        <sz val="12"/>
        <color theme="1"/>
        <rFont val="Arial CE"/>
        <charset val="238"/>
      </rPr>
      <t>1) zadania z zakresu promocji Województwa w ramach umów zawieranych z  osobami fizycznymi - 18.860,-zł: § 4110 - 600,-zł, § 4120 - 300,-zł, § 4170 - 17.960,-zł.
2) nagrody dla laureatów wyłonionych w konkursie pn. "NGO Wysokich Lotów" dla najlepszych organizacji działających na terenie województwa podkarpackiego" - § 4190 - 30.000,-zł,
3) zakup upominków okolicznościowych, materialów promocyjnych, produktów regionalnych, kartek świątecznych, grawertonów - § 4210 - 120.000,-zł,
4) koszty związane z organizacją posiedzeń Kapituły odznaki honorowej " Zasłużony dla Województwa Podkarpackiego" w związku z nadaniem odznaki honorowej "Zasłużony dla Województwa Podkarpackiego", wykonanie okolicznościowych grawertonów, pamiątkowych statuetek - § 4210 - 2.000,-zł,
5) organizacja i udział w konferencjach, spotkaniach, prezentacjach krajowych i zagranicznych oraz usług wykonania m.in. roll-upówupominków regionalnych, grawerowania, ścianek reklamowych  - § 4300 - 450.923,-zł, 
6) podejmowanie delegacji zagranicznych oraz przedstawicieli placówek dyplomatycznych - § 4300 -  50.000,- zł,
7) organizowanie spotkań,  objazdów studyjnych krajowych i zagranicznych dla przedstawicieli mediów - § 4300 - 30.000,- zł,
8) publikacje w mediach z zakresu promocji działań podejmowanych przez Urząd Marszałkowski oraz Zarząd Województwa Podkarpackiego, przygotowanie do druku i druk okazjonalnych publikacji - § 4300 - 25.000,- zł,
9)współorganizacja wydarzenia Sejmik Rehabilitacyjny Województwa Podkarpackiego  z Caritasem Diecezji Rzeszowskiej.  Koszty sejmiku związane są m.in. z wydaniem publikacji pokonferencyjnej –  § 4300 - 5.000, zł,
10) koszty tłumaczeń ustnych i tekstów na potrzeby współpracy międzynarodowej oraz tłumaczeń na potrzeby osób ze szczególnymi potrzebami - § 4380 - 30.000,-zł,
11) dotacja celowa dla Województwa Warmińsko-Mazurskiego na podstawie porozumienia na dofinansowanie zadań związanych z funkcjonowaniem Domu Polski Wschodniej w Brukseli - § 2330 - 300.000,-zł.
15) publikacje w mediach z zakresu promocji działań podejmowanych przez Urząd marszałkowski i Zarząd Województwa Podkarpackiego, w tym przygotowanie do druku i druk okazjonalnych publikacji - 75.000,-zł,
16) przygotowanie do druku i wydruk miesięcznika pn. "Podkarpacki Przegląd Samorządowy" - 45.000,-zł,
17) 
18) koszty tłumaczeń ustnych (spotkania, konferencje, seminaria) i pisemnych (korespondencja bieżąca, teksty specjalistyczne) - 30.000,-zł.</t>
    </r>
  </si>
  <si>
    <t>75079</t>
  </si>
  <si>
    <t>Nie zgłoszono potrzeb na 2023r.
W 2022 r. wydatki zaplanowane na realizację projektu  pn. "Skuteczny samorząd - transfer wiedzy i dobrych praktyk z Województwa Podkarpackiego dla przedstawicieli administracji Autonomicznej Prowincji Wojwodina (Serbia)" 
Zadanie finansowane z dotacji celowej z budżetu państwa.</t>
  </si>
  <si>
    <t>75084</t>
  </si>
  <si>
    <t>Funkcjonowanie wojewódzkich rad dialogu społecznego</t>
  </si>
  <si>
    <r>
      <rPr>
        <sz val="12"/>
        <color theme="1"/>
        <rFont val="Arial CE"/>
        <charset val="238"/>
      </rPr>
      <t>Wydatki bieżące: zapewnienie funkcjonowania Podkarpackiej Wojewódzkiej Rady Dialogu Społecznego w kwocie 254.000,-zł:, w tym:
1) wynagrodzenia i składki od nich naliczane oraz umowy zlecenia i o dzieło - 180.000,- zł: § 4010 - 148.780,-zł, § 4110 - 25.575,-zł, § 4120 - 3.645,-zł, § 4170 - 2.000,-zł,</t>
    </r>
    <r>
      <rPr>
        <b/>
        <sz val="12"/>
        <color theme="1"/>
        <rFont val="Arial CE"/>
        <charset val="238"/>
      </rPr>
      <t xml:space="preserve"> 
</t>
    </r>
    <r>
      <rPr>
        <sz val="12"/>
        <color theme="1"/>
        <rFont val="Arial CE"/>
        <charset val="238"/>
      </rPr>
      <t>2) pozostałe wydatki bieżące, tj. m.in. koszty organizacji posiedzeń Rady, podróże służbowe oraz szkolenia pracowników zaangażowanych we włąściwe funkcjonowanie Rady, zakup wyposażenia biurowego, koszty ekspertyz i opracowań - 67.000,-zł: § 4210 - 30.000,-zł, § 4220 - 1.000,-zł, § 4300 - 30.000,-zł, § 4390 - 2.000,-zł, § 4410 - 2.000,-zł,  § 4700 - 2.000,-zł,</t>
    </r>
    <r>
      <rPr>
        <sz val="12"/>
        <color rgb="FFFFC000"/>
        <rFont val="Arial CE"/>
        <charset val="238"/>
      </rPr>
      <t xml:space="preserve">
</t>
    </r>
    <r>
      <rPr>
        <sz val="12"/>
        <color theme="1"/>
        <rFont val="Arial CE"/>
        <charset val="238"/>
      </rPr>
      <t>3) zwrot kosztów dojazdu na posiedzenia dla członków Podkarpackiej Rady Dialogu Społecznego, oraz koszty związane z podróżami służbowymi członków Rady wykonujących zadania zlecone przez prezydium Rady - § 3030 - 7.000,-zł.</t>
    </r>
    <r>
      <rPr>
        <sz val="12"/>
        <color rgb="FFFFC000"/>
        <rFont val="Arial CE"/>
        <charset val="238"/>
      </rPr>
      <t xml:space="preserve">
</t>
    </r>
    <r>
      <rPr>
        <sz val="12"/>
        <color theme="1"/>
        <rFont val="Arial CE"/>
        <charset val="238"/>
      </rPr>
      <t xml:space="preserve">Zadanie zlecone z zakresu administracji rządowej finansowane z dotacji celowej z budżetu państwa. </t>
    </r>
  </si>
  <si>
    <r>
      <rPr>
        <sz val="12"/>
        <color theme="1"/>
        <rFont val="Arial CE"/>
        <charset val="238"/>
      </rPr>
      <t>Wydatki bieżące w kwocie 66.200,-zł:</t>
    </r>
    <r>
      <rPr>
        <b/>
        <sz val="12"/>
        <color theme="1"/>
        <rFont val="Arial CE"/>
        <charset val="238"/>
      </rPr>
      <t xml:space="preserve">
</t>
    </r>
    <r>
      <rPr>
        <sz val="12"/>
        <rFont val="Arial CE"/>
        <charset val="238"/>
      </rPr>
      <t>1) koszty organizacji Podkarpackiego Forum Obywatelskiego - 30.000,- zł: § 4210 - 15.000,-zł, § 4300 - 15.000,-zł, 
2) koszty organizacji spotkań członków Rady Działalności Pożytku Publicznego Województwa Podkarpackiego - § 4300  - 6.000,-zł,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3) koszty działań i tłumaczeń związanych ze spotkaniem Grupy Roboczej ds. Współpracy przygranicznej samorządu terytorialnego, działającej w ramach Polsko-Słowackiej Komisji Międzyrządowej ds. Współpracy Transgranicznej - 9.000,- zł: § 4300 - 5.000,-zł, § 4380 - 4.000,-zł,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4) koszty ekspertyzy i opracowań związanych z działalnością Rady Działalności Pożytku Publicznego Województwa Podkarpackiego - § 4390 - 1.000,-zł,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5) zwrot kosztów dojazdu na zebrania dla członków Rady Działalności Pożytku Publicznego Województwa Podkarpackiego - § 3030 - 5.200,- zł,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6) składka członkowska z tytułu przynależności Samorządu Województwa Podkarpackiego do Międzynarodowego Stowarzyszenia "Euromontana" - § 4540 - 15.000,-zł.</t>
    </r>
    <r>
      <rPr>
        <sz val="12"/>
        <color rgb="FFFF0000"/>
        <rFont val="Arial CE"/>
        <charset val="238"/>
      </rPr>
      <t xml:space="preserve">
</t>
    </r>
  </si>
  <si>
    <t>Nie zgłoszono potrzeb na 2023r.
W 2022r. wydatki zaplanowane na dofinansowanie zadań  własnych realizowanych przez organizacje pozarządowe z udziałem środków zewnętrznych.
Uruchamiane w trakcie roku z rezerwy celowej.</t>
  </si>
  <si>
    <t>85295</t>
  </si>
  <si>
    <t>Kultura i ochrona dziedzictwa narodowego</t>
  </si>
  <si>
    <t xml:space="preserve">Wydatki bieżące: wydatki związane z upamiętnianiem wydarzeń patriotyczno-religijnych mających na celu pielęgnowanie polskości oraz kształtowanie świadomości narodowej, obywatelskiej i kulturowej, a także tożsamości lokalnej - 37.250,-zł: § 4170 - 17.250,-zł, § 4210 - 12.000,-zł, § 4300 - 8.000,-zł. </t>
  </si>
  <si>
    <r>
      <t xml:space="preserve">WYKAZ ZADAŃ BUDŻETOWYCH NA ROK 2023
</t>
    </r>
    <r>
      <rPr>
        <b/>
        <sz val="14"/>
        <color theme="1"/>
        <rFont val="Arial"/>
        <family val="2"/>
        <charset val="238"/>
      </rPr>
      <t>DEPARTAMENT DRÓG I PUBLICZNEGO TRANSPORTU ZBIOROWEGO</t>
    </r>
  </si>
  <si>
    <t xml:space="preserve">Plan według uchwały budżetowej 2022r. </t>
  </si>
  <si>
    <t>11.</t>
  </si>
  <si>
    <t>60001</t>
  </si>
  <si>
    <t xml:space="preserve"> Krajowe pasażerskie przewozy kolejowe </t>
  </si>
  <si>
    <t>60002</t>
  </si>
  <si>
    <t xml:space="preserve"> Infrastruktura kolejowa </t>
  </si>
  <si>
    <r>
      <t xml:space="preserve">Wydatki majątkowe: </t>
    </r>
    <r>
      <rPr>
        <b/>
        <sz val="11.5"/>
        <rFont val="Arial"/>
        <family val="2"/>
        <charset val="238"/>
      </rPr>
      <t xml:space="preserve">
</t>
    </r>
    <r>
      <rPr>
        <sz val="11.5"/>
        <rFont val="Arial"/>
        <family val="2"/>
        <charset val="238"/>
      </rPr>
      <t xml:space="preserve">realizacja przez Urząd Marszałkowski Województwa Podkarpackiego w Rzeszowie projektu pn. "Budowa Podmiejskiej Kolei Aglomeracyjnej - PKA: budowa zaplecza technicznego" w ramach Programu Operacyjnego Infrastruktura i Środowisko na lata 2014-2020 - 100.555.545,-zł (§ 6050 - 59.741.840,-zł, § 6507 - 22.920.771,-zł, § 6059 - 12.892.934,-zł, § 6060 - 5.000.000,-zł).
Źródła finansowania:
- środki UE - 22.920.771,-zł,
- środki własne budżetu Województwa - 76.840.524,-zł,
- pomoc finansowa od innych JST - 794.250,-zł.
Zadanie ujęte w wykazie przedsięwzięć do WPF. </t>
    </r>
  </si>
  <si>
    <t>Krajowe pasażerskie przewozy autobusowe</t>
  </si>
  <si>
    <r>
      <t xml:space="preserve">Wydatki bieżące w kwocie 51.604.000,-zł:. </t>
    </r>
    <r>
      <rPr>
        <b/>
        <sz val="11.5"/>
        <rFont val="Arial"/>
        <family val="2"/>
        <charset val="238"/>
      </rPr>
      <t xml:space="preserve">
</t>
    </r>
    <r>
      <rPr>
        <sz val="11.5"/>
        <rFont val="Arial"/>
        <family val="2"/>
        <charset val="238"/>
      </rPr>
      <t xml:space="preserve">1) dotacja przedmiotowa na dopłaty do krajowych autobusowych przewozów pasażerskich z tytułu stosowania w tych przewozach ustawowych ulg - § 2630 - 43.604.000,-zł, 
2) dotacje celowe dla jednostek sektora finansów publicznych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 w kwocie 8.000.000,-zł, w tym: 
a) w § 2310 w kwocie 1.300.000,-zł dla gmin,
b) w § 2320 w kwocie 3.000.000,-zł dla powiatów,
c) w § 2800 w kwocie 3.700.000,-z dla związków gmin i związków powiatowo - gminnych.
Zadanie zlecone z zakresu administracji rządowej, finansowane z dotacji celowej z budżetu państwa. </t>
    </r>
  </si>
  <si>
    <t xml:space="preserve"> Lokalny transport zbiorowy </t>
  </si>
  <si>
    <r>
      <rPr>
        <sz val="11.5"/>
        <rFont val="Arial"/>
        <family val="2"/>
        <charset val="238"/>
      </rPr>
      <t>Wydatki bieżące w kwocie 260.000,-zł:</t>
    </r>
    <r>
      <rPr>
        <sz val="11.5"/>
        <color rgb="FFFF0000"/>
        <rFont val="Arial"/>
        <family val="2"/>
        <charset val="238"/>
      </rPr>
      <t xml:space="preserve">
</t>
    </r>
    <r>
      <rPr>
        <sz val="11.5"/>
        <rFont val="Arial"/>
        <family val="2"/>
        <charset val="238"/>
      </rPr>
      <t xml:space="preserve">1) "Analiza sytuacji rynkowej w krajowym transporcie drogowym" - § 4390 - 150.000,-zł.                                                                   
Zadanie ujęte w wykazie przedsięwzięć do WPF. 
2) "Usługi doradcze, opracowania, analizy i ekspertyzy w zakresie transportu zbiorowego" - § 4390 - 110.000,-zł.                 
</t>
    </r>
  </si>
  <si>
    <t xml:space="preserve">Drogi publiczne wojewódzkie </t>
  </si>
  <si>
    <t>Drogi publiczne powiatowe</t>
  </si>
  <si>
    <r>
      <t>Wydatki majątkowe w kwocie 1.060.926,-zł:</t>
    </r>
    <r>
      <rPr>
        <b/>
        <sz val="11.5"/>
        <rFont val="Arial"/>
        <family val="2"/>
        <charset val="238"/>
      </rPr>
      <t xml:space="preserve">
</t>
    </r>
    <r>
      <rPr>
        <sz val="11.5"/>
        <rFont val="Arial"/>
        <family val="2"/>
        <charset val="238"/>
      </rPr>
      <t>dotacja celowa na pomoc finansową (§ 6300) dla Powiatu Rzeszowskiego na realizację zadań pn.:
- „Rozbudowa łącznika autostrady A4 na odcinku od granicy miasta Rzeszowa do węzła Rzeszów – Północ – etap I” - 210.000,-zł,
- „Rozbudowa łącznika drogi ekspresowej S19 – drogi powiatowej na odcinku od węzła Rzeszów – Południe do drogi krajowej nr 19 – etap I” - 850.926,-zł.                                       
Zadania ujęte w wykazie przedsięwzięć do WPF pn.: „Dofinansowanie budowy łączników do węzłów autostrady i drogi ekspresowej, realizowanych przez powiaty na terenie Województwa Podkarpackiego".</t>
    </r>
  </si>
  <si>
    <t>4. Wydatki na programy finansowane z udziałem środków UE i źródeł   zagranicznych</t>
  </si>
  <si>
    <t>Drogi publiczne w miastach na prawach powiatu</t>
  </si>
  <si>
    <t>Drogi publiczne gminne</t>
  </si>
  <si>
    <t>Wydatki majątkowe: dotacja celowa na pomoc finansową dla Gminy Solina na realizację zadania pn. "Budowa kładki rowerowo - pieszej nad Jeziorem Solińskim" - § 6300 - 1.000.000,-zł.</t>
  </si>
  <si>
    <t>Drogi wewnętrzne</t>
  </si>
  <si>
    <t xml:space="preserve">Wydatki bieżące: realizacja zadań wynikających z ustawy o przewozie towarów niebezpiecznych tj. zapłata za usługę produkcji, personalizacji oraz dostawę spersonalizowanych blankietów zaświadczeń ADR potwierdzających uprawnienia do wykonywania przewozów drogowych towarów niebezpiecznych - § 4300 - 173.000,-zł.                                                                                                                                               
Zadanie zlecone z zakresu administracji rządowej, finansowane z dotacji celowej z budżetu państwa. 
</t>
  </si>
  <si>
    <t xml:space="preserve">
</t>
  </si>
  <si>
    <t xml:space="preserve">Wydatki bieżące: utrzymanie i naprawa infrastruktury promocyjnej zrealizowanego projektu pn.: "Trasy rowerowe w Polsce Wschodniej - promocja"  - § 4300 - 10.000,-zł.
  </t>
  </si>
  <si>
    <t>I. Wydatki bieżące: utrzymanie jednostki Podkarpackiego Zarządu Dróg Wojewódzkich w Rzeszowie w kwocie 31.060.845,-zł, z tego: 
1) wynagrodzenia i składki od nich naliczane - 25.240.695,-zł, 
2) pozostałe wydatki związane z funkcjonowaniem jednostki - 5.395.150-zł, w tym bieżące remonty i konserwacje budynków, ogrodzeń, samochodów i sprzętu - § 4270 - 746.500,- zł.
2) świadczenia na rzecz osób fizycznych - § 3020 - 425.000,-zł,
II. Wydatki majątkowe w kwocie 828.300,-zł:
1) Budowa obiektu socjalnego w m. Ożanna - etap II - § 6050 - 100.000,-zł,
2) Zaprojektowanie i wykonanie instalacji klimatyzacji w budynku RDW w Stalowej Woli - § 6050 - 60.000,-zł,
3) ETAP I dostosowania budynku PZDW w Rzeszowie do zapewnienia dostępności osobom ze szczególnymi potrzebami - § 6050 - 478.300,-zł,
4) Wdrożenie elektronicznego obiegu dokumentów oraz integracja EZD (Elektronicznego Zarządzania Dokumentacją) z centralnym systemem faktur elektronicznych i Zintegrowanym Systemem Informatycznym PZDW w Systemie Asseco Wapro - § 6050 - 90.000,-zł,
5) Zakup sprzętu komputerowego i oprogramowania dla potrzeb PZDW - § 6060- 100.000,-zł.</t>
  </si>
  <si>
    <r>
      <t xml:space="preserve">WYKAZ ZADAŃ BUDŻETOWYCH NA 2023R. 
</t>
    </r>
    <r>
      <rPr>
        <b/>
        <sz val="14"/>
        <rFont val="Arial"/>
        <family val="2"/>
        <charset val="238"/>
      </rPr>
      <t>DEPARTAMENT KULTURY I OCHRONY DZIEDZICTWA NARODOWEGO</t>
    </r>
  </si>
  <si>
    <t>Plan wg. założeń na 2013 r.</t>
  </si>
  <si>
    <t>%
(7:4)</t>
  </si>
  <si>
    <t>BEZPIECZEŃSTWO PUBLICZNE  I OCHRONA PRZECIPOŻAROWA</t>
  </si>
  <si>
    <t>Wydatki bieżące w kwocie 1.027.600,-zł:
1) dotacje dla organizacji pozarządowych na realizację zadań z zakresu kultury  - § 2360 - 770.000,- zł,
2) nagrody za osiągnięcia w dziedzinie twórczości artystycznej, upowszechniania kultury i ochrony dziedzictwa narodowego - 229.000,-zł,
a) nagrody  "Znak Kultury" za osiągnięcia w dziedzinie twórczości artystycznej, upowszechniania i ochrony dziedzictwa narodowego, w tym wspieranie upowszechniania kultury i ochrony dziedzictwa narodowego - § 3040 - 157.000,- zł,
b) nagrody dla laureatów inauguracyjnej edycji Konkursu fotograficznego „Podkarpacka Ikonosfera”, dedykowanego fotografikom podejmującym w swojej działalności tematykę związaną z regionem, realizowanego w ramach „Nagrody konkursowej” Marszałka Województwa Podkarpackiego - § 3040 - 15.000,-zł,
c) nagrody „Otwarta Przestrzeń Kultury” przyznawane twórcom indywidualnym lub zespołom artystycznym wyłonionym przez jurorów oceniających wykonawców biorących udział w konkursach, przeglądach, festiwalach w randze wojewódzkiej, ogólnopolskiej lub międzynarodowej - § 3040 - 50.000,-zł,
d) nagroda honorowa w formie statuetki i dyplomu "Mecenas kultury podkarpackiej" - za wspieranie instytucji kultury w dziedzinie ochrony dziedzictwa narodowego i realizacji przedsięwzięć kulturalnych - § 4300 - 7.000,-zł
3) stypendia przyznawane osobom zajmującym się twórczością artystyczną, upowszechnianiem i ochroną dóbr kultury - § 3250  - 28.600,-zł.</t>
  </si>
  <si>
    <t>92106</t>
  </si>
  <si>
    <t>Teatry</t>
  </si>
  <si>
    <t xml:space="preserve">I. Wydatki bieżące w kwocie 8.307.581,-zł:
1) dotacja podmiotowa dla Teatru im. Wandy Siemaszkowej w Rzeszowie na dofinansowanie działalności bieżącej w zakresie realizowanych zadań statutowych (w tym na utrzymanie i remonty obiektów) - § 2480 - 7.207.581,-zł, 
2) dotacja celowa dla Teatru im. Wandy Siemaszkowej w Rzeszowie na realizację wskazanych zadań i programów -  § 2800 - 1.100.000,-zł, w tym:
a) Obchody Międzynarodowego Dnia Teatru z premierą pt. "Don Kichot" - 300.000,-zł,
b) 06. Międzynarodowy Festiwal Sztuk TRANS/MIJE - TRÓJMORZE'23 - 650.000,-zł,
c) Scena Wędrowna - 150.000,-zł. 
 II. Wydatki majątkowe: dotacja celowa dla Teatru im. Wandy Siemaszkowej w Rzeszowie  - § 6220 - 4.886.650,-zł, z tego na realizację zadań pn.:
1) Modernizacja dachu i elewacji budynku Małej Sceny - 480.000,-zł,
2) Modernizacja systemu klimatyzacji - 100.000,-zł,
3) Dostosowanie budynków Teatru im. Wandy Siemaszkowej do obowiązujących przepisów ochrony pożarowej - 3.075.000,-zł,
4) Przygotowanie kompleksowej wielobranżowej dokumentacji architektoniczno-budowlanej dotyczącej budowy Nowej Sceny Teatru - 1.231.650,-zł.
Zadanie ujęte w wykazie przedsięwzięć do WPF. </t>
  </si>
  <si>
    <t>92108</t>
  </si>
  <si>
    <t>Filharmonie, orkiestry, chóry i kapele</t>
  </si>
  <si>
    <r>
      <t xml:space="preserve">I. Wydatki bieżące w kwocie 15.941.229,-zł:
1) dotacja podmiotowa na dofinansowanie działalności bieżącej w zakresie realizowanych zadań statutowych (w tym na utrzymanie i remonty obiektów) - § 2480 - 14.934.024,-zł, z tego dla:
a) Wojewódzkiego Domu Kultury w Rzeszowie - 11.282.284,-zł, w tym na:
- działalność bieżącą Podkarpackiej Komisji Filmowej - 535.000,-zł,
- współorganizację imprez kulturalnych - 500.000,-zł, 
- Podkarpacki Informator Kulturalny - portal internetowy - 100.000,-zł,
- wydatki związane z utrzymaniem podkarpackiego centrum nauki - 4.500.000,-zł, w tym realizowane w ramach przedsięwzięcia pn. "Utrzymanie podkarpackiego centrum nauki" ujętego w WPF - 4.000.000,-zł,
- Festiwal Psalmów Dawidowych - 250.000,-zł,
b) Centrum Kulturalnego w Przemyślu - 3.651.740,-zł,  w tym na:
-  pokrycie kosztów prac redakcyjnych Portalu Muzeum Dziedzictwa Kresów Dawnej Rzeczypospolitej - 219.400,-zł,
- poprawę struktury tynków ściany frontowej, naprawa gzymsów od ul. A. Dworskiego wraz z malowaniem - 250.000,-zł.
2) dotacja celowa na realizację wskazanych zadań i programów - § 2800 - 1.007.205,-zł, z tego dla:
a) Wojewódzkiego Domu Kultury w Rzeszowie - 627.205,-zł, w tym:
- Letnia Szkoła Gry na Cymbałach - 50.000 zł,
- IX Podkarpacka Jesień Jazzowa - 50.000 zł,
- Otwarcie Podkarpackiego Szlaku Filmowego w Jarosławiu - 70.000 zł,
- Festiwal Filmów dla Dzieci i Młodzieży KINOLUB - 40.000 zł,
- Festiwal KINO VIA CARPATIA - 50.000 zł,
- XIX Światowy Festiwal Polonijnych Zespołów Folklorystycznych - 300.000 zł,
- XX Międzynarodowy Niekonwencjonalny Konkurs Fotograficzny "Foto Odlot" - 50.000,-zł,
- GreenFilmTourism -  17.205,-zł
Zadanie ujęte w wykazie przedsięwzięć do WPF.
b) Centrum Kulturalnego w Przemyślu - 380.000,- zł, w tym:
- Międzynarodowy Festiwal Jazzowy „Jazz bez…" - 50.000 zł,
- 44. Biesiada Teatralna – Konfrontacje Zespołów Teatralnych Małych Form w Horyńcu Zdroju, reminiscencje horynieckie, warsztaty - 70.000 zł,
- 44. Ogólnopolski Festiwal Kapel Folkloru Miejskiego im. Jerzego Janickiego - 30.000 zł,
- realizacja projektów popularyzujących i interpretujących dziedzictwo regionalne Podkarpacia i Kresów Dawnej Rzeczypospolitej - 200.000 zł,
- CK JAZZ - 30.000 zł.
II. Wydatki majątkowe w kwocie 3.665.538,-zł: 
1) dotacja celowa dla Wojewódzkiego Domu Kultury w Rzeszowie - 3.000.538,-zł, z tego na:
a) zakup i modernizacja mobilnego sprzętu oświetleniowego oraz audiowizualnego " - </t>
    </r>
    <r>
      <rPr>
        <sz val="12"/>
        <color theme="1"/>
        <rFont val="Arial"/>
        <family val="2"/>
        <charset val="238"/>
      </rPr>
      <t>§</t>
    </r>
    <r>
      <rPr>
        <sz val="12"/>
        <color theme="1"/>
        <rFont val="Arial CE"/>
        <charset val="238"/>
      </rPr>
      <t xml:space="preserve"> 6220 - 200.000,-zł,
b) Podkarpacką Kronikę Filmową - § 6220 - 80.000,-zł,
c) dostawę i montaż klimatyzatorów w budynku WDK w Rzeszowie – § 6220 - 270.000,-zł,
d) zakup samochodu dostawczego do 3,5 tony - § 6220 - 300.000,-zł.
e) realizację zadania pn. Utworzenie podkarpackiego centrum nauki realizowanego w ramach Regionalnego Programu Operacyjnego Województwa Podkarpackiego na lata 2014-2020 - 450.000,-zł: § 6220 - 100.000,-zł, </t>
    </r>
    <r>
      <rPr>
        <sz val="12"/>
        <color theme="1"/>
        <rFont val="Calibri"/>
        <family val="2"/>
        <charset val="238"/>
      </rPr>
      <t>§</t>
    </r>
    <r>
      <rPr>
        <sz val="12"/>
        <color theme="1"/>
        <rFont val="Arial CE"/>
        <charset val="238"/>
      </rPr>
      <t xml:space="preserve"> 6229 - 350.000,-zł. 
Zadanie ujęte w wykazie przedsięwzięć do WPF WP.
f) realizację zadania pn. Opracowanie kompleksowej dokumentacji projektowej dla inwestycji: Rozbudowa i przebudowa budynku WDK w Rzeszowie wraz z zagospodarowaniem skweru im. G. Gęsickiej i budową parkingów od strony południowej - § 6220 - 500.000,-zł,
Zadanie ujęte w wykazie przedsięwzięć do WPF WP. 
g) realizację zadania pn. Podkarpacki Regionalny Fundusz Filmowy - wsparcie Produkcji Filmowej - § 6220 - 1.200.538,-zł,
Zadanie ujęte w wykazie przedsięwzięć do WPF WP. 
2)  dotacja celowa dla Centrum  Kulturalnego w Przemyśl - § 6220 - 665.000,-zł, z tego na:
a) zakup oświetlenia scenicznego Sali widowiskowej  - 350.000,
b) zakup nagłośnienia scenicznego  - 300.000,-zł,
c) zakup zapory sieciowej FIREWALL  - 15.000,-zł. 
 </t>
    </r>
  </si>
  <si>
    <t>92110</t>
  </si>
  <si>
    <t>Galerie i biura wystaw artystycznych</t>
  </si>
  <si>
    <r>
      <rPr>
        <sz val="12"/>
        <color theme="1"/>
        <rFont val="Arial CE"/>
        <charset val="238"/>
      </rPr>
      <t>I. Wydatki bieżące: dotacja podmiotowa dla Galerii Sztuki Współczesnej w Przemyślu na dofinansowanie działalności bieżącej w zakresie realizowanych zadań statutowych (w tym na utrzymanie i remonty obiektów) - § 2480 -754.514,-zł,
II. Wydatki majątkowe: dotacja celowa dla Galerii Sztuki Współczesnej w Przemyślu z przeznaczeniem na zakup nowego oszczędnego oświetlenia sal ekspozycyjnych - § 6220 - 80.000,-zł.</t>
    </r>
    <r>
      <rPr>
        <sz val="12"/>
        <color rgb="FFFF0000"/>
        <rFont val="Arial CE"/>
        <charset val="238"/>
      </rPr>
      <t xml:space="preserve">
</t>
    </r>
  </si>
  <si>
    <t>92114</t>
  </si>
  <si>
    <t>Pozostałe instytucje kultury</t>
  </si>
  <si>
    <t>I. Wydatki bieżące w kwocie 2.595.371,-zł:
1) dotacja podmiotowa dla Arboretum i Zakładu Fizjografii w Bolestraszycach na dofinansowanie działalności bieżącej w zakresie realizowanych zadań statutowych (w tym na utrzymanie i remonty obiektów) - § 2480 - 2.540.371,-zł, w tym remont centralnego ogrzewania w budynku - Dwór Michałowskiego - 75.000,-zł,
2) dotacja celowa dla Arboretum i Zakładu Fizjografii w Bolestraszycach na realizację wskazanych zadań i programów - § 2800 - 55.000,-zł, w tym na:
- XX Międzynarodowy Plener Artystyczny Wiklina w Arboretum – 40.000,-zł,
- XII Międzynarodowy Festiwal Derenia – 15.000,-zł.
II. Wydatki majątkowe: dotacja celowa dla Arboretum i Zakładu Fizjografii w Bolestraszycach - § 6220 - 2.356.800,-zł na realizację zadań pn.:
- Modernizacja szklarni - 650.500,-zł,
- Budowa wiat parkingowych i fotowoltaiki – 797.000 ,-zł,
- Rozbudowa linii energetycznej niskiego napięcia - 81.300,-zł,
- Rozbudowa i modernizacja ogrodzenia - 115.500,-zł,
- Modernizacja budynków Dworu Michałowskiego i Oficyny Dużej - 77.000,-zł,
- Rozbudowa woliery dla pokazowego ptactwa ozdobnego - 120.000,-zł,
- Modernizacja budynku hydroforni - 400.000,-zł,
- Budowa placu zabaw dla dzieci - 34.200,-zł,
- Rozbudowa alejek ogrodowych - 81.300,-zł.</t>
  </si>
  <si>
    <r>
      <t xml:space="preserve">I. Wydatki bieżące w kwocie 10.896.470,-zł.
1) dotacja podmiotowa dla Wojewódzkiej i Miejskiej Biblioteki Publicznej w Rzeszowie na dofinansowanie działalności bieżącej w zakresie realizowanych zadań statutowych (w tym na utrzymanie i remonty obiektów) - </t>
    </r>
    <r>
      <rPr>
        <sz val="12"/>
        <color theme="1"/>
        <rFont val="Arial"/>
        <family val="2"/>
        <charset val="238"/>
      </rPr>
      <t>§</t>
    </r>
    <r>
      <rPr>
        <sz val="12"/>
        <color theme="1"/>
        <rFont val="Arial CE"/>
        <charset val="238"/>
      </rPr>
      <t xml:space="preserve"> 2480 - 10.781.470,-zł, w tym na bieżącą konserwację elewacji i malowanie okien oraz umieszczenie napisu i logo biblioteki na elewacji budynku - 382.000,-zł
2) dotacja celowa dla Wojewódzkiej i Miejskiej Biblioteki Publicznej w Rzeszowie na realizację zadań i programów - § 2800 - 115.000,-zł, w tym:
a) Dyskusyjne Kluby Książki – 30.000,-zł,
b) realizację zadania pn. Wykonywanie zadań powiatowej biblioteki publicznej dla Powiatu Rzeszowskiego 85.000,-zł
Źródła finansowania:
a) budżet Miasta Rzeszowa - 4.528.222,-zł,
b) budżet Powiatu Rzeszowskiego - 85.000.-zł,
c) środki własne budżetu województwa - 6.283.248,-zł.
2. Wydatki majątkowe: dotacja celowa dla Wojewódzkiej i Miejskiej Biblioteki Publicznej w Rzeszowie na realizację zadania pn. Modernizacja bibliotek i poprawa stanu infrastruktury informatycznej wojewódzkich placówek udostępniania w celu polepszenia standardu obsługi użytkowników i bezpieczeństwa pracy - § 6220 - 72.100,-zł.</t>
    </r>
  </si>
  <si>
    <t>92118</t>
  </si>
  <si>
    <t>Muzea</t>
  </si>
  <si>
    <t>I. Wydatki bieżące w kwocie 36.815.746,-zł:
1) dotacja podmiotowa na dofinansowanie działalności bieżącej w zakresie realizowanych zadań statutowych (w tym na utrzymanie i remonty obiektów)  - § 2480 - 36.166.336,-zł, dla: 
a) Muzeum – Zamek w Łańcucie – 7.470.136,- zł, w tym remont instalacji odgromowej budynku Powozowni - 100.000.-zł
b) Muzeum Okręgowego w Rzeszowie – 5.185.261,- zł, w tym:
- remont skrzydła zachodniego i południowego budynku Muzeum przy ul. 3 Maja 19. Etap IV - 684.474,-zł,
- wykonanie projektu budowlanego remontu budynku kuźni wchodzącej w skład Izby Pamięci Juliana Przybosia w Gwoźnicy Górnej, wraz z inwentaryzacją stanu zachowania - 20.000,-zł,
c) Muzeum Podkarpackiego w Krośnie – 5.645.806,- zł, w tym na;
- remont 2 odcinków zrekonstruowanych wczesnośredniowiecznych wałów obronnych usytuowanych na zabytkowym grodzisku Wały Królewskie w Trzcinicy - 200.000,-zł,
- malowanie barierek schodów prowadzących na grodzisko i na wałach - 50.000,-zł,
- remont przewodu kominowego w kotłowni - 5.000,-zł,
d) Muzeum Kultury Ludowej w Kolbuszowej – 3.811.617,- zł, w tym na:
- realizację  zadania pn. Prowadzenie jako wspólnej instytucji kultury Województwa Podkarpackiego i Ministra Rolnictwa i Rozwoju Wsi Muzeum Kultury  Ludowej, ujętego w wykazie przedsięwzięć do  WPF - 3.004.690,-zł, 
- remont zagrody z Markowej (Szylarów) - 40.000,-zł,
e) Muzeum Narodowego Ziemi Przemyskiej w Przemyślu – 4.944.901,-zł,</t>
  </si>
  <si>
    <t>f) Muzeum Budownictwa Ludowego w Sanoku - 5.503.116,-zł, w tym na wymianę poszyć dachowych: chałupa z Królika Polskiego i Pielgrzymki oraz maneżu z Zagórzan - Park Etnograficzny w Sanoku - 85.000,-zł,
g) Muzeum Marii Konopnickiej w Żarnowcu – 1.416.340,- zł, w tym na remont Dworku Marii Konopnickiej- 200.000,-zł,
h) Muzeum Polaków Ratujących Żydów podczas II wojny światowej im. Rodziny Ulmów w Markowej - 287.734,-zł, 
i) Muzeum Historyczne w Sanoku - 1.251.425,-zł,
j) Muzeum Kresów w Lubaczowie - 650.000,-zł.
Zadanie ujęte w wykazie przedsięwzięć do WPF.
2) dotacja celowa dla instytucji kultury na realizację wskazanych zadań i programów - § 2800 - 649.410,-zł, z tego dla:
a) Muzeum Okręgowego w Rzeszowie - 159.110,-zł na:
- organizację wystawy czasowej w budynku głównym Muzeum Okręgowego w Rzeszowie przy ul. 3 Maja 19 „Secesja - stylowa jedność sztuk" - 53.660,-zł,
- wydanie drukiem wydawnictwa pokonferencyjnego „Lasowiacy. Znaki przeszłości - współczesna narracje i konteksty" - 55.950,-zł,
- realizację zadania pn. EtnoPodkarpackie. Kontynuacja prac badawczych na Podkarpaciu - 49.500,-zł,
b) Muzeum Podkarpackiego w Krośnie - 300.000 zł na: 
- realizację zadania pn. Karpacki Festiwal Archeologiczny Dwa Oblicza Trzcinica 2023 - 150.000 zł,
- realizacje zadania pn. Archiwum Zamku Kamieniec - 150.000 zł.
c) Muzeum Kultury Ludowej w Kolbuszowej 60.300 zł na realizację zadania pn. Las w życiu i kulturze mieszkańców Rzeszowszczyzny.
d) Muzeum Budownictwa Ludowego w Sanoku - 80.000 zł na:
- organizację „Jarmarku Folklorystycznego” - 40.000,-zł,
- organizację Festiwalu „Karpaty zaklęte w drewnie” - 40.000,-zł.
e) Muzeum Marii Konopnickiej w Żarnowcu - 50.000 zł na realizację zadania pn. Prezentacja widowiska teatralnego „Podróże z Konopnicką” opartego na utworach poetki z publikacja i wystawą.</t>
  </si>
  <si>
    <t xml:space="preserve">II. Wydatki majątkowe: dotacje celowe dla instytucji kultury - § 6220 - 5.328.755,-zł, z tego dla:
1) Muzeum Okręgowego w Rzeszowie - 500.000,-zł na realizację zadań pn. :
- Opracowanie dokumentacji projektowej wraz z uzyskaniem wszystkich niezbędnych pozwoleń na wykonanie nowego przyłącza cieplnego wysokich parametrów siedziby głównej Muzeum Okręgowego w Rzeszowie przy ul. 3 Maja 19 do miejskiej sieci ciepłowniczej - 80.000,-zł,
- zakup niezbędnego sprzętu elektronicznego w celu poprawy jakości infrastruktury kultury dla  realizacji zadań statutowych oraz administracyjnych w Muzeum Okręgowym w Rzeszowie  - 300.000,-zł,
- zakup muzealiów - 120.000,-zł, 
2) Muzeum Podkarpackiego w Krośnie - 328.000,-zł na realizację zadania pn.:
- zakup unikatowych eksponatów - 213.000,zł,
- Sto lat Krośnieńskich Hut Szkła - 90.000,-zł,
- zakup serwera -  25.000,-zł,   
3) Muzeum Kultury Ludowej w Kolbuszowej - 1.095.000,-zł na realizację zadań pn.: </t>
  </si>
  <si>
    <t>a) Budowa zespołu obiektów Parku Etnograficznego Muzeum Kultury Ludowej w Kolbuszowej (strefa zaplecza "A"): zestawienie do stanu surowego otwartego Rządcówki z Rudnej Wielkiej  – 835.000,-zł,
b) Rozbudowa sektora rzeszowskiego - uzupełnienie zagrody z Budziwoja, przeniesienie wozówki i spichlerza pp Skałów z Zaczernia – 100.000,-zł,  
c) zakup muzealiów – 50.000,-zł, 
d) Doposażenie stolarni Parku Etnograficznego MKL w Kolbuszowej – 110.000,-zł,
4) Muzeum Narodowe Ziemi Przemyskiej w Przemyślu w kwocie - 1.710.000,-zł na realizację zadań pn.:
- zakup muzealiów - 110.000,-zł,
- Opracowanie dokumentacji projektowej dla zadania "Adaptacja dwóch budynków przy ulicy Rogozińskiego 30 w  Przemyślu na magazyny muzealne" - 1.600.000,-zł,
5) Muzeum Budownictwa Ludowego w Sanoku w kwocie 1.500.755,-zł na realizację zadań pn.:
a) Modernizacja systemu technologii informatycznej w Muzeum Budownictwa Ludowego w Sanoku - 65.000 zł
b) System klimatyzacyjny w pomieszczeniach biurowych i użyteczności publicznej  – 45.000,-zł,
c) Rozbudowa, przebudowa i nadbudowa budynku magazynowego oraz zmiana sposobu użytkowania części budynku administracyjnego Muzeum Budownictwa Ludowego w Sanoku - 1.390.755 zł.
Zadanie ujęte w wykazie przedsięwzięć do WPF. 
6) Muzeum Marii Konopnickiej w Żarnowcu w kwocie 95.000,-zł na realizację zadań  pn.:
a) zakup sprzętu i wyposażenia do ochrony obiektów i działalności - 35.000 zł;
b) zakup muzealiów - 60.000,-zł,
7) Muzeum Polaków Ratujących Żydów podczas II wojny światowej im. Rodziny Ulmów w Markowej w kwocie 100.000 zł na realizację zadania pn. Modernizacja ekspozycji stałej i sali wystaw czasowych.</t>
  </si>
  <si>
    <r>
      <t xml:space="preserve">Wydatki bieżące: dotacja celowa na prace konserwatorskie, restauratorskie lub roboty budowlane przy zabytkach wpisanych do rejestru zabytków położonych na obszarze Województwa Podkarpackiego - </t>
    </r>
    <r>
      <rPr>
        <sz val="12"/>
        <color theme="1"/>
        <rFont val="Arial"/>
        <family val="2"/>
        <charset val="238"/>
      </rPr>
      <t>§</t>
    </r>
    <r>
      <rPr>
        <sz val="12"/>
        <color theme="1"/>
        <rFont val="Arial CE"/>
        <charset val="238"/>
      </rPr>
      <t xml:space="preserve"> 2720 - 4.400.000,-zł.
</t>
    </r>
  </si>
  <si>
    <t>4. Wydatki na programy finansowane z udziałem środków     UE i źródeł zagranicznych</t>
  </si>
  <si>
    <r>
      <t xml:space="preserve">I. Wydatki bieżące w kwocie 1.665.320,-zł.
1) wynagrodzenia bezosobowe wraz z pochodnymi na realizację zadań z zakresu kultury - 147.300,-zł: </t>
    </r>
    <r>
      <rPr>
        <sz val="12"/>
        <color theme="1"/>
        <rFont val="Arial"/>
        <family val="2"/>
        <charset val="238"/>
      </rPr>
      <t>§ 4110 - 11.224,-zł, § 4120 - 1.149,-zł, § 4170 - 134.927,-zł, w tym na realizacją zadania pn. "Prowadzenie działań na rzecz ochrony i popularyzacji dziedzictwa kresów, w tym utrzymanie i rozwój Portalu Muzeum Dziedzictwa Kresów Dawnej Rzeczypospolitej: 100.000 zł: § 4110 - 7.620,-zł, § 4120 - 780,-zł, § 4170 - 91.600,-zł,</t>
    </r>
    <r>
      <rPr>
        <sz val="12"/>
        <color theme="1"/>
        <rFont val="Arial CE"/>
        <charset val="238"/>
      </rPr>
      <t xml:space="preserve">
2) zakup usług - § 4300 - 1.509.970,- zł,  w tym na: 
a) współorganizację na zasadach kontynuacji Festiwalu Dziedzictwa Kresów 2023 - 100.000,-zł,
b) organizację akcji promocyjno-popularyzatorskiej pn. "PODKARPACKIE.ART"  zakładającej inicjowanie przedsięwzięć z zakresu ochrony dziedzictwa kulturowego regionu skierowanych do młodych podkarpackich artystów - 85.000,-zł,
c) współorganizację 21. edycji Koncertu Jednego Serca Jednego Ducha, organizowanego  corocznie w dniu Bożego Ciała w Parku Sybiraków w Rzeszowie - 80.000,-zł,  
d) kontynuację zadania pn. "Przestrzeń Dziedzictwa" polegającego na stworzeniu na terenie województwa podkarpackiego murali tematycznych dedykowanych kulturze i dziedzictwu narodowemu - 65.000,-zł,
e) realizację zadania pn. "Niematerialne Podkarpackie" dedykowanego identyfikacji, ochronie i popularyzacji niematerialnego dziedzictwa kulturowego regionu - 50.000,-zł,
f) współorgniazację na zasadach kontynuacji Festiwalu "Pieśń Naszych Korzeni" w Jarosławiu - 50.000,-zł, 
g) organizację i współorgnizację przedsięwzięć mających na celu wspieranie aktywności kulturalnej mieszkańców województwa podkarpackiego, zwiekszenie dostepności do dóbr kultury oraz popularyzacji dziedzictwa kulturowego, w tym m.in. organizacja wystaw, sympozjów, konferencji, koncertów, projektów edukacyjnych w różnych rejonach województwa podkarpackiego w porozumieniu z lokalnymi partnerami - 37.470,-zł,  
h) organizację Konkursu fotograficznego "Podkarpacka Ikonosfera" -  10.000,-zł,
i) realizację zadań z zakresu popularyzacji kultury i dziedzictwa narodowego w internecie, w tym poprzez dedykowane kanały mediów społecznościowych - 4.000,-zł,
j)organizację narad rocznych, obrad komisji konkursowych, posiedzeń komitetów sterujących i innych spotkań związanych z realizacją zadań i kształtowaniem polityki kulturalnej samorządu województwa, w tym spotkania dla nagrodzonych przez Zarząd Województwa Podkarpackiego za osiągnięcia w dziedzinie twórczości artystycznej, upowszechniania i ochrony kultury - 15.000,-zł,
k) Europejskie Dni Dziedzictwa - 115.000,-zł,
l) realizacja zadania pn. "Prowadzenie działań na rzecz ochrony i popularyzacji dziedzictwa kresów, w tym utrzymanie i rozwój Poratlu Muzeum Dziedzictwa Kresów Dawnej Rzeczypospolitej - 448.500,-zł,
ł) III Festiwal Kultury Lasowiackiej 2023 - 450.000,-zł,
3) zakupy związane z realizacją przedsięwzięć kulturalnych, w tym zakup sprzętu niezbędnego do ich realizacji oraz materialnych form uznania dla uczestników przesięwzięć kulturalnych i kwiatów wręczanych podczas znaczących wydarzeń artystycznych - § 4210 - 8.050,-zł.
</t>
    </r>
  </si>
  <si>
    <r>
      <t xml:space="preserve">WYKAZ ZADAŃ BUDŻETOWYCH NA 2023 R.
</t>
    </r>
    <r>
      <rPr>
        <b/>
        <sz val="14"/>
        <rFont val="Arial"/>
        <family val="2"/>
        <charset val="238"/>
      </rPr>
      <t>DEPARTAMENT PROMOCJI, TURYSTYKI I WSPÓŁPRACY GOSPODARCZEJ</t>
    </r>
  </si>
  <si>
    <r>
      <t xml:space="preserve">Wydatki bieżące w kwocie 2.790.565,-zł:
</t>
    </r>
    <r>
      <rPr>
        <sz val="12"/>
        <rFont val="Arial"/>
        <family val="2"/>
        <charset val="238"/>
      </rPr>
      <t>1) dotacje celowe dla organizacji pozarządowych na powierzenie i dofinansowanie zadań z zakresu turystyki w obszarach wynikających z zapisów Strategii rozwoju i komunikacji marketingowej turystyki województwa podkarpackiego na lata 2020-2025 - § 2360 - 1.568.600,-zł,
2) promocja Wschodniego Szlaku Rowerowego Green Velo oraz turystki rowerowej województwa Podkarpackiego - 471.965,-zł: §  4210 - 171.965,-zł, § 4300 - 300.000,-zł,</t>
    </r>
    <r>
      <rPr>
        <sz val="12"/>
        <color rgb="FFFF0000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3) składka członkowska dla Podkarpackiej Regionalnej Organizacji Turystycznej - § 4430 - 750.000,-zł.</t>
    </r>
    <r>
      <rPr>
        <sz val="12"/>
        <color theme="1"/>
        <rFont val="Arial"/>
        <family val="2"/>
        <charset val="238"/>
      </rPr>
      <t xml:space="preserve">
</t>
    </r>
  </si>
  <si>
    <t>Administracja publiczna</t>
  </si>
  <si>
    <t xml:space="preserve">Urzędy marszałkowskie </t>
  </si>
  <si>
    <t xml:space="preserve">Wydatki bieżące: realizacja przez Urząd Marszałkowski Województwa Podkarpackiego projektu pn. "Wsparcie procesu wdrażania RPO WP poprzez działania o charakterze informacyjno-promocyjnym, edukacyjnym i integracyjnym" w ramach Pomocy Technicznej REACT EU RPO WP na lata 2014-2020 - 4.152.941,- zł.
Źródła finansowania:
- środki budżetu państwa na finansowanie - 3.530.000,- zł,
- środki własne budżetu Województwa - 622.941,- zł.
Zadanie ujęte w wykazie przedsięwzięć do WPF. </t>
  </si>
  <si>
    <t>75046</t>
  </si>
  <si>
    <t>Komisje egzaminacyjne</t>
  </si>
  <si>
    <t xml:space="preserve">Wydatki bieżące w kwocie 20.000,-zł:
1) wynagrodzenia i składki od nich naliczane dla członków komisji egzaminacyjnych  przewodników górskich, oceniających znajomość języka obcego dla przewodników górskich oraz członków zespołów oceniających obiekty hotelarskie  - 11.270,- zł: § 4110 - 700,-zł, § 4120 - 140,-zł, § 4170 - 10.430,-zł,
2) koszty związane z organizacją egzaminów oraz kategoryzacją obiektów hotelarskich (m.in. zakup materiałów biurowych, usługi introligatorskie i transportowe) - 8.730,- zł: § 4210 - 3.500,-zł, § 4300 - 5230,-zł.
Zadanie zlecone z zakresu administracji rządowej finansowane z dotacji celowej z budżetu państwa. 
</t>
  </si>
  <si>
    <t xml:space="preserve">Nie zgłoszono potrzeb na 2023r.
W 2022 r. wydatki zaplanowane na koszty organizacji XXXIII edycji konferencji Europa Karpat.
</t>
  </si>
  <si>
    <t>Finansowanie wydatków w 2010 r.</t>
  </si>
  <si>
    <t>Wydatki ogółem - 129.970.678,- zł, w tym:</t>
  </si>
  <si>
    <t xml:space="preserve"> - wydatki bieżące - 110.916.889,-zł, z tego finansowane z dotacji - 2.791.235,-zł, ze środków własnych - 94.018.753,-zł, ze środków POKL - 14.106.901,- zł.</t>
  </si>
  <si>
    <t xml:space="preserve"> - wydatki majątkowe - 19.053.789,- zł, z tego finansowane z dotacji - 0,- zł, ze środków własnych - 19.029.670,- zł, ze środków POKL - 24.119,- zł.</t>
  </si>
  <si>
    <t>Subwencja oświatowa wynosi 47.771.045,- zł.</t>
  </si>
  <si>
    <r>
      <t xml:space="preserve">WYKAZ ZADAŃ BUDŻETOWYCH NA 2023 R.
</t>
    </r>
    <r>
      <rPr>
        <b/>
        <sz val="14"/>
        <rFont val="Arial"/>
        <family val="2"/>
        <charset val="238"/>
      </rPr>
      <t>DEPARTAMENT ROZWOJU REGIONALNEGO</t>
    </r>
  </si>
  <si>
    <t>Plan wg. uchwały budżetowej na 2022 r.</t>
  </si>
  <si>
    <t xml:space="preserve">Plan na 2023 r. </t>
  </si>
  <si>
    <t>71003</t>
  </si>
  <si>
    <t>Biura planowania przestrzennego</t>
  </si>
  <si>
    <t>4480</t>
  </si>
  <si>
    <t>71004</t>
  </si>
  <si>
    <t>Plany zagospodarowania przestrzennego</t>
  </si>
  <si>
    <r>
      <rPr>
        <u/>
        <sz val="12"/>
        <rFont val="Arial CE"/>
        <charset val="238"/>
      </rPr>
      <t>Wydatki bieżące</t>
    </r>
    <r>
      <rPr>
        <sz val="12"/>
        <rFont val="Arial CE"/>
        <charset val="238"/>
      </rPr>
      <t xml:space="preserve">: pomoc finansowa dla Gminy Świlcza na realizację zadania pn. „Przygotowanie studium uwarunkowań i kierunków zagospodarowania przestrzennego oraz miejscowego planu zagospodarowania przestrzennego niezbędnego do utworzenia strefy inwestycyjnej na terenie Gminy Świlcza" w kwocie 71.500,- zł (§ 2710)
Zadanie ujęte w wykazie przedsięwzięć do WPF. </t>
    </r>
  </si>
  <si>
    <r>
      <rPr>
        <u/>
        <sz val="12"/>
        <rFont val="Arial CE"/>
        <charset val="238"/>
      </rPr>
      <t>Wydatki bieżące: r</t>
    </r>
    <r>
      <rPr>
        <sz val="12"/>
        <rFont val="Arial CE"/>
        <charset val="238"/>
      </rPr>
      <t xml:space="preserve">ealizacja przez Urząd Marszałkowski Województwa Podkarpackiego w Rzeszowie projektu pn. "Inteligentne specjalizacje - narzędzie wzrostu innowacyjności i konkurencyjności województwa podkarpackiego" w ramach Regionalnego Programu Operacyjnego Województwa Podkarpackiego na lata 2014-2020 w kwocie 761.911,- zł.
Źródła finansowania: środki UE.
Zadanie ujęte w wykazie przedsięwzięć do WPF.
</t>
    </r>
    <r>
      <rPr>
        <u/>
        <sz val="10"/>
        <color rgb="FFFF0000"/>
        <rFont val="Arial CE"/>
        <charset val="238"/>
      </rPr>
      <t/>
    </r>
  </si>
  <si>
    <r>
      <rPr>
        <u/>
        <sz val="12"/>
        <rFont val="Arial CE"/>
        <charset val="238"/>
      </rPr>
      <t>Wydatki bieżące: r</t>
    </r>
    <r>
      <rPr>
        <sz val="12"/>
        <rFont val="Arial CE"/>
        <charset val="238"/>
      </rPr>
      <t xml:space="preserve">ealizacja przez Urząd Marszałkowski Województwa Podkarpackiego w Rzeszowie projektu pn. "Wsparcie działalności Regionalnego Obserwatorium Terytorialnego w procesie dostarczania niezbędnej wiedzy do zarządzania rozwojem regionu RPO WP 2014-2020" w ramach Pomocy Technicznej RPO WP na lata 2014-2020 w kwocie 350.000,- zł.
Źródła finansowania:
- środki budżetu państwa na finansowanie - 297.500,- zł,
- środki własne budżetu Województwa - 52.500,- zł.
Zadanie ujęte w wykazie przedsięwzięć do WPF. </t>
    </r>
  </si>
  <si>
    <r>
      <rPr>
        <u/>
        <sz val="12"/>
        <rFont val="Arial CE"/>
        <charset val="238"/>
      </rPr>
      <t>Wydatki bieżące: w</t>
    </r>
    <r>
      <rPr>
        <sz val="12"/>
        <rFont val="Arial CE"/>
        <charset val="238"/>
      </rPr>
      <t xml:space="preserve">ydatki na promocję gospodarczą Województwa w zakresie napływu bezpośrednich inwestycji zagranicznych do regionu oraz eksportu w kwocie 170.000,- zł: § 4210 - 10.000,- zł, § 4300 - 110.000,- zł, § 4420 - 50.000,- zł. 
</t>
    </r>
  </si>
  <si>
    <r>
      <rPr>
        <u/>
        <sz val="12"/>
        <rFont val="Arial"/>
        <family val="2"/>
        <charset val="238"/>
      </rPr>
      <t>Wydatki bieżące:</t>
    </r>
    <r>
      <rPr>
        <sz val="12"/>
        <rFont val="Arial"/>
        <family val="2"/>
        <charset val="238"/>
      </rPr>
      <t xml:space="preserve">
1) aktualizacja Strategii rozwoju województwa - Podkarpackie 2030 - 214.000,- zł: § 4170  - 30.000,- zł, § 4300  - 70.000,- zł, § 4390  - 114.000,- zł,
2) programowanie strategiczne i przestrzenne na potrzeby identyfikacji kierunków polityki regionalnej województwa - 149.000,- zł: § 4170 - 19.000,- zł, § 4300  - 70.000,- zł, § 4390  - 60.000,- zł,
3) realizacja polityki rozwoju województwa podkarpackiego - 70.000,- zł: § 4210 - 35.000,- zł,§ 4300  - 10.000,- zł, § 4420  - 25.000,- zł,
4) realizacja zadań związanych z funkcjonowaniem Regionalnego Obserwatorium Terytorialnego  – 395.450,- zł: § 4170 - 47.600,- zł, § 4210  - 50.000,- zł, § 4390  - 297.850,- zł,
5) zarządzanie Podkarpackim Parkiem Naukowo-Technologicznym – § 4300 - 3.578.040,- zł,
6) realizacja zadania pn. "Opracowanie programów rozwoju dla obszaru rzeki San, obszaru Bieszczad i obszaru Roztocza"  - 249.600,- zł: § 4170 - 119.600,- zł, § 4300  - 60.000,- zł, § 4390  - 70.000,- zł,
Źródła finansowania:
- środki własne budżetu Województwa - 249.600,- zł
Zadanie ujęte w wykazie przedsięwzięć do WPF. 
7) realizacja przez Urząd Marszałkowski Województwa Podkarpackiego w Rzeszowie projektu pn. "Zintegrowany i uspołeczniony model planowania przestrzennego poprzez opracowanie Strategii Przestrzennej Rzeszowskiego Obszaru Funkcjonalnego" w ramach Programu Operacyjnego Wiedza, Edukacja, Rozwój na lata 2014-2020 w kwocie 3.043.217,- zł,
Źródła finansowania:
- środki UE - 2.869.449,-zł,
- środki budżetu państwa - 173.768,- zł. 
Zadanie ujęte w wykazie przedsięwzięć do WPF. 
8) realizacja przez Urząd Marszałkowski Województwa Podkarpackiego w Rzeszowie projektu pn. "Wysokie standardy obsługi inwestora w samorządach województwa podkarpackiego" w ramach Programu Operacyjnego Wiedza, Edukacja, Rozwój na lata 2014-2020  w kwocie 300.000,- zł,
Źródła finansowania:
- środki UE - 252.840,-zł, (w tym środki niewykorzystane w latach ubiegłych -  138.482,- zł)
- środki budżetu państwa - 17.160,- zł, (w tym środki niewykorzystane w latach ubiegłych - 9.399,- zł)
- środki własne budżetu Województwa - 30.000,- zł.
Zadanie ujęte w wykazie przedsięwzięć do WPF. </t>
    </r>
  </si>
  <si>
    <r>
      <t xml:space="preserve">
</t>
    </r>
    <r>
      <rPr>
        <u/>
        <sz val="12"/>
        <rFont val="Arial"/>
        <family val="2"/>
        <charset val="238"/>
      </rPr>
      <t xml:space="preserve">Wydatki majątkowe: </t>
    </r>
    <r>
      <rPr>
        <sz val="12"/>
        <rFont val="Arial"/>
        <family val="2"/>
        <charset val="238"/>
      </rPr>
      <t xml:space="preserve">realizacja przez Urząd Marszałkowski Województwa Podkarpackiego w Rzeszowie projektu pn. "Zintegrowany i uspołeczniony model planowania przestrzennego poprzez opracowanie Strategii Przestrzennej Rzeszowskiego Obszaru Funkcjonalnego" w ramach Programu Operacyjnego Wiedza, Edukacja, Rozwój na lata 2014-2020 w kwocie 885.312,- zł,
Źródła finansowania:
- środki UE - 834.760,-zł,
- środki budżetu państwa - 50.552,- zł. 
Zadanie ujęte w wykazie przedsięwzięć do WPF. </t>
    </r>
  </si>
  <si>
    <r>
      <t xml:space="preserve">WYKAZ ZADAŃ BUDŻETOWYCH NA 2023 R.
</t>
    </r>
    <r>
      <rPr>
        <b/>
        <sz val="14"/>
        <rFont val="Arial"/>
        <family val="2"/>
        <charset val="238"/>
      </rPr>
      <t>DEPARTAMENT ZARZĄDZANIA REGIONALNYM PROGRAMEM OPERACYJNYM</t>
    </r>
  </si>
  <si>
    <t>150</t>
  </si>
  <si>
    <t>PRZETWÓRSTWO PRZEMYSŁOWE</t>
  </si>
  <si>
    <t>15011</t>
  </si>
  <si>
    <t>Rozwój przedsiębiorczości</t>
  </si>
  <si>
    <r>
      <rPr>
        <u/>
        <sz val="12"/>
        <rFont val="Arial CE"/>
        <charset val="238"/>
      </rPr>
      <t>Wydatki bieżące: d</t>
    </r>
    <r>
      <rPr>
        <sz val="12"/>
        <rFont val="Arial CE"/>
        <charset val="238"/>
      </rPr>
      <t>otacja celowa dla beneficjentów realizujących projekty w ramach osi priorytetowych VII-IX Regionalnego Programu Operacyjnego Województwa Podkarpackiego na lata 2014-2020 w kwocie 107.641,- zł, - współfinansowanie z budżetu państwa - § 2009.
Zadanie ujęte w wykazie przedsięwzięć do WPF.</t>
    </r>
  </si>
  <si>
    <r>
      <rPr>
        <u/>
        <sz val="12"/>
        <rFont val="Arial CE"/>
        <charset val="238"/>
      </rPr>
      <t>Wydatki majątkowe: d</t>
    </r>
    <r>
      <rPr>
        <sz val="12"/>
        <rFont val="Arial CE"/>
        <charset val="238"/>
      </rPr>
      <t xml:space="preserve">otacja celowa dla beneficjentów realizujących projekty o charakterze rewitalizacyjnym w ramach osi priorytetowych I-VI Regionalnego Programu Operacyjnego Województwa Podkarpackiego na lata 2014-2020 w kwocie 74.363,- zł - współfinansowanie z budżetu państwa dla j.s.t - § 6259.
Zadanie ujęte w wykazie przedsięwzięć do WPF. </t>
    </r>
  </si>
  <si>
    <t>Nie zgłoszono potrzeb na 2022 rok.
w 2021 wydatki zaplanowane na dotacje celowe dla beneficjentów realizujących projekty o charakterze rewitalizacyjnym w ramach osi priorytetowych I-VI Regionalnego Programu Operacyjnego Województwa Podkarpackiego na lata 2014-2020.</t>
  </si>
  <si>
    <r>
      <rPr>
        <u/>
        <sz val="12"/>
        <rFont val="Arial CE"/>
        <charset val="238"/>
      </rPr>
      <t>Wydatki bieżące: r</t>
    </r>
    <r>
      <rPr>
        <sz val="12"/>
        <rFont val="Arial CE"/>
        <charset val="238"/>
      </rPr>
      <t xml:space="preserve">ealizacja przez Urząd Marszałkowski Województwa Podkarpackiego w Rzeszowie projektu pn. "Wsparcie procesu ewaluacji RPO WP 2014-2020 oraz przygotowań do perspektywy 2021-2027" w ramach Pomocy Technicznej RPO WP na lata 2014-2020 w kwocie 1.748.212,- zł.
Źródła finansowania:
- środki budżetu państwa na finansowanie - 1.486.900,- zł,
- środki własne budżetu Województwa - 261.312,- zł.
Zadanie ujęte w wykazie przedsięwzięć do WPF. 
 </t>
    </r>
  </si>
  <si>
    <r>
      <rPr>
        <u/>
        <sz val="12"/>
        <rFont val="Arial CE"/>
        <charset val="238"/>
      </rPr>
      <t>Wydatki bieżące: r</t>
    </r>
    <r>
      <rPr>
        <sz val="12"/>
        <rFont val="Arial CE"/>
        <charset val="238"/>
      </rPr>
      <t xml:space="preserve">ealizacja przez Urząd Marszałkowski Województwa Podkarpackiego w Rzeszowie projektu pn. "Wsparcie procesu ewaluacji FEP 2021-2027" w ramach Pomocy Technicznej FEP na lata 2021-2027 w kwocie 3.140.509,- zł.
Źródła finansowania:
- środki budżetu państwa na finansowanie - 2.669.433,- zł,
- środki własne budżetu Województwa - 471.076,- zł.
Zadanie ujęte w wykazie przedsięwzięć do WPF. </t>
    </r>
    <r>
      <rPr>
        <u/>
        <sz val="12"/>
        <rFont val="Arial CE"/>
        <charset val="238"/>
      </rPr>
      <t xml:space="preserve">
Wydatki majątkowe:</t>
    </r>
    <r>
      <rPr>
        <sz val="12"/>
        <rFont val="Arial CE"/>
        <charset val="238"/>
      </rPr>
      <t xml:space="preserve">
1. Realizacja przez Urząd Marszałkowski Województwa Podkarpackiego w Rzeszowie projektu pn. "Wsparcie procesu ewaluacji RPO WP 2014-2020 oraz przygotowań do perspektywy 2021-2027" w ramach Pomocy Technicznej RPO WP na lata 2014-2020 w kwocie 13.198.930,- zł.
Źródła finansowania:
- środki budżetu państwa na finansowanie - 11.219.090,- zł,
- środki własne budżetu Województwa - 1.979.840,- zł.
Zadanie ujęte w wykazie przedsięwzięć do WPF. 
2. Realizacja przez Urząd Marszałkowski Województwa Podkarpackiego w Rzeszowie projektu pn. "Wsparcie procesu ewaluacji FEP 2021-2027" w ramach Pomocy Technicznej FEP na lata 2021-2027 w kwocie 1.176.471,- zł.
Źródła finansowania:
- środki budżetu państwa na finansowanie - 1.000.000,- zł,
- środki własne budżetu Województwa - 176.471,- zł.
Zadanie ujęte w wykazie przedsięwzięć do WPF.</t>
    </r>
  </si>
  <si>
    <r>
      <rPr>
        <u/>
        <sz val="12"/>
        <rFont val="Arial CE"/>
        <charset val="238"/>
      </rPr>
      <t>Wydatki bieżące: d</t>
    </r>
    <r>
      <rPr>
        <sz val="12"/>
        <rFont val="Arial CE"/>
        <charset val="238"/>
      </rPr>
      <t xml:space="preserve">otacja celowa dla beneficjentów realizujących projekty w ramach osi priorytetowych VII-IX Regionalnego Programu Operacyjnego Województwa Podkarpackiego na lata 2014-2020 w kwocie 629.504,- zł, w tym:
- współfinansowanie z budżetu państwa - § 2009 - 611.361,- zł,
- współfinansowanie z budżetu państwa dla j.s.t - § 2059 - 18.143,- zł.
Zadanie ujęte w wykazie przedsięwzięć do WPF. </t>
    </r>
    <r>
      <rPr>
        <u/>
        <sz val="12"/>
        <rFont val="Arial CE"/>
        <charset val="238"/>
      </rPr>
      <t xml:space="preserve">
</t>
    </r>
    <r>
      <rPr>
        <sz val="12"/>
        <rFont val="Arial CE"/>
        <charset val="238"/>
      </rPr>
      <t xml:space="preserve">
</t>
    </r>
    <r>
      <rPr>
        <u/>
        <sz val="9"/>
        <color rgb="FFFF0000"/>
        <rFont val="Arial CE"/>
        <charset val="238"/>
      </rPr>
      <t/>
    </r>
  </si>
  <si>
    <t>Szpitale ogólne</t>
  </si>
  <si>
    <r>
      <rPr>
        <u/>
        <sz val="12"/>
        <rFont val="Arial CE"/>
        <charset val="238"/>
      </rPr>
      <t>Wydatki majątkowe: d</t>
    </r>
    <r>
      <rPr>
        <sz val="12"/>
        <rFont val="Arial CE"/>
        <charset val="238"/>
      </rPr>
      <t xml:space="preserve">otacja celowa dla beneficjentów realizujących projekty o charakterze innym niż rewitalizacyjny w ramach osi priorytetowych I-VI Regionalnego Programu Operacyjnego Województwa Podkarpackiego na lata 2014-2020 w kwocie 11.191.126,- zł  - współfinansowanie z budżetu państwa - § 6209.
Zadanie ujęte w wykazie przedsięwzięć do WPF. </t>
    </r>
  </si>
  <si>
    <t>85231</t>
  </si>
  <si>
    <t>Pomoc dla cudzoziemców</t>
  </si>
  <si>
    <r>
      <rPr>
        <u/>
        <sz val="12"/>
        <rFont val="Arial CE"/>
        <charset val="238"/>
      </rPr>
      <t>Wydatki bieżące: r</t>
    </r>
    <r>
      <rPr>
        <sz val="12"/>
        <rFont val="Arial CE"/>
        <charset val="238"/>
      </rPr>
      <t xml:space="preserve">ealizacja przez Wojewódzki Urząd Pracy w Rzeszowie projektu pn. "Podkarpackie Centrum Integracji Cudzoziemców" w ramach Regionalnego Programu Operacyjnego Województwa Podkarpackiego na lata 2014-2020 w kwocie 21.431.283,- zł.
Źródła finansowania:
- środki UE - 18.216.590,- zł,
- środki własne budżetu Województwa - 3.214.693,- zł.
Zadanie ujęte w wykazie przedsięwzięć do WPF. </t>
    </r>
  </si>
  <si>
    <r>
      <rPr>
        <u/>
        <sz val="12"/>
        <rFont val="Arial CE"/>
        <charset val="238"/>
      </rPr>
      <t>Wydatki bieżące: d</t>
    </r>
    <r>
      <rPr>
        <sz val="12"/>
        <rFont val="Arial CE"/>
        <charset val="238"/>
      </rPr>
      <t xml:space="preserve">otacja celowa dla beneficjentów realizujących projekty w ramach osi priorytetowych VII-IX Regionalnego Programu Operacyjnego Województwa Podkarpackiego na lata 2014-2020 w kwocie 6.202.058,- zł, w tym:
- współfinansowanie z budżetu państwa - § 2009 - 4.711.394,- zł,
- współfinansowanie z budżetu państwa dla j.s.t - § 2059 - 1.490.664,- zł.
Zadanie ujęte w wykazie przedsięwzięć do WPF. 
</t>
    </r>
  </si>
  <si>
    <t>POZOSTAŁE ZADANIA W ZAKRESIE POMOCY SPOŁECZNEJ</t>
  </si>
  <si>
    <t>85332</t>
  </si>
  <si>
    <t>Wojewódzkie urzędy pracy</t>
  </si>
  <si>
    <r>
      <rPr>
        <u/>
        <sz val="12"/>
        <rFont val="Arial CE"/>
        <charset val="238"/>
      </rPr>
      <t>Wydatki bieżące: r</t>
    </r>
    <r>
      <rPr>
        <sz val="12"/>
        <rFont val="Arial CE"/>
        <charset val="238"/>
      </rPr>
      <t xml:space="preserve">ealizacja przez Wojewódzki Urząd Pracy w Rzeszowie projektu pn. "Pomoc techniczna RPO WP na lata 2014-2020 dla Wojewódzkiego Urzędu Pracy w Rzeszowie na rok 2023" w ramach Pomocy Technicznej RPO WP na lata 2014-2020 w kwocie 16.893.900,- zł.
Źródła finansowania:
- środki budżetu państwa na finansowanie - 14.359.816,- zł,
- środki własne budżetu Województwa - 2.534.084,- zł.
Zadanie ujęte w wykazie przedsięwzięć do WPF. </t>
    </r>
  </si>
  <si>
    <r>
      <rPr>
        <u/>
        <sz val="12"/>
        <rFont val="Arial CE"/>
        <charset val="238"/>
      </rPr>
      <t>Wydatki bieżące: d</t>
    </r>
    <r>
      <rPr>
        <sz val="12"/>
        <rFont val="Arial CE"/>
        <charset val="238"/>
      </rPr>
      <t xml:space="preserve">otacja celowa dla beneficjentów realizujących projekty w ramach osi priorytetowych VII-IX Regionalnego Programu Operacyjnego Województwa Podkarpackiego na lata 2014-2020 w kwocie 2.444.093,- zł, w tym:
- współfinansowanie z budżetu państwa - § 2009 - 2.417.975,- zł,
- współfinansowanie z budżetu państwa dla j.s.t - § 2059 - 26.118,- zł.
Zadanie ujęte w wykazie przedsięwzięć do WPF. 
</t>
    </r>
    <r>
      <rPr>
        <u/>
        <sz val="9"/>
        <color rgb="FFFF0000"/>
        <rFont val="Arial CE"/>
        <charset val="238"/>
      </rPr>
      <t/>
    </r>
  </si>
  <si>
    <t>Nie zgłoszono potrzeb na 2022 rok.
W 2021 wydatki zaplanowane na dotacje celowe dla beneficjentów realizujących projekty o charakterze rewitalizacyjnym w ramach osi priorytetowych I-VI Regionalnego Programu Operacyjnego Województwa Podkarpackiego na lata 2014-2020.</t>
  </si>
  <si>
    <r>
      <rPr>
        <u/>
        <sz val="12"/>
        <rFont val="Arial CE"/>
        <charset val="238"/>
      </rPr>
      <t>Wydatki majątkowe: d</t>
    </r>
    <r>
      <rPr>
        <sz val="12"/>
        <rFont val="Arial CE"/>
        <charset val="238"/>
      </rPr>
      <t xml:space="preserve">otacja celowa dla beneficjentów realizujących projekty o charakterze rewitalizacyjnym w ramach osi priorytetowych I-VI Regionalnego Programu Operacyjnego Województwa Podkarpackiego na lata 2014-2020 w kwocie 177.600,- zł - współfinansowanie z budżetu państwa dla j.s.t - § 6259.
Zadanie ujęte w wykazie przedsięwzięć do WPF. </t>
    </r>
  </si>
  <si>
    <r>
      <rPr>
        <u/>
        <sz val="12"/>
        <rFont val="Arial CE"/>
        <charset val="238"/>
      </rPr>
      <t>Wydatki majątkowe: d</t>
    </r>
    <r>
      <rPr>
        <sz val="12"/>
        <rFont val="Arial CE"/>
        <charset val="238"/>
      </rPr>
      <t>otacja celowa dla beneficjentów realizujących projekty o charakterze rewitalizacyjnym w ramach osi priorytetowych I-VI Regionalnego Programu Operacyjnego Województwa Podkarpackiego na lata 2014-2020 w kwocie 883.763,- zł - współfinansowanie z budżetu państwa dla j.s.t - § 6259.
Zadanie ujęte w wykazie przedsięwzięć do WPF.</t>
    </r>
  </si>
  <si>
    <r>
      <t xml:space="preserve">WYKAZ ZADAŃ BUDŻETOWYCH NA 2023 R.
</t>
    </r>
    <r>
      <rPr>
        <b/>
        <sz val="14"/>
        <rFont val="Arial"/>
        <family val="2"/>
        <charset val="238"/>
      </rPr>
      <t>DEPARTAMENT GOSPODARKI REGIONALNEJ</t>
    </r>
  </si>
  <si>
    <r>
      <rPr>
        <u/>
        <sz val="12"/>
        <rFont val="Arial CE"/>
        <charset val="238"/>
      </rPr>
      <t>Wydatki bieżące: r</t>
    </r>
    <r>
      <rPr>
        <sz val="12"/>
        <rFont val="Arial CE"/>
        <charset val="238"/>
      </rPr>
      <t xml:space="preserve">ealizacja przez Urząd Marszałkowskiego Województwa Podkarpackiego w Rzeszowie projektu pn. "Podkarpacka Platforma Wsparcia Biznesu" w ramach Regionalnego Programu Operacyjnego Województwa Podkarpackiego na lata 2014-2020 w kwocie 4.080.466,- zł.
Źródła finansowania: środki UE.
Zadanie ujęte w wykazie przedsięwzięć do WPF. </t>
    </r>
  </si>
  <si>
    <t xml:space="preserve">Nie zgłoszono potrzeb na 2022 rok.
W 2021 roku wydatki planowane były na realizację przez Urząd Marszałkowskiego Województwa Podkarpackiego w Rzeszowie projektu pn. "Góry bez granic - integracja sieci szlaków w transgraniczny produkt turystyczny" w ramach Programu Współpracy Transgranicznej Interreg V-A Polska - Słowacja 2014-2020.
</t>
  </si>
  <si>
    <r>
      <rPr>
        <u/>
        <sz val="12"/>
        <rFont val="Arial CE"/>
        <charset val="238"/>
      </rPr>
      <t>I. Wydatki bieżące</t>
    </r>
    <r>
      <rPr>
        <sz val="12"/>
        <rFont val="Arial CE"/>
        <charset val="238"/>
      </rPr>
      <t xml:space="preserve">: realizacja przez Urząd Marszałkowskiego Województwa Podkarpackiego w Rzeszowie projektu pn. "Poprawa dostępności do usług publicznych w Urzędzie Marszałkowskim Województwa Podkarpackiego w Rzeszowie" w ramach Programu Operacyjnego Wiedza, Edukacja, Rozwój na lata 2014-2020  w kwocie 47.800,- zł.
Źródła finansowania:
 - środki UE - 40.286,- zł (w tym środki niewykorzystane w latach ubiegłych - 35.835,- zł)
 - środki budżetu państwa - 7.514,- zł (w tym środki niewykorzystane w latach ubiegłych - 6.684,- zł)
Zadanie ujęte w wykazie przedsięwzięć do WPF. 
</t>
    </r>
    <r>
      <rPr>
        <u/>
        <sz val="12"/>
        <rFont val="Arial CE"/>
        <charset val="238"/>
      </rPr>
      <t>II. Wydatki majątkowe:</t>
    </r>
    <r>
      <rPr>
        <sz val="12"/>
        <rFont val="Arial CE"/>
        <charset val="238"/>
      </rPr>
      <t xml:space="preserve"> realizacja przez Urząd Marszałkowskiego Województwa Podkarpackiego w Rzeszowie projektu pn. "Poprawa dostępności do usług publicznych w Urzędzie Marszałkowskim Województwa Podkarpackiego w Rzeszowie" w ramach Programu Operacyjnego Wiedza, Edukacja, Rozwój na lata 2014-2020  w kwocie 46.000,- zł.
Źródła finansowania:
 - środki UE - 38.769,- zł (w tym środki niewykorzystane w latach ubiegłych - 34.893,- zł)
 - środki budżetu państwa - 7.231,- zł (w tym środki niewykorzystane w latach ubiegłych -  6.508,- zł)
Zadanie ujęte w wykazie przedsięwzięć do WPF. </t>
    </r>
  </si>
  <si>
    <r>
      <t xml:space="preserve">WYKAZ ZADAŃ BUDŻETOWYCH NA 2023 R.
</t>
    </r>
    <r>
      <rPr>
        <b/>
        <sz val="14"/>
        <rFont val="Arial"/>
        <family val="2"/>
        <charset val="238"/>
      </rPr>
      <t>BIURO INFORMACJI O FUNDUSZACH EUROPEJSKICH</t>
    </r>
  </si>
  <si>
    <r>
      <t xml:space="preserve">WYKAZ ZADAŃ BUDŻETOWYCH NA 2023 R.
</t>
    </r>
    <r>
      <rPr>
        <b/>
        <sz val="14"/>
        <rFont val="Arial"/>
        <family val="2"/>
        <charset val="238"/>
      </rPr>
      <t>Biuro "Oddział Programu Współpracy Transgranicznej Polska-Białoruś-Ukraina 2014-2020 w Rzeszowie"</t>
    </r>
  </si>
  <si>
    <r>
      <rPr>
        <u/>
        <sz val="12"/>
        <rFont val="Arial CE"/>
        <charset val="238"/>
      </rPr>
      <t>Wydatki bieżące</t>
    </r>
    <r>
      <rPr>
        <sz val="12"/>
        <rFont val="Arial CE"/>
        <charset val="238"/>
      </rPr>
      <t xml:space="preserve">: realizacja przez Urząd Marszałkowski Województwa Podkarpackiego w Rzeszowie projektu pn. "Funkcjonowanie Oddziału Programu Współpracy Transgranicznej EIS Polska - Białoruś - Ukraina 2014-2020 w Rzeszowie w latach 2022-2023" w ramach Programu Współpracy Transgranicznej Polska - Białoruś - Ukraina 2014-2020 w kwocie 1.400.928,- zł.
Źródła finansowania: środki UE.
Zadanie ujęte w wykazie przedsięwzięć do WPF. 
</t>
    </r>
    <r>
      <rPr>
        <u/>
        <sz val="12"/>
        <rFont val="Arial CE"/>
        <charset val="238"/>
      </rPr>
      <t>Wydatki majątkowe</t>
    </r>
    <r>
      <rPr>
        <sz val="12"/>
        <rFont val="Arial CE"/>
        <charset val="238"/>
      </rPr>
      <t xml:space="preserve">: realizacja przez Urząd Marszałkowski Województwa Podkarpackiego w Rzeszowie projektu pn. "Funkcjonowanie Oddziału Programu Współpracy Transgranicznej EIS Polska - Białoruś - Ukraina 2014-2020 w Rzeszowie w latach 2022-2023" w ramach Programu Współpracy Transgranicznej Polska - Białoruś - Ukraina 2014-2020 w kwocie 3.001,- zł.
Źródła finansowania: środki UE (środki niewykorzystane w latach ubiegłych)
Zadanie ujęte w wykazie przedsięwzięć do WPF. </t>
    </r>
  </si>
  <si>
    <t>Wydatki bieżące: spłata odsetek od zaciągniętych pożyczek długoterminowych, wykupu obligacji - § 8110 - 12.601.292,-zł.</t>
  </si>
  <si>
    <t xml:space="preserve">I. Wydatki bieżące: realizacja Uchwały nr XLVII/780/22 Sejmiku Województwa Podkarpackiego z dnia 28 marca 2022 r. w sprawie zakresu pomocy Województwa Podkarpackiego obywatelom Ukrainy w związku z konfliktem zbrojnym na terytorium tego państwa - § 4370 – 251.000,-zł. 
II. Wydatki majątkowe: realizacja Uchwały nr XLVII/780/22 Sejmiku Województwa Podkarpackiego z dnia 28 marca 2022 r. w sprawie zakresu pomocy Województwa Podkarpackiego obywatelom Ukrainy w związku z konfliktem zbrojnym na terytorium tego państwa - § 6390 – 760.000,-zł. </t>
  </si>
  <si>
    <r>
      <rPr>
        <sz val="12"/>
        <color theme="1"/>
        <rFont val="Arial CE"/>
        <charset val="238"/>
      </rPr>
      <t xml:space="preserve">I. Wydatki bieżące w kwocie 10.223.569,-zł:
1) dotacja podmiotowa dla Filharmonii Podkarpackiej  im. Artura Malawskiego w Rzeszowie na dofinansowanie działalności bieżącej w zakresie realizowanych zadań statutowych (w tym na utrzymanie i remonty obiektów)  - </t>
    </r>
    <r>
      <rPr>
        <sz val="12"/>
        <color theme="1"/>
        <rFont val="Arial"/>
        <family val="2"/>
        <charset val="238"/>
      </rPr>
      <t>§ 2480 -</t>
    </r>
    <r>
      <rPr>
        <sz val="12"/>
        <color theme="1"/>
        <rFont val="Arial CE"/>
        <charset val="238"/>
      </rPr>
      <t xml:space="preserve"> 9.573.569,-zł, w tym realizowane w ramach przedsięwzięcia pn. "Prowadzenie jako wspólnej instytucji kultury Województwa Podkarpackiego i Ministra Kultury i Dziedzictwa Narodowego Filharmonii Podkarpackiej im. A. Malawskiego z siedzibą w Rzeszowie przy ul. Chopina 30, ujętego w WPF - 8.000.000,-zł.  
</t>
    </r>
    <r>
      <rPr>
        <sz val="12"/>
        <color rgb="FFFF0000"/>
        <rFont val="Arial CE"/>
        <charset val="238"/>
      </rPr>
      <t xml:space="preserve"> </t>
    </r>
    <r>
      <rPr>
        <sz val="12"/>
        <color theme="1"/>
        <rFont val="Arial CE"/>
        <charset val="238"/>
      </rPr>
      <t xml:space="preserve">2) dotacja celowa dla Filharmonii Podkarpackiej im. Artura Malawskiego w Rzeszowie na realizację wskazanych zadań i programów - § 2800 - 650.000,-zł, w tym:
a) Przestrzeń otwarta dla muzyki - 200.000,-zł,
b) Międzynarodowy  Konkurs Muzyki Polskiej- II edycja - 450.000,-zł
II. Wydatki majątkowe dotacja celowa dla Filharmonii Podkarpackiej  im. Artura Malawskiego w Rzeszowie - </t>
    </r>
    <r>
      <rPr>
        <sz val="12"/>
        <color theme="1"/>
        <rFont val="Arial"/>
        <family val="2"/>
        <charset val="238"/>
      </rPr>
      <t>§</t>
    </r>
    <r>
      <rPr>
        <sz val="12"/>
        <color theme="1"/>
        <rFont val="Arial CE"/>
        <charset val="238"/>
      </rPr>
      <t xml:space="preserve"> 6220 -  448.000,-zł, z tego na:
 1) zakup aparatury oświetleniowej oraz nagłośnienia tj. stołu sterowania oświetleniem wraz z zestawem okablowania, 6 sztuk mikrofonów bezprzewodowych oraz konsolety dźwiękowej, cyfrowej wraz z urządzeniem Stage Rack - 426.000,-zł,
2) zakup wykładziny baletowej na scenę główną - 22.000,-zł.
</t>
    </r>
    <r>
      <rPr>
        <sz val="12"/>
        <color rgb="FFFF0000"/>
        <rFont val="Arial CE"/>
        <charset val="238"/>
      </rPr>
      <t xml:space="preserve">
</t>
    </r>
  </si>
  <si>
    <t>Plan  na 2023 r.</t>
  </si>
  <si>
    <t xml:space="preserve">2. Wydatki majątkowe:
1) wydatki inwestycyjne - § 6050 -  2.996.000,-zł, w tym:
- modernizacja infrastruktury sieciowej – 1.100.000,-zł, 
- modernizacja infrastruktury serwerowej - 800.000,-zł
- zabezpieczenia związane z podnoszeniem poziomu cyberbezpieczeństwa - 600.000,-zł, 
- przebudowa zakładowego obiektu socjalnego w Polańczyku - 150.000,-zł. Zadanie ujęte w wykazie przedsięwzięć do WPF.
- pozostałe inwestycje niezbędne do prawidłowego funkcjonowania Urzędu i obsługi zadań realizowanych przez Urząd Marszałkowski Województwa Podkarpackiego - 346.000,-zł.
2) zakupy inwestycyjne - § 6060 - 1.200.000,-zł, w tym:
- zakup sprzętu komputerowego, urządzeń skanująco-drukujących i oprogramowania - 750.000,-zł,
- zakup samochodów do celów służbowych - 350.000,-zł,
- pozostałe zakupy inwestycyjne sprzętu niezbędnego do prawidłowego funkcjonowania Urzędu i obsługi zadań realizowanych przez Urząd Marszałkowski - 100.000,-zł.
Źródła finansowania: 
- środki własne budżetu Województwa.
</t>
  </si>
  <si>
    <r>
      <t xml:space="preserve">WYKAZ ZADAŃ BUDŻETOWYCH NA ROK 2023
</t>
    </r>
    <r>
      <rPr>
        <b/>
        <sz val="14"/>
        <rFont val="Arial"/>
        <family val="2"/>
        <charset val="238"/>
      </rPr>
      <t>REZERWY</t>
    </r>
  </si>
  <si>
    <t>Obsługa papierów wartościowych , kredytów i pożyczek otaz innych zobowiązań jednostek samorzadu terytorialnego zaliczanych do tytułu dłużnego - kedyty i pożyczki</t>
  </si>
  <si>
    <t xml:space="preserve">I. Wydatki bieżące w kwocie 65.045.371,-zł:
1) utrzymanie dróg i mostów - 64.535.371,-zł, w tym:
a) remonty cząstkowe dróg wojewódzkich - § 4270 - 5.500.000,-zł, w tym realizowane w ramach przedsięwzięcia ujętego w WPF pn. "Remonty cząstkowe nawierzchni" - 3.500.000,-zł.
b) oznakowanie poziome dróg wojewódzkich - § 4270 - 2.369.000,-zł,
c) odnowy dróg wojewódzkich - § 4270 - 9.700.000,-zł,     
d) remonty barier energochłonnych - § 4270 - 696.900,-zł,
e) remonty, konserwacje i utrzymanie obiektów mostowych i przepustów - 10.367.250,-zł: § 4210 - 18.000,-zł, § 4270 - 8.349.250,-zł,  § 4300 - 2.000.000,-zł, 
f) remonty chodników - § 4270 - 847.500,-zł, 
g) zimowe utrzymanie dróg wojewódzkich - 14.500.000,-zł: § 4210 - 5.500.000,-zł, § 4300 - 9.000.000,-zł, w tym realizowane w ramach przedsięwzięcia ujętego w WPF pn. "Zimowe utrzymanie dróg" - 13.500.000,-zł: § 4210 - 5.000.000,-zł, § 4300 - 8.500.000,-zł, 
h) bieżące utrzymanie dróg - 13.141.510,-zł: § 4210 - 1.500.000,-zł, § 4270 - 2.000.000,-zł, § 4300 - 9.641.510,-zł, w tym realizowane w ramach przedsięwzięcia ujętego w WPF pn. "Czyszczenie nawierzchni ulic i urządzeń odwadniających w ciągu dróg wojewódzkich na terenie województwa podkarpackiego" - § 4300 - 2.000.000,-zł, 
i) wykonanie ekspertyz i analiz związanych z utrzymaniem dróg i mostów -  § 4390 - 1.149.411,-zł,
j) opłaty związane z funkcjonowaniem dróg wojewódzkich i gospodarką gruntami - 554.000,-zł:  § 4430 - 480.000,-zł,   § 4480 - 2.000,-zł,  § 4500 - 2.000,-zł, § 4520 - 70.000.-zł,
</t>
  </si>
  <si>
    <r>
      <t xml:space="preserve">Wydatki bieżące:
Realizacja zadań z zakresu rolnictwa przejętych od administracji rządowej w związku ze zmianami w podziale zadań i kompetencji administracji terenowej – wynagrodzenia i składki od nich naliczane w kwocie 1.844.067,-zł: § 4010 - 1.449.560,-zł, § 4040 - 94.536,-zł, § 4110 - 254.624,-zł, § 4120 - 40.955,-zł, § 4710 - 4.392,-zł.
</t>
    </r>
    <r>
      <rPr>
        <sz val="11"/>
        <color theme="1"/>
        <rFont val="Arial"/>
        <family val="2"/>
        <charset val="238"/>
      </rPr>
      <t>Zadanie zlecone z zakresu administracji rządowej, finansowane z dotacji celowej z budżetu państwa w kwocie 362.000,-zł i środków własnych budżetu Województwa w kwocie 1.482.067,-zł.</t>
    </r>
    <r>
      <rPr>
        <sz val="11"/>
        <rFont val="Arial"/>
        <family val="2"/>
        <charset val="238"/>
      </rPr>
      <t xml:space="preserve">
</t>
    </r>
  </si>
  <si>
    <r>
      <rPr>
        <u/>
        <sz val="11"/>
        <rFont val="Arial"/>
        <family val="2"/>
        <charset val="238"/>
      </rPr>
      <t>Wydatki bieżące:</t>
    </r>
    <r>
      <rPr>
        <sz val="11"/>
        <rFont val="Arial"/>
        <family val="2"/>
        <charset val="238"/>
      </rPr>
      <t xml:space="preserve">
1) opłata członkowska dla Międzynarodowej Sieci Regionów Wykorzystujących Technologie Kosmiczne „NEREUS” – § 4540 - 50.000,-zł,
2) tłumaczenie pism, opinii i dokumentów, tłumaczenia ustne oraz wykonanie niezbędnych ekspertyz – 10.000,- zł: § 4380 - 5.000,- zł,§ 4390 - 5.000,- zł,
3) koszty postępowań sądowych związanych z odzyskiwaniem środków w ramach RPO  – § 4610 - 5.000,- zł,
4) koszty ekspertyz związanych z pomocą publiczną - § 4390 - 25.000,- zł,
5) finansowanie Punktu Informacyjnego Programów EWT, Europejskiego Instrumentu Sąsiedztwa i innych inicjatyw współpracy transgranicznej polegajacych na organizacji i współfinansowaniu wydarzeń i spotkań o charakterze transgranicznym - 15.000,-zł: § 4300 - 10.000,- zł,§ 4410 - 2.000,- zł,§ 4420 - 3.000,- zł,
6) składka członkowska z tytułu przynależności Samorządu Województwa Podkarpackiego do Stowarzyszenia Euroregion Karpacki Polska - § 4430 - 170.000,-zł,
7) koszty związane z realizacją zadań w zakresie tłumaczeń, organizacji i współorganizacji konferencji, spotkań, konsultacji dotyczących Kontraktu Sektorowego oraz koszty związane z pozyskiwaniem projektów własnych samorządu województwa oraz projektów realizowanych z inicjatywy województwa podkarpackiego w partnerstwie z innymi podmiotami - 11.750,-zł: § 4300 - 6.000,- zł, § 4380 - 1.000,- zł, § 4410 - 1.000,- zł, § 4420 - 3.750,- zł,
8) organizacja konkursu plastycznego "Rewitalizacja w mojej gminie" - 6.000,- zł: § 4210 - 5.000,- zł,§ 4300 - 1.000,- zł,
9) organizacja szkolenia dla przedstawicieli gmin województwa podkarpackiego w zakresie rewitalizacji - § 4300 - 35.000,- zł,
10) opłata na rzecz Koncesjonariusza – Centrum Wystawienniczo - Kongresowe – § 4300 - 2.644.500,- zł,
Zadanie ujęte w wykazie przedsięwzięć do WPF. 
11) realizacja przez Urząd Marszałkowski Województwa Podkarpackiego w Rzeszowie projektu pn. "Wspólnie wzbogacamy polsko-słowackie pogranicze" w ramach Pomocy Technicznej Programu Współpracy Transgranicznej Interreg V-A Polska - Słowacja na lata 2014-2020 - 166.935,- zł,
Źródła finansowania:
- środki własne budżetu Województwa - 166.935,- zł. (do refundacji 95% w 2024 roku)
Zadanie ujęte w wykazie przedsięwzięć do WPF.</t>
    </r>
  </si>
  <si>
    <r>
      <rPr>
        <u/>
        <sz val="12"/>
        <rFont val="Arial CE"/>
        <charset val="238"/>
      </rPr>
      <t>Wydatki bieżące</t>
    </r>
    <r>
      <rPr>
        <sz val="12"/>
        <rFont val="Arial CE"/>
        <charset val="238"/>
      </rPr>
      <t xml:space="preserve">: realizacja przez Urząd Marszałkowski Województwa Podkarpackiego w Rzeszowie projektu pn. "Punkty Informacyjne Funduszy Europejskich" w ramach Programu Operacyjnego Pomoc Techniczna 2014-2020 w kwocie 730.000,- zł,  
Źródła finansowania:
- środki UE - 620.500,-zł,
- środki budżetu państwa - 109.500,- zł.
Zadanie ujęte w wykazie przedsięwzięć do WPF. </t>
    </r>
  </si>
  <si>
    <t xml:space="preserve">I. Wydatki bieżące: dotacja celowa dla Podkarpackiego Centrum Medycznego w Rzeszowie  na realizację zadania pn. "Poprawa efektywności funkcjonowania podmiotów leczniczych poprzez wdrożenie scentralizowanej platformy zakupowej" § 2560 - 550.000,-zł.
II. Wydatki majątkowe: dotacje celowe dla wojewódzkich samodzielnych publicznych zakładów opieki zdrowotnej § 6220 - 3.137.015,-zł . z tego dla:
1) Wojewódzkiego Zespołu Specjalistycznego w Rzeszowie - 1.656.756,-zł  z przeznaczeniem na realizację zadań pn.:
a) "Wymiana dźwigu osobowego (windy) w budynku WZS w Rzeszowie" - 246.480,-zł,
b) "Zakup aparatury i sprzętu medycznego"  - 1.410.276,-zł,
2) Podkarpackiego Centrum Medycznego w Rzeszowie - 1.480.259,-zł z przeznaczeniem na realizację zadań pn.: 
a) "E-usługi w Obwodzie Lecznictwa Kolejowego w Rzeszowie" - 1.321.417,-zł.
b) "Zakup sprzętu medycznego" - 158.842,-zł.   </t>
  </si>
  <si>
    <t>I. Wydatki bieżące w kwocie 4.057.000,-zł:
1) dotacja celowa dla Wojewódzkiego Ośrodka  Medycyny Pracy w Rzeszowie z przeznaczeniem na realizację zadań statutowych z zakresu medycyny pracy - § 2560 - 1.600.000,-zł,
2) koszty zadań zleconych z zakresu medycyny pracy realizowanych przez Wojewódzki Ośrodek  Medycyny Pracy w Rzeszowie - § 4280 - 2.457.000,-zł,
II. Wydatki majątkowe: dotacja celowa dla Wojewódzkiego Ośrodka  Medycyny Pracy w Rzeszowie § 6220 - 115.331,-zł z przeznaczeniem na realizację zadania pn. "Zwiększenie dostępności (poprzez rozbudowę i modernizację) e-usług zdrowotnych świadczonych w Wojewódzkim Ośrodku Medycyny Pracy w Rzeszowie".</t>
  </si>
  <si>
    <t>Wydatki majątkowe w kwocie 2.952.636,-zł::
1) dotacja celowa dla Wojewódzkiej Stacji Pogotowia Ratunkowego w Rzeszowie - § 6220 - 1.802.656,-zł, z przeznaczeniem na realizację zadań : 
a) "Modernizacja warsztatów naprawczych w budynku Wojewódzkiej Stacji Pogotowia Ratunkowego w Rzeszowie ul. Wyzwolenia 4" - 509.156,-zł,
b) "Zakup dwóch ambulansów z noszami elektrycznymi na potrzeby realizacji zadań Państwowego Ratownictwa Medycznego i zadań statutowych" - 1.293.500,-zł.
Wydatki finansowane ze środków własnych samorządu województwa.
2) dotacja celowa dla Wojewódzkiej Stacji Pogotowia Ratunkowego w Przemyślu - § 6220 - 1.149.980,-zł z przeznaczeniem na:
a) realizację zadania pn. "Budowa stacji wyjazdowej pogotowia ratunkowego" - 999.980,-zł.
Wydatki finansowane ze środków własnych samorządu województwa.
b) dofinansowanie zakupu specjalistycznego sprzętu na doposażenie zespołów ratownictwa medycznego - 150.000,-zł.
Zadanie zlecone z zakresu administracji rządowej, finansowane z dotacji celowej z budżetu państwa.</t>
  </si>
  <si>
    <t xml:space="preserve">Wydatki bieżące - § 4810 - 40.660.000,-zł, w tym:
1. Rezerwa ogólna - 10.000.000,-zł,
2. Rezerwy celowe - 30.660.000,-zł, z tego na :
1) stypendia dla uczniów i słuchaczy osiągających najlepsze wyniki w nauce oraz znajdujących się w trudnych warunkach materialnych, uczących się w szkołach policealnych i szkołach policealnych dla dorosłych wchodzących w skład medyczno – społecznych centrów kształcenia zawodowego i ustawicznego prowadzonych przez Województwo Podkarpackie – 400.000,-zł,
2) uzupełnienie wkładu własnego, wydatki niekwalifikowalne oraz prefinansowanie wydatków podlegających rozliczeniu w ramach budżetu UE i budżetu państwa w związku z realizacją przez wojewódzkie jednostki budżetowe oraz wojewódzkie osoby prawne projektów realizowanych przy udziale pozyskanych środków zewnętrznych  – 7.000.000,-zł,
3) dofinansowanie zadań własnych realizowanych przez organizacje pozarządowe z udziałem środków zewnętrznych – 150.000,-zł,
4) zwiększenie wydatków na wynagrodzenia, składki od nich naliczane, odprawy, nagrody i inne świadczenia przysługujące na podstawie odrębnych przepisów osobom zatrudnionym w jednostkach budżetowych i instytucjach kultury podległych Samorządowi Województwa Podkarpackiego – 12.000.000,-zł,
5) realizację zadań własnych z zakresu zarządzania kryzysowego  – 3.800.000,-zł,
6) koszty kształcenia i doskonalenia nauczycieli w szkołach i placówkach oświatowych prowadzonych przez Województwo Podkarpackie   – 200.000,-zł,
7) nagrody dla nauczycieli w szkołach i placówkach oświatowych prowadzonych przez Województwo Podkarpackie  – 60.000,-zł,
8) pomoc zdrowotna dla nauczycieli – 50.000,-zł,
9) sfinansowanie wzrostu kosztów zakupu energii w jednostkach budżetowych i instytucjach kultury podległych Samorządowi Województwa Podkarpackiego będącego skutkiem trwającego kryzysu energetycznego i zwiększonej inflacji – 7.000.000,-zł.
II. Wydatki majątkowe: rezerwy celowe - § 6800 - 61.600.000,-zł, z tego na:
1) uzupełnienie wkładu własnego, wydatki niekwalifikowalne oraz prefinansowanie wydatków podlegających rozliczeniu w ramach budżetu UE i budżetu państwa w związku z realizacją przez wojewódzkie jednostki budżetowe oraz wojewódzkie osoby prawne projektów inwestycyjnych realizowanych przy udziale pozyskanych środków zewnętrznych – 20.000.000,-zł,
2) dofinansowanie inwestycji i zakupów inwestycyjnych uczelni (do uruchomienia po zgromadzeniu informacji o potrzebach tych jednostek)  – 2.000.000,-zł,
3) zakup i objęcie akcji i udziałów w spółkach prawa handlowego (do uruchomienia po podjęciu przez Sejmik Województwa odrębnych uchwał dotyczących tworzenia spółek prawa handlowego i przystępowania do nich oraz określania zasad wnoszenia wkładów, a także obejmowania, nabywania udziałów i akcji)  – 9.000.000,-zł,
4) zwiększenie kwot przeznaczonych na sfinansowanie zamówień publicznych w wojewódzkich jednostkach budżetowych oraz wojewódzkich osobach prawnych w celu umożliwienia rozstrzygnięć postępowań o  udzielenie zamówień publicznych, a także na pokrycie waloryzacji wynagrodzeń oraz roszczeń wykonawców na zadaniach realizowanych lub zrealizowanych, w szczególności na skutek wzrostu kosztów ich realizacji   - 30.000.000,-zł,
5) zakupy inwestycyjne instytucji kultury, dla których organizatorem jest Województwo Podkarpackie (do uruchomienia po zgromadzeniu informacji o potrzebach tych instytucji) - 600.000,-zł.
 </t>
  </si>
  <si>
    <t xml:space="preserve">Wydatki bieżące:
składki z tytułu przynależności Województwa Podkarpackiego do Związku Województw RP, Podkarpackiego Stowarzyszenia  Samorządów Terytorialnych i Stowarzyszenia Związek Samorządów Polskich - § 4430 - 256.481,-zł.
</t>
  </si>
  <si>
    <r>
      <rPr>
        <sz val="11"/>
        <rFont val="Arial"/>
        <family val="2"/>
        <charset val="238"/>
      </rPr>
      <t xml:space="preserve"> Wydatki bieżące:
1) sporządzenie ekspertyz, opracowań, analiz - § 4170 - 2.415,-zł,
2) koszty związane z obsługą Sekretariatu Przewodniczącego Sejmiku, posiedzeń komisji i sesji Sejmiku, szkoleń radnych, spotkań, koszty reprezentacji, napraw, konserwacji - 185.879,-zł: § 4210 - 56.058,-zł, § 4220- 14.451,-zł, § 4270 - 4.738,-zł,§ 4300 - 110.632,-zł,
4) abonament za dostęp radnych województwa do bezprzewodowego  Internetu - § 4360 - 6.041,-zł,
5) diety dla radnych, delegacje krajowe i zagraniczne radnych - § 3030 - 1.380.276,-zł,
6) koszty obsługi Młodzieżowego Sejmiku Województwa Podkarpackiego - 28.923,-zł:  § 3030 - 23.000,-zł, § 4300 - 5.923,-zł.
</t>
    </r>
    <r>
      <rPr>
        <sz val="11"/>
        <color rgb="FFFF0000"/>
        <rFont val="Arial"/>
        <family val="2"/>
        <charset val="238"/>
      </rPr>
      <t xml:space="preserve">
</t>
    </r>
  </si>
  <si>
    <t xml:space="preserve">c) „Przebudowa i poprawa funkcjonalności kompleksu kuchennego w celu spełnienia wymogów sanitarnych i systemu HACCP wraz ze zmianą i optymalizacją procesu technologicznego przygotowania posiłków” – 496.750,-zł,
d)„Modernizacja Kliniki  Kardiologii z Pododdziałem Ostrych Zespołów Wieńcowych w Klinicznym Szpitalu Wojewódzkim Nr 2 im. Św. Jadwigi Królowej w Rzeszowie” – 496.750,-zł,
e) „Przebudowa Bloku Operacyjnego Ogólnego oraz przebudowa budynku B na potrzeby Pododdziału Chirurgii Naczyniowej w Klinice Kardiochirurgii w Klinicznym Szpitalu Wojewódzkim Nr 2 im. Św. Jadwigi Królowej w Rzeszowie” - 993.760,-zł, 
f) „E-usługi w Klinicznym Szpitalu Wojewódzkim Nr 2 im. Św. Jadwigi Królowej w Rzeszowie” - 34.200,-zł,
g) „Zakup sprzętu i aparatury medycznej” – 16.162.355,-zł,
h) „Przebudowa budynku Histopatologii i Patomorfologii w Klinicznym Szpitalu Nr 2 im. Św. Jadwigi Królowej w Rzeszowie" – 13.038.970,-zł,
Źródła finansowania: środki własne budżetu Województwa.
Zadanie ujęte w wykazie przedsięwzięć do WPF. 
i) „Modernizacja Kliniki Ortopedii w KSW nr 2 w Rzeszowie” -12.007.008,-zł
Źródła finansowania: 
- środki z Rządowego Funduszu Inwestycji Lokalnych – 2.650.720,-zł,
- środki własne budżetu Województwa – 9.356.288,-zł.
Zadanie ujęte w wykazie przedsięwzięć do WPF.
3) Wojewódzkiego Szpitala im. Ojca Pio w Przemyślu – 8.261.456,-zł z przeznaczeniem na realizację zadań pn.:
a) "Reorganizacja Oddziału Chirurgicznego dla Dzieci” – 2.748.480,-zł,
b) „Reorganizacja Oddziału Otolaryngologicznego z Pododdziałem Laryngologii Dziecięcej” – 2.748.480,-zł,
c) „Modernizacja podczyszczalni ścieków w Wojewódzkim Szpitalu im. Św. Ojca Pio w Przemyślu” – 392.640,-zł,
d) „Centrala VoIP wraz z telefonami VoIP i rozbudową infrastruktury telefonicznej" - 735.350,-zł,
e) „Modernizacja i rozwój e-usług w ramach Podkarpackiego Systemu Informacji Medycznej (PSIM) w Wojewódzkim Szpitalu im. Św. Ojca Pio w Przemyślu” – 1.024.658,-zł,
f) „Zakup aparatury i sprzętu medycznego" – 611.848,-zł,
4) Wojewódzkiego Szpitala Podkarpackiego im. Jana Pawła II w Krośnie – 10.895.780,-zł z przeznaczeniem na realizację zadania pn.: 
a) „Montaż systemu sygnalizacji pożaru oraz drzwi  ppoż. rozdzielających strefy ppoż. w budynkach Szpitala" – 195.440,-zł,
b) „Zakup sprzętu i aparatury medycznej dla Wojewódzkiego Szpitala Podkarpackiego  im. Jana Pawła II w Krośnie” - 1.377.852,-zł.    </t>
  </si>
  <si>
    <t xml:space="preserve">I. Wydatki bieżące: dotacja celowa dla Wojewódzkiego Podkarpackiego Szpitala Psychiatrycznego im. prof. E. Brzezickiego w Żurawicy § 2560 - 149.808,-zł, z tego na realizację programów z zakresu promocji zdrowia - 30.000,-zł oraz z zakresu bieżących remontów - remont stacji uzdatniania wody- 119.808,-zł.
II. Wydatki majątkowe: dotacje celowe dla wojewódzkich samodzielnych publicznych zakładów opieki zdrowotnej § 6220 - 10.746.397,-zł, z tego dla:
1) Specjalistycznego Psychiatrycznego Zespołu Opieki Zdrowotnej im. prof. A.  Kępińskiego w Jarosławiu - 10.126.652,-zł, w tym na realizację zadań pn.: 
a) "Modernizacja i rozbudowa budynku Nr 1" - 4.540.612,-zł,
b) "Modernizacja i rozbudowa budynku Nr 8" - 5.551.840,-zł,
c) "E-usługi w specjalistycznym Psychiatrycznym Zespole Opieki Zdrowotnej im. prof. Antoniego Kępińskiego w Jarosławiu" - 34.200,-zł,
</t>
  </si>
  <si>
    <t>2) Wojewódzkiego Podkarpackiego Szpitala Psychiatrycznego im. prof. Eugeniusza Brzezickiego w Żurawicy - 619.745,-zł z przeznaczeniem na realizację zadań pn.:
a) "Przebudowa budynku nr 2 wraz z zakupem pierwszego wyposażenia" - 174.720,-zł,
b) "Modernizacja i rozwój e-usług w ramach Podkarpackiego Systemu Informacji Medycznej (PSIM) w Wojewódzkim Podkarpackim Szpitalu Psychiatrycznym im. prof. Eugeniusza Brzezickiego w Żurawicy"- 236.160,-zł,
c) "Zakup sprzętu medycznego oraz platformianego wózka elektrycznego" -  121.006,-zł,
d) "Termomodernizacja budynku nr 4 w WPSP w Żurawicy" - 87.859,-zł.</t>
  </si>
  <si>
    <t>I. Wydatki bieżące w kwocie: 6.764.863,-zł:
1. Utrzymanie jednostki budżetowej Regionalnego Ośrodka Polityki Społecznej w Rzeszowie w kwocie 5.650.871,-zł, w tym:
1) wynagrodzenia i składki od nich naliczane - 4.665.569,-zł - § 4010 - 3.631.743,-zł, § 4040 - 231.931,-zł, § 4110 - 654.705, § 4120 - 92.927,-zł, § 4170 - 14.400,-zł, § 4710 - 39.863,-zł, w tym wypłata dodatków specjalnych do wynagrodzeń dla pracowników ROPS w Rzeszowie  realizujących badania i opracowujących raporty z zakresu polityki społecznej, w tym  w obszarze problemów, potrzeb i oczekiwań zastępczych w kwocie 15.400,-zł.
2) pozostałe wydatki bieżące - 985.302,- zł, w tym bieżące remonty i konserwacje - § 4270 - 166.884,-zł, 
2. Wydatki na realizację zadań wynikających z ustawy o pomocy społecznej w kwocie 147.705,-zł, tj. diagnozowanie i monitorowanie wybranych problemów społecznych w regionie, organizacja szkoleń w zakresie doskonalenia kompetencji zawodowych kadry pomocy społecznej i podmiotów działających w obszarze pomocy społecznej.
3. Świadczenia na rzecz osób fizycznych § 3020 - 16.287,-zł.
4. Dotacje celowe dla jednostek spoza sektora finansów publicznych na realizację zadań wynikających z Wojewódzkiego Programu Pomocy Społecznej na lata 2016-2023 § 2360 - 950.000,-zł.
II. Wydatki majątkowe w kwocie 1.002.200,-zł, w tym:.
1) realizacja zadania pn. "termomodernizacja budynku" § 6050 - 711.000,-zł,
2) zakupy inwestycyjne - § 6060 - 291.200,-zł, z tego:
- zakup (dostawa) sprzętu komputerowego niezbędnego do wdrożania EZD - (Systemu do elektronicznego zarządzania dokumentacją) - 189.200,-zł,
- zakup (dostawa) serwera NAS oraz dysków do serwera NAS - backup przeznaczony do systemu EZD - (System do elektronicznego zarządzania dokumentacją) - 54.000,-zł,
- zakup (dostawa) oprogramowania zapobiegającgoe wyciekowi danych - DLP LICENCJI NOWA (JEDNOROCZNA) - 23.000,-zł,
- zakup urządzenia wielofunkcyjnego - 25.000,-zł.</t>
  </si>
  <si>
    <t>I. Wydatki bieżące: dotacje celowe dla wojewódzkich samodzielnych publicznych zakładów opieki zdrowotnej - § 2560 - 2.119.261,-zł, w tym na:
a) realizację programów z zakresu promocji zdrowia - 329.000,-zł, w tym dla: 
- Klinicznego Szpitala Wojewódzkiego Nr 2 im. Św. Jadwigi Królowej w Rzeszowie – 160.000,-zł,
- Wojewódzkiego Szpitala im. Św. Ojca Pio w Przemyślu – 120.000,-zł, 
- Wojewódzkiego Szpitala Podkarpackiego im. Jana Pawła II w Krośnie – 49.000,-zł. 
b) "Wymianę posadzek na posadzki z wykładziny PCV oraz wymiana drzwi w pomieszczeniach Wojewódzkiego Szpitala Podkarpackiego im. Jana Pawła II w Krośnie" - 1.201.956,-zl,
c) "Poprawę stanu technicznego obiektów użytkowych Szpitala poprzez remont pokryć dachowych na budynkach Wojewódzkiego Szpitala im. Zofii Zamoyskich Tarnowskiej w Tarnobrzegu" - 532.224,-zł,
d) "Poprawę stanu technicznego obiektów użytkowych Szpitala poprzez remont oświetlenia awaryjnego w budynkach Wojewódzkiego Szpitala im. Zofii Zamoyskich Tarnowskiej w Tarnobrzegu" - 56.081,-zł.
II. Wydatki majątkowe: dotacje celowe dla wojewódzkich samodzielnych publicznych zakładów opieki zdrowotnej - § 6220 - 108.792.183,-zł, z tego dla:
1) Klinicznego Szpitala Wojewódzkiego Nr 1 im. Fryderyka Chopina w Rzeszowie – 33.112.905,-zł z przeznaczeniem na realizację zadań pn.:
a) „Modernizacja  i adaptacja pomieszczeń Kliniki Neurologii na potrzeby Kliniki Psychiatrii Ogólnej z utworzeniem Izby Przyjęć dla pacjentów psychiatrycznych” – 1.485.180,-zł,
b) „E-usługi w Klinicznym Szpitalu Wojewódzkim Nr 1 im. Fryderyka Chopina w Rzeszowie" – 40.350,-zł,
c) "Zakup pięciu aparatów do znieczuleń" - 900.000,-zł,
d) „Profilaktyka, diagnostyka i kompleksowe leczenie chorób układu oddechowego z chirurgicznym i chemicznym leczeniem nowotworów klatki piersiowej na oddziałach klinicznych oraz rehabilitacją" – 20.969.038,-zł.
Źródła finansowania: 
-środki z Rządowego Funduszu Inwestycji Lokalnych – 5.820.030,-zł,
- środki własne budżetu Województwa – 15.149.008,-zł.
Zadania ujęte w wykazie przedsięwzięć do WPF. 
e) „Przebudowa pomieszczeń II piętra w budynku „A” i „BG” użytkowanych przez Klinikę Ginekologii i Położnictwa w Klinicznym Szpitalu Wojewódzkim nr 1 im. Fryderyka Chopina w Rzeszowie" - 9.718.337,-zł.
Źródła finansowania: 
- środki z Rządowego Funduszu Inwestycji Lokalnych - 2.200.000,-zł,
- środki własne budżetu Województwa - 7.518.337,-zł.
Zadania ujęte w wykazie przedsięwzięć do WPF. 
2) Klinicznego Szpitala Wojewódzkiego Nr 2 im. Św. Jadwigi Królowej w Rzeszowie – 44.562.524,-zł z przeznaczeniem na realizację zadań pn.:
a) „Rozszerzenie działalności Podkarpackiego Centrum Zdrowia Dziecka wraz z rozbudową Klinicznego Szpitala Wojewódzkiego Nr 2 im. Św. Jadwigi Królowej w Rzeszowie” – 378.971,-zł, 
b) „Przebudowa Izby przyjęć Dzieci poprzez adaptację pomieszczeń na potrzeby gabinetu lekarskiego (pediatrycznego) i sali obserwacyjnej dzieci” - 953.760,-zł,</t>
  </si>
  <si>
    <r>
      <t xml:space="preserve">I. Wydatki bieżące w kwocie 6.092.665,-zł:
1) składki na ubezpieczenie społeczne i na Fundusz Pracy naliczane dla niepracujących zawodników pobierających stypendium sportowe - 12.437,-zł: § 4110 - 10.447,-zł, § 4120 - 1.990,-zł,
2) zakup i wykonanie trofeów (m.in. pucharów, statuetek), strojów reprezentacji Województwa Podkarpackiego, zakup drobnego sprzętu sportowego i akcesoriów sportowych, organizacja spotkań z przedstawicielami środowiska sportowego, organizacja uroczystego podsumowania minionego roku sportowego - Gali Sportu Młodzieżowego, diagnoza stanu sportu w Województwie Podkarpackim zmierzająca do opracowania programu rozwoju sportu – 203.928,-zł: § 4210 - 82.621,-zł, § 4300 - 121.307,-zł, 
3) dotacje celowe dla organizacji pozarządowych na zadania i cele publiczne z zakresu kultury fizycznej i sportu - 4.625.857,-zł, w tym na:
a) zadania mające na celu podniesienie poziomu sportowego zawodników Województwa Podkarpackiego - § 2820 - 3.410.857,-zł, z tego: 
- m.in. szkolenie dzieci i młodzieży w ramach Kadr Wojewódzkich, organizacja zawodów w ramach Systemu Sportu Młodzieżowego na terenie Województwa i udział w zawodach w ramach Systemu Sportu Młodzieżowego, organizacja zawodów rangi mistrzowskiej na terenie Województwa i udział w zawodach rangi mistrzowskiej - 3.035.857,-zł, 
</t>
    </r>
    <r>
      <rPr>
        <b/>
        <sz val="10"/>
        <rFont val="Arial"/>
        <family val="2"/>
        <charset val="238"/>
      </rPr>
      <t/>
    </r>
  </si>
  <si>
    <r>
      <rPr>
        <u/>
        <sz val="10.5"/>
        <rFont val="Arial CE"/>
        <charset val="238"/>
      </rPr>
      <t>I. Wydatki bieżące:</t>
    </r>
    <r>
      <rPr>
        <sz val="10.5"/>
        <rFont val="Arial CE"/>
        <charset val="238"/>
      </rPr>
      <t xml:space="preserve"> 
1) utrzymanie jednostki budżetowej Wojewódzkiego Urzędu Pracy w Rzeszowie - 13.689.667,-zł, w tym:
  a) wynagrodzenia i składki od nich naliczane - 11.194.299,-zł, (w tym: dla pracowników zaangażowanych w obsługę Funduszu Gwarantowanych Świadczeń Pracowniczych  - 1.288.000,- zł oraz obsługę służby zastępczej - 620,- zł),
  b) pozostałe wydatki bieżące związane z realizacją zadań statutowych jednostki - 2.476.588,-zł, w tym bieżące naprawy i konserwacje - § 4270 - 86.000,-zł,
  c) świadczenia na rzecz osób fizycznych - 18.780,- zł: § 3020 - 17.500,- zł, § 3030 - 1.280,- zł,
Źródła finansowania: 
- dotacja z budżetu państwa na zadania rządowe z zakresu służby zastępczej - 1.000,-zł,
- środki z FGŚP - 1.566.000,- zł,
- środki własne budżetu Województwa - 12.122.667,- zł.
2) realizacja przez WUP w Rzeszowie projektu Pomocy Technicznej w ramach Programu Operacyjnego Wiedza, Edukacja, Rozwój na lata 2014-2020 - 4.200.000,-zł,
Źródła finansowania:
- środki budżetu państwa na finansowanie - 3.539.760,-zł,
- środki własne budżetu Województwa - 660.240,-zł.
Zadanie ujęte w wykazie przedsięwzięć do WPF. 
II. Wydatki majątkowe w kwocie 417.800,- zł, w tym: 
  1) zakupy inwestycyjne - § 6060 -190.000,-zł, na zakup samochodu służbowego,
  2) inwestycje - § 6050 - 227.800,- zł, z tego:
a) "Wykonanie i montaż boksów biurowych wraz z pracami towarzyszącymi" - 27.800,- zł. Zadanie o wartości 27.800,- zł planowane do realizacji w 2023 roku.
b) "Opracowanie koncepcji architektonicznej parkingu wielopoziomowego dla potrzeb Wojewódzkiego Urzędu Pracy w Rzeszowie i pozostałych jednostek organizacyjnych Województwa Podkarpackiego" - 200.000,- zł. Zadanie o wartości 200.000,- zł planowane do realizacji w 2023 roku.</t>
    </r>
  </si>
  <si>
    <t>Wydatki bieżące: 
1) Zadania wynikające z Wojewódzkiego Programu Profilaktyki i Rozwiązywania Problemów Alkoholowych oraz Przeciwdziałania Narkomanii - 301.200,-zł:   
- dotacje celowe dla jednostek spoza sektora finansów publicznych - § 2360 - 268.200,-zł, 
- pozostałe wydatki bieżące na zadania z zakresu profilaktyki uzależnień realizowane na podstawie porozumień z organami administracji publicznej (tj. z Wojewódzką Komendą Policji, Państwową Inspekcją Sanitarną) w kwocie 33.000,-zł - § 4190 - 27.000,-zł, § 4210 - 2.000,-zł, § 4300 - 4.000 .
2) Dotacja celowa dla Wojewódzkiego Ośrodka Terapii Uzależnienia od Alkoholu i Współuzależnienia w Stalowej Woli na remont łazienek (I i II piętra) przeznaczonych na potrzeby pacjentów przebywających w Wojewódzkim Ośrodku Terapii Uzależnienia od Alkoholu i Współuzależnienia w Stalowej Woli §  - 2560 - 164.998,-zł.</t>
  </si>
  <si>
    <t xml:space="preserve">I. Wydatki bieżące w kwocie 18.527.044,-zł: 
1) Utrzymanie jednostki budżetowej Podkarpackiego Zespołu Placówek Wojewódzkich w Rzeszowie - 18.357.401,-zł, w tym:
a) wynagrodzenia wraz z pochodnymi - 16.394.932,-zł, 
b) pozostałe wydatki związane z realizacją statutowych zadań jednostki - 1.936.219,-zł, w tym wydatki na bieżące remonty i konserwacje - § 4270 - 884.805,-zł na:
- remont budynku siedziby przy ul Niedzielskiego w Rzeszowie w kwocie 511.635,-zł, w tym: wymiana stolarki drzwiowej i malowanie pomieszczeń – 241.635,-zł, remont łazienek - 240.000,-zł, remont tarasu i bocznego wejścia - 30.000,-zł,
- remonty w Ośrodku w Czudcu w kwocie 271.770,-zł, w tym: remont budynku uzdatniania wody wraz z remontem i uzdatnieniem studni – 150.000,-zł, kompleksowy remont garażu – 104.550,-zł, remont obróbek blacharskich dachu sali gimnastycznej – 17.220,-zł,
- remonty w oddziale PZPW w Przemyślu w kwocie 51.400,-zł, w tym: remont korytarza i pomieszczenia sekretariatu w budynku oddziału – 40.000,-zł, remont kostki brukowej przy budynku oddziału – 11.400,-zł,
 - remont toalety na I piętrze w budynku dydaktycznym oddziału PZPW w Tarnobrzegu - 50.000,-zł.
c) świadczenia na rzecz osób fizycznych - 26.250,-zł.
</t>
  </si>
  <si>
    <r>
      <t>Wydatki bieżące</t>
    </r>
    <r>
      <rPr>
        <b/>
        <sz val="11"/>
        <rFont val="Arial CE"/>
        <charset val="238"/>
      </rPr>
      <t xml:space="preserve"> </t>
    </r>
    <r>
      <rPr>
        <sz val="11"/>
        <rFont val="Arial CE"/>
        <charset val="238"/>
      </rPr>
      <t>w kwocie 2.551.295,-zł:</t>
    </r>
    <r>
      <rPr>
        <sz val="11"/>
        <color rgb="FFFF0000"/>
        <rFont val="Arial CE"/>
        <charset val="238"/>
      </rPr>
      <t xml:space="preserve">
</t>
    </r>
    <r>
      <rPr>
        <sz val="11"/>
        <rFont val="Arial CE"/>
        <charset val="238"/>
      </rPr>
      <t xml:space="preserve">1) umowy zlecenia i o dzieło zawierane z osobami fizycznymi - § 4170 - 4.400,-zł, </t>
    </r>
    <r>
      <rPr>
        <sz val="11"/>
        <color rgb="FFFF0000"/>
        <rFont val="Arial CE"/>
        <charset val="238"/>
      </rPr>
      <t xml:space="preserve">
</t>
    </r>
    <r>
      <rPr>
        <sz val="11"/>
        <rFont val="Arial CE"/>
        <charset val="238"/>
      </rPr>
      <t xml:space="preserve">2) wynajem sal i uroczystości okolicznościowych i jubileuszy: organizacja spotkań związanych z wręczaniem: nagród nauczycielom z okazji Dnia Edukacji, dyplomów stypendystom i nagrodzonym z programu "Nie zagubić talentu", organizacja spotkań z kadrą kierowniczą wojewódzkich jednostek oświatowych, organizacja posiedzeń: komisji egzaminacyjnych dla nauczycieli ubiegających się o awans na stopień nauczyciela mianowanego, komisji opiniującej wnioski o przyznanie nagród i stypendiów "Nie zagubić talentu", zakup wiązanek kwiatowych na uroczystość Dnia Edukacji, Galę wręczenia nagród i stypendiów oraz jubileuszy wojewódzkich jednostek oświatowych - 33.100,-zł: § 4210 - 2.000,-zł, § 4300 - 31.100,-zł, 
3) realizacja zadania pn. "Program wsparcia dwujęzyczności w podkarpackich przedszkolach - II" - § 4210 - 150.000,-zł, 
4) świadczenia na rzecz osób fizycznych - 685.000,-zł: 
a) nagrody finansowe dla uzdolnionej młodzieży w ramach Programu "Nie zagubić talentu" - § 3040 - 185.000,-zł,
</t>
    </r>
    <r>
      <rPr>
        <b/>
        <sz val="11"/>
        <rFont val="Arial CE"/>
        <charset val="238"/>
      </rPr>
      <t xml:space="preserve">
</t>
    </r>
  </si>
  <si>
    <t>b) stypendia dla uzdolnionej młodzieży w Województwie Podkarpackim w ramach zadania pn. Program wspierania edukacji uzdolnionej młodzieży "Nie zagubić talentu" - stypendia - § 3240 - 500.000,-zł,
Zadanie ujęte w wykazie przedsięwzięć do WPF.
5) odpis na ZFŚS nauczycieli emerytów - § 4440 - 750.083,-zł,
6) Realizacja przez Podkarpacki Zespół Placówek Wojewódzkich w Rzeszowie projektów w kwocie 928.712,-zł pn.:
a) "Making personal learning experiences possible and visible also in a digital way - Das PerLen-Konzept" w ramach Programu Erasmus+ - 35.849,-zł,
Projekt finansowany ze środków UE.
Zadanie ujęte w wykazie przedsięwzięć do WPF.
b) "Projekt akredytowany - nr 2022-1-PL01-KA121-SCH-000062408 w ramach programu Erasmus+" w ramach programu Erasmus+ - 892.863,-zł.
Projekt finansowany ze środków UE, w tym z niewykorzystanych z lat ubiegłych w kwocie 695.511,-zł.
Zadanie ujęte w wykazie przedsięwzięć do WPF.</t>
  </si>
  <si>
    <t>3) świadczenia na rzecz osób fizycznych - 2.440,-zł.</t>
  </si>
  <si>
    <t>Utrzymanie Szkolnego Schroniska Młodzieżowego w Czudcu funkcjonujacego przy Podkarpackim Zespole Placówek Wojewódzkich w Rzeszowie.
I. Wydatki bieżące w kwocie 896.634,-zł:
1) wynagrodzenia i składki od nich naliczane - 83.044,-zł, 
2) pozostałe wydatki związane z realizacją statutowych zadań jednostki - 811.150,-zł, w tym wydatki remontowe - § 4270 - 535.650,-zł na: kompleksowy remont kuchni i zaplecza w SSM w Czudcu, filia w Tarnobrzegu - 300.000,-zł, wymianę kaloryferów w budynku SSM w Tarnobrzegu - 175.000,-zł, wymianę wykładzin w pokojach noclegowych na I i II piętrze w budynku SSM w Czudcu - 40.650,-zł, przeglądy, konserwacje i naprawy bieżące budynków i sprzętu - 20.000,-zł.</t>
  </si>
  <si>
    <r>
      <t>I. Wydatki bieżące w kwocie 19.073.825,-zł.
1) zadania z zakresu promocji Województwa w ramach umów zawieranych z  osobami fizycznymi (m.in. zakup praw autorskich oraz licencji na wykorzystanie utworów fotograficznych, graficznych, filmowych, multimedialnych oraz dziennikarskich, opracowanie materiałów promocyjnych) - § 4170 - 57.500,-zł,
2) zakup i opracowanie materiałów promujących województwo podkarpackie - 464.195,-zł: § 4210 - 364.195,-zł, § 4300 - 100.000,-zł, 
3)  działania  wizerunkowo - promocyjne Województwa podkarpackiego podczas różnych wydarzeń krajowych i zagranicznych - 4.000.000,-zł, w tym:
a) realizacja projektu pn. "Poznaj Podkarpackie" - 500.000,-zł,
b) przedsięwzięcia wyłaniane na podstawie konkursu w ramach Programu "Podkarpackie - przestrzeń otwarta" - 1.000.000,-zł,
c) realizacja projektu pn. "Twarze Podkarpacia" - 400.000,-zł,
d) kampanie informacyjno-promocyjne Województwa Podkarpackiego podczas imprez sportowych z udziałem klubów sportowych z województwa podkarpackiego, które w danej dyscyplinie znajdują się na najwyższym szczeblu rozgrywkowym obecnym w województwie - 1.200.000,-zł,
e) realizacja projektu pn. "Sportowe Podkarpackie" - 800.000,-zł,
f) realizacja projektu pn. "Podkarpackie w Mediach" - 100.000,-zł,
4) realizacja zadań związanych z wdrożeniem strategii marki województwa podkarpackiego - 2.182.130,-zł, w tym:
a) własne wydarzenia promocyjne, kampanie promocyjne, publikacje i reklama w mediach - § 4300 - 1.582.130,-zł,
b) promocja  województwa za pośrednictwem mediów społecznościowych m.in. współpraca z influencerami, płatne działania promocyjne w mediach społecznościowych, usługi produkcji i montażu krótkich form wideo oraz zakup usług obejmujących dostęp do narzędzi monitorujących skuteczność działań w mediach i usług dostępu do serwisów udostępniających gotowe pliki multimedialne (tzw. stocków) - § 4300 -  60.000,-zł,      
c) zakup usług hostingowych i wsparcia oraz usług marketingu internetowego - § 4300 - 40.000,-zł,
d) ekspertyzy, analizy i opinie związane  planem wdrożenia strategii marki województwa - § 4390 - 500.000,-zł
5) zakup, wykonanie, konserwacja i obsługa elementów systemu identyfikacji wizualnej województwa podkarpackiego - 225.000,-zł: § 4210 - 50.000,-zł, § 4270 - 25.000,-zł, § 4300 - 150.000,-zł,
6) realizacja zadania pn. "Miedzynarodowa kampania informacyjno - promocyjna województwa podkarpackiego z wykorzystaniem narzędzi promocji należących do przewoźnika lotniczego" - § 4300 - 7.995.000,-zł.  
Źródła finansowania:</t>
    </r>
    <r>
      <rPr>
        <b/>
        <sz val="12"/>
        <color theme="1"/>
        <rFont val="Arial"/>
        <family val="2"/>
        <charset val="238"/>
      </rPr>
      <t xml:space="preserve">
</t>
    </r>
    <r>
      <rPr>
        <sz val="12"/>
        <color theme="1"/>
        <rFont val="Arial"/>
        <family val="2"/>
        <charset val="238"/>
      </rPr>
      <t>- środki własne budżetu Województwa.</t>
    </r>
    <r>
      <rPr>
        <b/>
        <sz val="12"/>
        <color theme="1"/>
        <rFont val="Arial"/>
        <family val="2"/>
        <charset val="238"/>
      </rPr>
      <t xml:space="preserve">
</t>
    </r>
    <r>
      <rPr>
        <sz val="12"/>
        <color theme="1"/>
        <rFont val="Arial"/>
        <family val="2"/>
        <charset val="238"/>
      </rPr>
      <t>7) realizacja przez Urząd Marszałkowski Województwa Podkarpackiego projektu pn. "Promocja Gospodarcza Województwa Podkarpackiego" w ramach RPO WP na lata 2014-2020 - 4.000.000,-zł.
Źródła finansowania:  środki UE.
Zadanie ujęte w wykazie przedsięwzięć do WPF WP.  
8) realizacja zadania pn. "Działania promocyjne Województwa Podkarpackiego związane z przygotowaniem do organizacji Ogólnopolskiej Olimpiady Młodzieży w sportach zimowych - Podkarpackie 2023" - § 4300 - 150.000,-zł.
Zadanie ujęte w wykazie przedsięwzięć do WPF WP.  
II. Wydatki majątkowe: zakup dużych i trwałych elementów identyfikacji wizualnej województwa podkarpackiego - § 6060 - 42.000,-zł.</t>
    </r>
  </si>
  <si>
    <t>k) pozostałe wydatki  związane z realizacją zadań drogowych obejmujące m.in.  opłaty za energię elektryczną  dotyczącą utrzymania przepompowni wód oraz sygnalizacji świetlnych, znaków interaktywnych, koszty badań technicznych pojazdów,  eksploatacji samochodów oraz transmisji danych z systemu e- TOLL, czynsze, ubezpieczenie mienia,  remonty placów, ogrodzeń, budynków, dróg wewnętrznych oraz sprzętu wykorzystywanego do utrzymania dróg i mostów - 5.644.800,-zł:  § 4210 - 2.404.500,-zł, § 4260 - 763.000,-zł, § 4270 - 1.271.000,-zł, § 4300 - 596.000,-zł, § 4390 - 50.000,-zł, § 4430 - 240.000,-zł, § 4400 - 25.000,-zł, § 4480 - 165.000,-zł, § 4500 - 7.000,-zł,  § 4510 - 300,-zł, § 4520 - 123.000,-zł, 
l) koszty postępowania sądowego wraz z karami i odszkodowaniami - 65.000,-zł:  § 4590 - 35.000,-zł, § 4610 - 30.000,-zł, 
2) realizacja zadania pn. "Monitoring zwierząt na przejściach dla zwierząt zlokalizowanych w ciągu dróg wojewódzkich" - § 4390 -140.000,-zł,
Zadanie ujęte w wykazie przedsięwzięć do WPF WP. 
3) realizacja zadania pn. "Kompleksowa obsługa opłat za użytkowanie gruntów pokrytych wodami" - § 4430 - 370.000,-zł.
Zadanie ujęte w wykazie przedsięwzięć do WPF WP. 
Źródła finansowania wydatków bieżących:
- środki własne budżetu Województwa - 44.182.236,-zł
- środki z rezerwy subwencji ogólnej z przeznaczeniem na dofinansowanie budowy, przebudowy, remontu, utrzymania, ochrony dróg wojewódzkich i zarządzania tymi drogami - 20.863.135,-zł.
I.Wydatki majątkowe w kwocie 426.821.160,-zł.
1. zadania jednoroczne realizowane przez PZDW w Rzeszowie w kwocie 47.371.180 -zł, w tym: 
1) "Rozbudowa drogi wojewódzkiej nr 856 Antoniów - Radomyśl nad Sanem - Dąbrowa Rzeczycka polegająca na budowie mostu w km 11 + 046 przez rz. Jodłówka wraz z rozbudową dojazdów oraz rozbiórką, budową i przebudową infrastruktury technicznej, budowli i urządzeń budowlanych w m. Żabno" - § 6050 - 9.000.000,-zł.
Wartość zadania: 9.000.000,-zł.
Źródło finansowania: środki własne budżetu Województwa.
2) "Przebudowa drogi wojewódzkiej Nr 881 Sokołów Młp. - Łańcut - Kańczuga - Pruchnik - Żurawica - budowa dwóch kładek dla pieszych na istniejących ciekach wodnych w km 18+250 w m. Czarna i w km 19+010 w m. Krzemienica oraz budowa odcinka chodnika od granicy pasa autostrady A4 do projektowanej kładki na cieku wodnym w km 19+010" - § 6050 - 1.250.000,-zł.
Wartość zadania: 2.000.000,-zł. 
Źródło finansowania: środki własne budżetu Województwa. Planuje się pozyskanie dofinansowania od innych JST.
3)"Rozbudowa drogi wojewódzkiej nr 989 Strzyżów - Lutcza od km ok. 7+574 do km ok. 7+832 wraz z budową mostu na Bonarowskim Potoku oraz rozbiórką, budową i przebudową niezbędnej infrastruktury technicznej, budowli i urządzeń budowlanych w m. Żyznów" - § 6050 - 5.800.000,-zł.
Wartość zadania: 10.500.000,-zł.
Źródło finansowania: środki własne budżetu Województwa.
4) "Rozbudowa drogi wojewódzkiej Nr 992 Jasło – Zarzecze – Nowy Żmigród – Krempna – Świątkowa – Grab – Ożenna – granica państwa na odcinku od km 14+677 do km 15+009 wraz z budową miejsca wykonywania kontroli ruchu i transportu drogowego, niezbędną infrastrukturą techniczną, budowlami i urządzeniami budowlanymi w miejscowości Nowy Żmigród" –  § 6050 –  1.200.000,-zł.           
Wartość zadania: 1.200.000,-zł.
Źródło finansowania: środki własne budżetu Województwa.</t>
  </si>
  <si>
    <t>5) "Regulacja stanów prawnych gruntów pod zadania inwestycyjne na sieci dróg wojewódzkich zarządzanych przez PZDW" - 10.000.000,-zł: § 6050 - 4.000.000,-zł, § 6060 - 6.000.000,-zł.
Wartość zadania: 10.000.000,-zł.
Źródło finansowania: środki własne budżetu Województwa.
6) "Zakup wraz z montażem elementów bezpieczeństwa ruchu i elementów chroniących użytkowników dróg (bariery energochłonne, ekrany zabezpieczające, znaki interaktywne, sygnalizacje świetlne) w ciągu dróg wojewódzkich administrowanych przez PZDW" - § 6050 - 181.180,-zł
Wartość zadania: 181.180,-zł.
Źródło finansowania: środki własne budżetu Województwa.
7) "Budowa chodników i zatok postojowych w ciągu dróg wojewódzkich realizowana w oparciu o Umowy pomiędzy Województwem Podkarpackim 
a Jednostkami Samorządu Terytorialnego" - § 6050 - 8.500.000,-zł.
Wartość zadania: 14.000.000,-zł.
Źródło finansowania: środki własne budżetu Województwa. Planuje się pozyskanie dofinansowania od innych JST.
8) "Przebudowy dróg wojewódzkich" - § 6050 - 7.000.000,-zł.
Wartość zadania: 9.000.000,-zł.
Źródło finansowania: środki własne budżetu Województwa. Planuje się pozyskanie dofinansowania od innych JST.
9)"Budowa sygnalizacji świetlnej na skrzyżowaniu drogi wojewódzkiej Nr 866 Dachnów – Lubaczów – gr. Państwa z ul. Konopnickiej w m. Lubaczów" - § 6050 -  400.000,-zł.
Wartość zadania: 400.000,-zł.
Źródło finansowania: środki własne budżetu Województwa.
10) "Opracowanie dokumentacji technicznej na budowę budynku zaplecza technicznego – warsztatu na RDW Mielec" - § 6050 - 30.000,-zł.
Wartość zadania: 30.000,-zł.
Źródło finansowania: środki własne budżetu Województwa.
11) "Przebudowa wiaty stalowej garażowej trójstanowiskowej poprzez wykonanie wrót wjazdowych – opracowanie dokumentacji technicznej RDW Stalowa Wola" - § 6050 - 30.000,-zł.
Wartość zadania: 30.000,-zł.
Źródło finansowania: środki własne budżetu Województwa.
12) "Wykonanie budynku magazynowo – warsztatowego wraz z przyłączami oraz wykonanie odwodnienia terenu poprzez wykonanie kanalizacji deszczowej – wykonanie dokumentacji technicznej – RDW Stalowa Wola" - § 6050 - 100.000,-zł.
Wartość zadania: 100.000,-zł.
Źródło finansowania: środki własne budżetu Województwa.
13) zakupy inwestycyjne na potrzeby zimowego i bieżącego utrzymania dróg - § 6060 - 3.880.000,-zł.
Źródło finansowania: środki własne budżetu Województwa.
2. zadania ujęte w wykazie przedsięwzięć do WPF w kwocie 379.449.980,-zł, w tym:
1) realizowane w ramach Regionalnego Programu Operacyjnego Województwa Podkarpackiego na lata 2014 - 2020 -  61.805.491,-zł, z tego:
a) "Budowa/przebudowa drogi wojewódzkiej nr 835 Lublin-Przeworsk-Grabownica Starzeńska na odcinku od DK 94 do miasta Kańczuga - etap I" - 4.371.423,-zł: § 6050 - 1.000.000,-zł, § 6057 - 2.865.710,-zł, § 6059 - 505.713,-zł. 
Źródła finansowania:
- środki UE - 2.865.710,-zł,
- środki własne budżetu Województwa - 1.505.713,-zł.   
Zadanie  ujęte w wykazie przedsięwzięć do WPF o łącznej wartości 41.667.261,-zł, realizowane w latach 2016-2023.
b) "Budowa/przebudowa drogi wojewódzkiej nr 835 Lublin-Przeworsk-Grabownica Starzeńska na odcinku od DK 94 do miasta Kańczuga - etap II" - 27.059.605,-zł: § 6050 - 26.486.483,-zł, § 6057 - 487.153,-zł, § 6059 - 85.969,-zł.
Źródła finansowania:
- środki UE - 487.153,-zł,
- środki własne budżetu Województwa - 26.572.452,-zł.   
Zadanie  ujęte w wykazie przedsięwzięć do WPF o łącznej wartości 53.407.191,-zł, realizowane w latach 2021-2023.
c) "Przebudowa/rozbudowa DW 895 na odcinku Solina – Myczków i DW 894 na odcinku Hoczew - Polańczyk" - 23.989.948,-zł: § 6050 - 2.147.153,-zł, § 6057 - 18.566.375,-zł, § 6059 - 3.276.420,-zł.
Źródła finansowania:
- środki UE - 18.566.375,-zł,
- pomoc finansowa z innych j.s.t - 647.153,-zł, 
- środki własne budżetu Województwa - 4.776.420,-zł.   
Zadanie  ujęte w wykazie przedsięwzięć do WPF o łącznej wartości 127.973.046,-zł, realizowane w latach 2017-2023.
d) "Budowa drogi wojewódzkiej nr 886 na odcinku pomiędzy planowaną obwodnicą miasta Sanoka a drogą krajową nr 28" - 6.384.515,-zł: § 6050 - 1.760.670,-zł, § 6057 - 3.930.268,-zł, § 6059 - 693.577,-zł.
Źródła finansowania:
- środki UE - 3.930.268,-zł,
- środki własne budżetu Województwa - 2.454.247,-zł.   
Zadanie  ujęte w wykazie przedsięwzięć do WPF o łącznej wartości 42.336.736,-zł, realizowane w latach 2016-2023.
2) realizowane w ramach Programu Operacyjnego  Polska Wschodnia na lata 2014-2020 pn. "Rozbudowa DW 878 na odcinku od granicy miasta Rzeszowa (ul. Lubelska) do DW 869" - 71.001.181,- zł:  § 6050 - 
1.414.889,-zł, § 6057 - 59.148.348,-zł, § 6059 - 10.437.944,-zł.
Źródła finansowania:
- środki UE - 59.148.348,- zł, 
- środki własne - 11.852.833,-zł.
Zadanie  ujęte w wykazie przedsięwzięć do WPF o łącznej wartości 137.000.000,-zł, realizowane w latach 2021-2023.
3) zadanie realizowane przy udziale środków z Rządowego Funduszu   Inwestycji Lokalnych pn.  "Budowa węzła na skrzyżowaniu autostrady A4 z drogą wojewódzką Nr 986 w m. Ostrów" - § 6100 - 615.000,-zł.
Źródła finansowania: środki z Rządowego Funduszu Inwestycji Lokalnych niewykorzystane w latach ubiegłych.
Zadanie  ujęte w wykazie przedsięwzięć do WPF o łącznej wartości 40.000.000,-zł, realizowane w latach 2022-2027.
4) zadania realizowane przy udziale środków z Rządowego Polski Ład: Program Inwestycji Strategicznych –  20.725.000,-zł, z tego:
a) "Modernizacja podkarpackich dróg wojewódzkich w Bieszczadach – Rozbudowa DW 895 na odcinku Uherce Mineralne (DK84) – Solina" - § 6050 - 2.000.000,-zł.
Źródła finansowania: środki własne budżetu Województwa.
Zadanie  ujęte w wykazie przedsięwzięć do WPF o łącznej wartości 73.600.000,-zł, realizowane w latach 2022-2023.
b) "Rozbudowa/przebudowa DW 986 odc. Ostrów  – Ropczyce wraz z budową mostu w m. Wielopolka i budową wiaduktu w m. Ropczyce nad linią kolejową 91" - 15.525.000,-zł: § 6050 - 2.025.000,-zł, § 6370 - 13.500.000,-zł.
Źródła finansowania: środki własne budżetu Województwa - 2.025.000,-zł, środki  Rządowego Funduszu Polski Ład: Program Inwestycji Strategicznych - 13.500.000,-zł.
Zadanie  ujęte w wykazie przedsięwzięć do WPF o łącznej wartości 35.350.000,-zł, realizowane w latach 2022-2024.
c) "Modernizacja podkarpackich dróg wojewódzkich w Bieszczadach – DW 894 Polańczyk - Wołkowyja"- § 6050 - 200.000,-zł.
Źródła finansowania: środki własne budżetu Województwa.
Zadanie  ujęte w wykazie przedsięwzięć do WPF o łącznej wartości 32.000.000,-zł, realizowane w latach 2022-2026.
d) "Rozbudowa i przebudowa drogi wojewódzkiej nr 858 na odcinku Sieraków – Harasiuki wraz z rozbiórką i budową mostu na rzece Borowina" -  2.800.000,-zł: § 6050 -300.000,-zł, § 6370 - 2.500.000,-zł.
Źródła finansowania:
- środki własne budżetu Województwa - 300.000,-zł,
- środki Rządowego Funduszu Polski Ład: Program Inwestycji Strategicznych - 2.500.000,-zł.
Zadanie  ujęte w wykazie przedsięwzięć do WPF o łącznej wartości 5.300.000,-zł, realizowane w latach 2022-2024.
e) "Budowa DW 869 pomiędzy autostradą A4 a DK9 i drogą expressową S19 – etap V" - § 6050 - 200.000,-zł.
Źródła finansowania: środki własne budżetu Województwa.
Zadanie  ujęte w wykazie przedsięwzięć do WPF o łącznej wartości 68.500.000,-zł, realizowane w latach 2022-2027.
5) zadania realizowane przy udziale środków z Rządowego Funduszu Rozwoju Dróg – 119.328.319,-zł, z tego: 
a) "Rozbudowa drogi wojewódzkiej Nr 872 na odcinku od skrzyżowania z DK 9 w Nowej Dębie do skrzyżowania z DK 77 w Nisku wraz z niezbędną infrastrukturą techniczną, budowlami i urządzeniami budowlanymi" - 51.360.000,-zł: § 6050 - 44.360.000,-zł, § 6060 - 7.000.000,-zł.
Źródła finansowania: środki z Rządowego Funduszu Rozwoju Dróg.
Zadanie  ujęte w wykazie przedsięwzięć do WPF o łącznej wartości 199.948.000,-zł, realizowane w latach 2020-2025.
b) "Budowa obwodnicy Tyczyna w ciągu DW 878" - § 6050 - 600.000,-zł.
Źródła finansowania: 
-środki własne budżetu Województwa - 180.000,-zł
- środki z Rządowego Funduszu Rozwoju Dróg - 420.000,-zł.
Zadanie  ujęte w wykazie przedsięwzięć do WPF o łącznej wartości 22.400.000,-zł, realizowane w latach 2022-2026.
c)"Budowa wschodniej obwodnicy Łańcuta w ciągu drogi wojewódzkiej nr 877 od węzła A4 "Łańcut" do drogi krajowej nr 94 w Głuchowie" - 33.968.319,-zł: § 6050 -  31.568.319,-zł, § 6060 - 2.400.000,-zł.
Źródła finansowania: 
-środki własne budżetu Województwa - 19.652.150,-zł
- środki z Rządowego Funduszu Rozwoju Dróg - 14.316.169,-zł.
Zadanie  ujęte w wykazie przedsięwzięć do WPF o łącznej wartości 81.116.644,-zł, realizowane w latach 2022-2024.
d) "Budowa obwodnicy Leska w ciągu DW 894 od DK 84 w m. Postołów do DW 894 w m. Huzele" - § 6050 - 3.000.000,-zł.
Źródła finansowania: 
- środki własne budżetu Województwa - 1.350.000,-zł
- środki z Rządowego Funduszu Rozwoju Dróg - 1.650.000,-zł.
Zadanie  ujęte w wykazie przedsięwzięć do WPF o łącznej wartości 182.000.000,-zł, realizowane w latach 2022-2026.
e) "Budowa nowego odcinka drogi wojewódzkiej nr 865 Jarosław - Oleszyce - Cieszanów - Bełżec wraz z budową mostu na rzece San oraz budową i przebudową niezbędnej infrastruktury technicznej, budowli i urządzeń budowlanych w m. Jarosław" -  § 6050 - 30.400.000,-zł.
Źródła finansowania: 
- środki własne budżetu Województwa - 22.320.000,-zł
 środki z Rządowego Funduszu Rozwoju Dróg - 8.080.000,-zł.
Zadanie  ujęte w wykazie przedsięwzięć do WPF o łącznej wartości 257.400.000,-zł, realizowane w latach 2022-2025.
6)realizowane przy udziele środków z Programu Operacyjnego Infrastruktura i Środowisko na lata 2014-2020  pn. "Budowa wiaduktu kolejowego/tunelu drogowego w nowym śladzie drogi wojewódzkiej DW nr 877 w ul. Podzwierzyniec w Łańcucie w zamian za likwidację przejazdu kolejowo-drogowego kat. A km 174,744 linii kolejowej nr 91, w ramach projektu pn.: "Poprawa bezpieczeństwa na skrzyżowaniach linii kolejowych z drogami - Etap III"" - 22.076.969,-zł: § 6050 - 19.976.969,-zł,  § 6060 - 2.100.000,-zł.
Źródła finansowania: środki własne budżetu Województwa.
Ogółem wartość przedsięwzięcia 43.355.200,-zł, w tym płatności ujęte w wykazie przedsięwzięć do WPF – 27.059.797,-zł, z tego  finansowane ze środków własnych samorządu województwa  - 25.059.797,-zł, finansowane z pomocy finansowej od innych j.s.t. – 2.000.000,-zł. PKP PLK S.A. dokona płatności ze środków pochodzących z budżetu UE w ramach POIiŚ 2014-2020 w kwocie 16.295.403,-zł. Zadanie realizowane w latach 2020-2023.
7) pozostałe zadania inwestycyjne finansowane wyłącznie ze środków własnych budżetu Województwa – 80.920.500,-zł, z tego:
a)"Opracowanie dokumentacji projektowych i uzyskanie decyzji o zezwoleniu na realizację inwestycji drogowych" - § 6050 - 17.537.000,-zł.
Źródła finansowania: środki własne budżetu Województwa.
Zadanie  ujęte w wykazie przedsięwzięć do WPF o łącznej wartości 84.970.960,-zł, realizowane w latach 2012-2027.
b) "Rozbudowa drogi wojewódzkiej nr 884 Przemyśl – Dubiecko – Bachórz – Domaradz na odcinku od km ok. 24+170 do km ok. 24+370 wraz 
z rozbiórką, budową i przebudową infrastruktury technicznej, budowli i urządzeń budowlanych w m. Babice"- § 6050 - 5.370.000,-zł.
Źródła finansowania: środki własne budżetu Województwa.
Zadanie  ujęte w wykazie przedsięwzięć do WPF o łącznej wartości 5.600.000,-zł, realizowane w latach 2022-2023.
c) "Przebudowa DW Nr 991 Lutcza - Krosno oraz DW 989 Strzyżów - Lutcza"  - § 6050 - 17.213.500,-zł.
Źródła finansowania: środki własne budżetu Województwa.
Zadanie  ujęte w wykazie przedsięwzięć do WPF o łącznej wartości 17.300.000,-zł, realizowane w latach 2022-2023.
d) "Budowa DW nr 858 Zarzecze - granica województwa na odcinku Dąbrowica – Sieraków" - § 6050 - 40.800.000,-zł.
Źródła finansowania: środki własne budżetu Województwa.
Zadanie  ujęte w wykazie przedsięwzięć do WPF o łącznej wartości 40.800.000,-zł, realizowane w latach 2022-2023.
8) dotacje celowe dla 9 Gmin z terenu Województwa Podkarpackiego na wkład własny do zadań powierzonych im do realizacji, dofinansowanych ze środków z Rządowego Funduszu Polski Ład: Program Inwestycji Strategicznych oraz Funduszu Przeciwdziałania COVID-19 - § 6610 - 2.677.520,-zł.
Zadanie ujęte  w wykazie przedsięwzięć do WPF pn. "Dofinansowanie zadań poprawiających stan techniczny oraz bezpieczeństwo ruchu na drogach wojewódzkich, realizowanych przez Gminy na terenie Województwa Podkarpackiego w ramach Rządowego Funduszu Polski Ład: Program Inwestycji Strategicznych oraz Funduszu Przeciwdziałania COVID-19".
9) dotacja celowa dla Gminy Kolbuszowa z przeznaczeniem na realizację powierzonego zadania pn. "Opracowanie dokumentacji przebudowy przepustu drogowego na ulicy Mieleckiej w Kolbuszowej Dolnej w km 25+968" - § 6610 - 300.000,-zł.
Źródła finansowania wydatków majątkowych:
- środki UE - 84.997.854,-zł,
- środki  Rządowego Funduszu Polski Ład: Program Inwestycji Strategicznych - 16.000.000,-zł,
- środki z Rządowego Funduszu Rozwoju Dróg - 75.826.169,-zł,
- środki z Rządowego Funduszu Inwestycji Lokalnych - 615.000,-zł,
- pomocy finansowej otrzymanej od j.s.t. - 647.153,-zł,
- środki własne budżetu Województwa - 248.734.984 ,- zł.</t>
  </si>
  <si>
    <t xml:space="preserve"> - organizacja Ogólnopolskiej Olimpiady Młodzieży w sportach zimowych - Podkarpackie 2023 - 375.000,-zł,
b) zadania mające na celu upowszechnianie kultury fizycznej wśród mieszkańców Województwa Podkarpackiego - § 2360 - 1.215.000,-zł, z tego: 
- organizacja imprez sportowych (w tym imprez sportowych dla osób niepełnosprawnych) - 250.000,-zł, 
- "Realizacja Programu Akademia Małych Zdobywców" - 305.000,-zł, w tym realizowane w ramach przedsięwzięcia ujętego w wykazie przedsięwzięć do WPF w kwocie 150.000,-zł,
- "Opracowanie i realizacja programów mających na celu poprawę sprawności fizycznej dzieci i młodzieży szkolnej" - 300.000,-zł, w tym realizowane w ramach przedsięwzięcia ujętego w wykazie przedsięwzięć do WPF w kwocie 100.000,-zł.
- "Organizacja współzawodnictwa sportowego dzieci i młodzieży szkolnej i akademickiej" - 360.000,-zł, w tym realizowane w ramach przedsięwzięcia ujętego w wykazie przedsięwzięć do WPF w kwocie 215.000,-zł.
4) nagrody pieniężne Zarządu Województwa Podkarpackiego dla zawodników i trenerów za osiągnięte wyniki sportowe oraz nagrody dla trenerów i innych osób wyróżniających się szczególną aktywnością i uzyskujących wybitne osiągnięcia w działalności w zakresie sportu na terenie województwa podkarpackiego - § 3040 - 222.357,-zł,
5) stypendia dla zawodników, którzy osiągnęli wysokie wyniki sportowe w międzynarodowym lub krajowym współzawodnictwie sportowym w roku 2022 - § 3250 - 1.028.086,-zł.
II. Wydatki majątkowe: dotacje celowe dla organizacji pozarządowych na zadania i cele publiczne z zakresu kultury fizycznej i sportu (zakup sprzętu sportowego) - § 6190 - 250.000,-zł.</t>
  </si>
  <si>
    <r>
      <rPr>
        <sz val="12"/>
        <rFont val="Arial"/>
        <family val="2"/>
        <charset val="238"/>
      </rPr>
      <t>I. Wydatki bieżące w kwocie 151.766.020,-zł: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1) "Organizowanie kolejowych przewozów pasażerskich realizowanych w ramach przewozów wojewódzkich" - § 2830 - 95.843.327,-zł, w tym realizowane w ramach przedsięwzięcia ujętego w wykazie przedsięwzięć do WPF w kwocie 72.543.327,-zł.
Zadanie finansowane ze środków własnych budżetu Województwa.                                                                                        
2) "Organizowanie kolejowych przewozów pasażerskich realizowanych w ramach Podmiejskiej Kolei Aglomeracyjnej - PKA" - § 2830 - 41.294.879,-zł, w tym realizowane w ramach przedsięwzięcia ujętego w wykazie przedsięwzięć do WPF w kwocie 32.274.879,-zł. 
Źródła finansowania:
- środki własne budżetu Województwa - 36.890.554,-zł,
- pomoc finansowa od innych JST - 4.404.325,-zł.  
3) "Utrzymanie zespołów trakcyjnych" - § 4270 - 572.000,-zł.
Zadanie finansowane ze środków własnych budżetu Województwa.           
Zadanie ujęte w wykazie przedsięwzięć do WPF.                                                                                      4) "Utrzymanie zespołów trakcyjnych RPO 2014-2020" - § 4270 - 3.396.147,-zł.
Zadanie finansowane ze środków własnych budżetu Województwa.      
Zadanie ujęte w wykazie przedsięwzięć do WPF.                                                                                         5) "Utrzymanie zespołów trakcyjnych PKA" - § 4270 - 5.274.667,-zł.
Zadanie finansowane ze środków własnych budżetu Województwa.                    
Zadanie ujęte w wykazie przedsięwzięć do WPF. </t>
    </r>
    <r>
      <rPr>
        <sz val="12"/>
        <color rgb="FFFF0000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6) "Naprawy, przeglądy i rewizje pojazdów szynowych" - § 4270 - 5.375.000,-zł.
Zadanie finansowane ze środków Funduszu Kolejowego.
7) koszty postępowania sądowego i prokuratorskiego - § 4610 - 10.000,-zł.</t>
    </r>
    <r>
      <rPr>
        <sz val="12"/>
        <color rgb="FFFF0000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II. Wydatki majątkowe w kwocie 343.440.000,-zł:
1) realizacja przez Urząd Marszałkowski Województwa Podkarpackiego w Rzeszowie projektu pn. "Zakup taboru kolejowego do wykonywania przewozów pasażerskich na terenie Województwa Podkarpackiego - etap II" w ramach Regionalnego Programu Operacyjnego Województwa Podkarpackiego na lata 2014 - 2020 - 341.940.000,-zł (§ 6060 - 63.940.000,-zł, § 6067 - 236.300.000,-zł, § 6069 - 41.700.000,-zł. 
Źródła finansowania:
- środki własne budżetu Województwa - 100.495.659,-zł, 
- środki UE - 236.300.000,-zł,
- środki z dotacji celowej budżetu państwa - 5.144.341,-zł.               
Zadanie ujęte w wykazie przedsięwzięć do WPF.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2) "Modernizacja (ulepszenie) pojazdów szynowych" - § 6060 - 1.500.000,-zł.
Zadanie finansowane ze środków Funduszu Kolejowego.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</si>
</sst>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sz val="10"/>
      <color rgb="FF000000"/>
      <name val="Times New Roman CE"/>
      <charset val="238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Czcionka tekstu podstawowego"/>
      <charset val="238"/>
    </font>
    <font>
      <sz val="9"/>
      <color rgb="FF000000"/>
      <name val="Arial CE"/>
      <charset val="238"/>
    </font>
    <font>
      <sz val="7"/>
      <color rgb="FF000000"/>
      <name val="Arial"/>
      <family val="2"/>
      <charset val="238"/>
    </font>
    <font>
      <sz val="7"/>
      <color rgb="FF000000"/>
      <name val="Arial CE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9"/>
      <color rgb="FF000000"/>
      <name val="Arial CE"/>
      <charset val="238"/>
    </font>
    <font>
      <b/>
      <sz val="10"/>
      <color rgb="FF000000"/>
      <name val="Arial CE"/>
      <charset val="238"/>
    </font>
    <font>
      <sz val="10"/>
      <color rgb="FFFF0000"/>
      <name val="Arial CE"/>
      <charset val="238"/>
    </font>
    <font>
      <i/>
      <sz val="10"/>
      <color rgb="FF000000"/>
      <name val="Arial CE"/>
      <charset val="238"/>
    </font>
    <font>
      <b/>
      <i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b/>
      <sz val="9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Times New Roman CE"/>
      <charset val="238"/>
    </font>
    <font>
      <b/>
      <sz val="8"/>
      <name val="Czcionka tekstu podstawowego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8"/>
      <color indexed="8"/>
      <name val="Arial"/>
      <family val="2"/>
      <charset val="238"/>
    </font>
    <font>
      <u/>
      <sz val="11"/>
      <name val="Arial CE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rgb="FFFF0000"/>
      <name val="Arial CE"/>
      <charset val="238"/>
    </font>
    <font>
      <b/>
      <sz val="11"/>
      <color rgb="FFFF0000"/>
      <name val="Arial CE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 CE"/>
      <charset val="238"/>
    </font>
    <font>
      <sz val="7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10"/>
      <color rgb="FFFF0000"/>
      <name val="Arial CE"/>
      <charset val="238"/>
    </font>
    <font>
      <i/>
      <sz val="8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theme="1"/>
      <name val="Arial CE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rgb="FFFF0000"/>
      <name val="Arial CE"/>
      <charset val="238"/>
    </font>
    <font>
      <sz val="8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8"/>
      <color theme="1"/>
      <name val="Arial CE"/>
      <charset val="238"/>
    </font>
    <font>
      <b/>
      <sz val="8"/>
      <name val="Arial CE"/>
      <charset val="238"/>
    </font>
    <font>
      <sz val="14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2"/>
      <color rgb="FFFF0000"/>
      <name val="Arial CE"/>
      <charset val="238"/>
    </font>
    <font>
      <sz val="12"/>
      <name val="Arial CE"/>
      <charset val="238"/>
    </font>
    <font>
      <b/>
      <sz val="12"/>
      <color rgb="FFFF0000"/>
      <name val="Arial CE"/>
      <charset val="238"/>
    </font>
    <font>
      <sz val="11"/>
      <color rgb="FFFF0000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 CE"/>
      <charset val="238"/>
    </font>
    <font>
      <sz val="7"/>
      <color theme="1"/>
      <name val="Arial CE"/>
      <charset val="238"/>
    </font>
    <font>
      <i/>
      <sz val="8"/>
      <color theme="1"/>
      <name val="Arial"/>
      <family val="2"/>
      <charset val="238"/>
    </font>
    <font>
      <sz val="11"/>
      <color theme="1"/>
      <name val="Arial CE"/>
      <charset val="238"/>
    </font>
    <font>
      <i/>
      <sz val="8"/>
      <color indexed="8"/>
      <name val="Arial"/>
      <family val="2"/>
      <charset val="238"/>
    </font>
    <font>
      <sz val="8"/>
      <color theme="1"/>
      <name val="Arial CE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rgb="FFFF0000"/>
      <name val="Arial CE"/>
      <charset val="238"/>
    </font>
    <font>
      <sz val="12"/>
      <name val="Calibri"/>
      <family val="2"/>
      <charset val="238"/>
      <scheme val="minor"/>
    </font>
    <font>
      <i/>
      <sz val="8"/>
      <color theme="1"/>
      <name val="Arial CE"/>
      <charset val="238"/>
    </font>
    <font>
      <i/>
      <sz val="8"/>
      <name val="Arial CE"/>
      <charset val="238"/>
    </font>
    <font>
      <i/>
      <sz val="8"/>
      <color rgb="FFFF0000"/>
      <name val="Arial CE"/>
      <charset val="238"/>
    </font>
    <font>
      <b/>
      <sz val="8"/>
      <name val="Arial "/>
      <charset val="238"/>
    </font>
    <font>
      <b/>
      <sz val="8"/>
      <color theme="1"/>
      <name val="Arial "/>
      <charset val="238"/>
    </font>
    <font>
      <b/>
      <sz val="8"/>
      <color rgb="FFFF0000"/>
      <name val="Arial "/>
      <charset val="238"/>
    </font>
    <font>
      <sz val="8"/>
      <name val="Arial "/>
      <charset val="238"/>
    </font>
    <font>
      <sz val="8"/>
      <color theme="1"/>
      <name val="Arial "/>
      <charset val="238"/>
    </font>
    <font>
      <sz val="8"/>
      <color rgb="FFFF0000"/>
      <name val="Arial "/>
      <charset val="238"/>
    </font>
    <font>
      <i/>
      <sz val="8"/>
      <name val="Arial "/>
      <charset val="238"/>
    </font>
    <font>
      <i/>
      <sz val="8"/>
      <color theme="1"/>
      <name val="Arial "/>
      <charset val="238"/>
    </font>
    <font>
      <i/>
      <sz val="8"/>
      <color rgb="FFFF0000"/>
      <name val="Arial "/>
      <charset val="238"/>
    </font>
    <font>
      <b/>
      <i/>
      <sz val="8"/>
      <name val="Arial"/>
      <family val="2"/>
      <charset val="238"/>
    </font>
    <font>
      <b/>
      <sz val="9"/>
      <color theme="1"/>
      <name val="Arial CE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2"/>
      <color theme="1"/>
      <name val="Arial CE"/>
      <charset val="238"/>
    </font>
    <font>
      <i/>
      <sz val="10"/>
      <name val="Arial CE"/>
      <charset val="238"/>
    </font>
    <font>
      <i/>
      <sz val="11"/>
      <color theme="1"/>
      <name val="Czcionka tekstu podstawowego"/>
      <family val="2"/>
      <charset val="238"/>
    </font>
    <font>
      <sz val="12"/>
      <color rgb="FFFFC000"/>
      <name val="Arial CE"/>
      <charset val="238"/>
    </font>
    <font>
      <u/>
      <sz val="10"/>
      <color rgb="FFFF0000"/>
      <name val="Arial CE"/>
      <charset val="238"/>
    </font>
    <font>
      <sz val="11.5"/>
      <color theme="1"/>
      <name val="Arial"/>
      <family val="2"/>
      <charset val="238"/>
    </font>
    <font>
      <sz val="11.5"/>
      <color rgb="FFFF0000"/>
      <name val="Arial"/>
      <family val="2"/>
      <charset val="238"/>
    </font>
    <font>
      <sz val="11.5"/>
      <name val="Arial"/>
      <family val="2"/>
      <charset val="238"/>
    </font>
    <font>
      <b/>
      <sz val="11.5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6" tint="-0.249977111117893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6" tint="-0.249977111117893"/>
      <name val="Arial"/>
      <family val="2"/>
      <charset val="238"/>
    </font>
    <font>
      <sz val="9"/>
      <color theme="6" tint="-0.249977111117893"/>
      <name val="Arial"/>
      <family val="2"/>
      <charset val="238"/>
    </font>
    <font>
      <u/>
      <sz val="12"/>
      <name val="Arial CE"/>
      <charset val="238"/>
    </font>
    <font>
      <u/>
      <sz val="12"/>
      <name val="Arial"/>
      <family val="2"/>
      <charset val="238"/>
    </font>
    <font>
      <u/>
      <sz val="9"/>
      <color rgb="FFFF0000"/>
      <name val="Arial CE"/>
      <charset val="238"/>
    </font>
    <font>
      <u/>
      <sz val="11"/>
      <name val="Arial"/>
      <family val="2"/>
      <charset val="238"/>
    </font>
    <font>
      <sz val="10.5"/>
      <name val="Arial CE"/>
      <charset val="238"/>
    </font>
    <font>
      <u/>
      <sz val="10.5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CECFF"/>
        <bgColor rgb="FFCCECFF"/>
      </patternFill>
    </fill>
    <fill>
      <patternFill patternType="solid">
        <fgColor rgb="FFCCFF99"/>
        <bgColor rgb="FFCCFF99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B89"/>
        <bgColor indexed="64"/>
      </patternFill>
    </fill>
    <fill>
      <patternFill patternType="solid">
        <fgColor rgb="FFFBF6B3"/>
        <bgColor indexed="64"/>
      </patternFill>
    </fill>
    <fill>
      <patternFill patternType="solid">
        <fgColor rgb="FFFFFFCC"/>
        <bgColor rgb="FFCCFF99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7" tint="0.79998168889431442"/>
        <bgColor rgb="FFCCFF99"/>
      </patternFill>
    </fill>
  </fills>
  <borders count="19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98">
    <xf numFmtId="0" fontId="0" fillId="0" borderId="0"/>
    <xf numFmtId="9" fontId="28" fillId="0" borderId="0" applyFont="0" applyFill="0" applyBorder="0" applyAlignment="0" applyProtection="0"/>
    <xf numFmtId="0" fontId="29" fillId="0" borderId="0" applyNumberFormat="0" applyBorder="0" applyProtection="0"/>
    <xf numFmtId="0" fontId="30" fillId="0" borderId="0" applyNumberFormat="0" applyBorder="0" applyProtection="0"/>
    <xf numFmtId="0" fontId="31" fillId="0" borderId="0" applyNumberFormat="0" applyBorder="0" applyProtection="0"/>
    <xf numFmtId="0" fontId="31" fillId="0" borderId="0" applyNumberFormat="0" applyBorder="0" applyProtection="0"/>
    <xf numFmtId="0" fontId="30" fillId="0" borderId="0" applyNumberFormat="0" applyBorder="0" applyProtection="0"/>
    <xf numFmtId="0" fontId="29" fillId="0" borderId="0" applyNumberFormat="0" applyBorder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/>
    <xf numFmtId="0" fontId="50" fillId="0" borderId="0"/>
    <xf numFmtId="9" fontId="27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1" fillId="0" borderId="0"/>
    <xf numFmtId="0" fontId="61" fillId="0" borderId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0" fontId="61" fillId="0" borderId="0"/>
    <xf numFmtId="0" fontId="67" fillId="0" borderId="0" applyNumberFormat="0" applyFill="0" applyBorder="0" applyAlignment="0" applyProtection="0">
      <alignment vertical="top"/>
    </xf>
    <xf numFmtId="0" fontId="62" fillId="0" borderId="0"/>
    <xf numFmtId="0" fontId="26" fillId="0" borderId="0"/>
    <xf numFmtId="0" fontId="25" fillId="0" borderId="0"/>
    <xf numFmtId="0" fontId="61" fillId="0" borderId="0"/>
    <xf numFmtId="0" fontId="70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28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50" fillId="0" borderId="0"/>
  </cellStyleXfs>
  <cellXfs count="2579">
    <xf numFmtId="0" fontId="0" fillId="0" borderId="0" xfId="0"/>
    <xf numFmtId="0" fontId="32" fillId="0" borderId="0" xfId="2" applyFont="1" applyAlignment="1">
      <alignment horizontal="center" vertical="center" wrapText="1"/>
    </xf>
    <xf numFmtId="0" fontId="30" fillId="0" borderId="0" xfId="3"/>
    <xf numFmtId="0" fontId="33" fillId="0" borderId="0" xfId="2" applyFont="1" applyAlignment="1">
      <alignment horizontal="center" vertical="center"/>
    </xf>
    <xf numFmtId="0" fontId="34" fillId="0" borderId="1" xfId="3" applyFont="1" applyBorder="1" applyAlignment="1">
      <alignment horizontal="center" vertical="center"/>
    </xf>
    <xf numFmtId="0" fontId="34" fillId="0" borderId="2" xfId="3" applyFont="1" applyBorder="1" applyAlignment="1">
      <alignment horizontal="center" vertical="center"/>
    </xf>
    <xf numFmtId="0" fontId="35" fillId="0" borderId="1" xfId="3" applyFont="1" applyBorder="1" applyAlignment="1">
      <alignment horizontal="center" vertical="center"/>
    </xf>
    <xf numFmtId="0" fontId="34" fillId="0" borderId="1" xfId="2" applyFont="1" applyBorder="1" applyAlignment="1">
      <alignment horizontal="center" vertical="center" wrapText="1"/>
    </xf>
    <xf numFmtId="0" fontId="36" fillId="0" borderId="0" xfId="3" applyFont="1"/>
    <xf numFmtId="49" fontId="37" fillId="0" borderId="1" xfId="3" applyNumberFormat="1" applyFont="1" applyBorder="1" applyAlignment="1">
      <alignment horizontal="center"/>
    </xf>
    <xf numFmtId="49" fontId="37" fillId="0" borderId="1" xfId="3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/>
    </xf>
    <xf numFmtId="0" fontId="37" fillId="0" borderId="1" xfId="2" applyFont="1" applyBorder="1" applyAlignment="1">
      <alignment horizontal="center" vertical="center" wrapText="1"/>
    </xf>
    <xf numFmtId="0" fontId="38" fillId="2" borderId="0" xfId="3" applyFont="1" applyFill="1"/>
    <xf numFmtId="49" fontId="34" fillId="3" borderId="3" xfId="3" applyNumberFormat="1" applyFont="1" applyFill="1" applyBorder="1" applyAlignment="1">
      <alignment horizontal="center" vertical="center"/>
    </xf>
    <xf numFmtId="49" fontId="34" fillId="3" borderId="4" xfId="3" applyNumberFormat="1" applyFont="1" applyFill="1" applyBorder="1" applyAlignment="1">
      <alignment horizontal="center" vertical="center"/>
    </xf>
    <xf numFmtId="49" fontId="34" fillId="3" borderId="4" xfId="3" applyNumberFormat="1" applyFont="1" applyFill="1" applyBorder="1" applyAlignment="1">
      <alignment vertical="center"/>
    </xf>
    <xf numFmtId="3" fontId="34" fillId="3" borderId="4" xfId="3" applyNumberFormat="1" applyFont="1" applyFill="1" applyBorder="1" applyAlignment="1">
      <alignment horizontal="right" vertical="center"/>
    </xf>
    <xf numFmtId="164" fontId="34" fillId="3" borderId="4" xfId="3" applyNumberFormat="1" applyFont="1" applyFill="1" applyBorder="1" applyAlignment="1">
      <alignment horizontal="right" vertical="center"/>
    </xf>
    <xf numFmtId="0" fontId="30" fillId="3" borderId="5" xfId="3" applyFill="1" applyBorder="1"/>
    <xf numFmtId="0" fontId="30" fillId="3" borderId="0" xfId="3" applyFill="1"/>
    <xf numFmtId="49" fontId="34" fillId="4" borderId="8" xfId="3" applyNumberFormat="1" applyFont="1" applyFill="1" applyBorder="1" applyAlignment="1">
      <alignment vertical="center"/>
    </xf>
    <xf numFmtId="49" fontId="34" fillId="4" borderId="8" xfId="3" applyNumberFormat="1" applyFont="1" applyFill="1" applyBorder="1" applyAlignment="1">
      <alignment horizontal="center" vertical="center"/>
    </xf>
    <xf numFmtId="3" fontId="34" fillId="4" borderId="8" xfId="3" applyNumberFormat="1" applyFont="1" applyFill="1" applyBorder="1" applyAlignment="1">
      <alignment horizontal="right" vertical="center"/>
    </xf>
    <xf numFmtId="164" fontId="34" fillId="4" borderId="4" xfId="3" applyNumberFormat="1" applyFont="1" applyFill="1" applyBorder="1" applyAlignment="1">
      <alignment horizontal="right" vertical="center"/>
    </xf>
    <xf numFmtId="0" fontId="30" fillId="2" borderId="0" xfId="3" applyFill="1"/>
    <xf numFmtId="49" fontId="34" fillId="0" borderId="8" xfId="3" applyNumberFormat="1" applyFont="1" applyBorder="1" applyAlignment="1">
      <alignment horizontal="left" vertical="center"/>
    </xf>
    <xf numFmtId="49" fontId="34" fillId="0" borderId="8" xfId="3" applyNumberFormat="1" applyFont="1" applyBorder="1" applyAlignment="1">
      <alignment horizontal="center" vertical="center"/>
    </xf>
    <xf numFmtId="3" fontId="34" fillId="0" borderId="8" xfId="3" applyNumberFormat="1" applyFont="1" applyBorder="1" applyAlignment="1">
      <alignment horizontal="right" vertical="center"/>
    </xf>
    <xf numFmtId="164" fontId="34" fillId="0" borderId="4" xfId="3" applyNumberFormat="1" applyFont="1" applyBorder="1" applyAlignment="1">
      <alignment horizontal="right" vertical="center"/>
    </xf>
    <xf numFmtId="0" fontId="39" fillId="0" borderId="8" xfId="3" applyFont="1" applyBorder="1"/>
    <xf numFmtId="0" fontId="39" fillId="0" borderId="8" xfId="3" applyFont="1" applyBorder="1" applyAlignment="1">
      <alignment horizontal="center" vertical="center"/>
    </xf>
    <xf numFmtId="3" fontId="39" fillId="0" borderId="8" xfId="3" applyNumberFormat="1" applyFont="1" applyBorder="1" applyAlignment="1">
      <alignment horizontal="right" vertical="center"/>
    </xf>
    <xf numFmtId="164" fontId="39" fillId="0" borderId="4" xfId="3" applyNumberFormat="1" applyFont="1" applyBorder="1" applyAlignment="1">
      <alignment horizontal="right" vertical="center"/>
    </xf>
    <xf numFmtId="0" fontId="40" fillId="0" borderId="8" xfId="3" applyFont="1" applyBorder="1" applyAlignment="1">
      <alignment horizontal="center" vertical="center" wrapText="1"/>
    </xf>
    <xf numFmtId="3" fontId="40" fillId="0" borderId="8" xfId="3" applyNumberFormat="1" applyFont="1" applyBorder="1" applyAlignment="1">
      <alignment horizontal="right" vertical="center"/>
    </xf>
    <xf numFmtId="164" fontId="40" fillId="0" borderId="4" xfId="3" applyNumberFormat="1" applyFont="1" applyBorder="1" applyAlignment="1">
      <alignment horizontal="right" vertical="center"/>
    </xf>
    <xf numFmtId="0" fontId="39" fillId="0" borderId="8" xfId="3" applyFont="1" applyBorder="1" applyAlignment="1">
      <alignment wrapText="1"/>
    </xf>
    <xf numFmtId="0" fontId="39" fillId="0" borderId="8" xfId="3" applyFont="1" applyBorder="1" applyAlignment="1">
      <alignment horizontal="center" vertical="center" wrapText="1"/>
    </xf>
    <xf numFmtId="0" fontId="34" fillId="0" borderId="8" xfId="3" applyFont="1" applyBorder="1"/>
    <xf numFmtId="0" fontId="34" fillId="0" borderId="8" xfId="3" applyFont="1" applyBorder="1" applyAlignment="1">
      <alignment horizontal="center" vertical="center"/>
    </xf>
    <xf numFmtId="0" fontId="39" fillId="0" borderId="8" xfId="3" applyFont="1" applyBorder="1" applyAlignment="1">
      <alignment vertical="center" wrapText="1"/>
    </xf>
    <xf numFmtId="0" fontId="39" fillId="0" borderId="10" xfId="3" applyFont="1" applyBorder="1"/>
    <xf numFmtId="0" fontId="39" fillId="0" borderId="10" xfId="3" applyFont="1" applyBorder="1" applyAlignment="1">
      <alignment horizontal="center" vertical="center"/>
    </xf>
    <xf numFmtId="3" fontId="34" fillId="0" borderId="10" xfId="3" applyNumberFormat="1" applyFont="1" applyBorder="1" applyAlignment="1">
      <alignment horizontal="right" vertical="center"/>
    </xf>
    <xf numFmtId="164" fontId="39" fillId="0" borderId="11" xfId="3" applyNumberFormat="1" applyFont="1" applyBorder="1" applyAlignment="1">
      <alignment horizontal="right" vertical="center"/>
    </xf>
    <xf numFmtId="3" fontId="39" fillId="0" borderId="10" xfId="3" applyNumberFormat="1" applyFont="1" applyBorder="1" applyAlignment="1">
      <alignment horizontal="right" vertical="center"/>
    </xf>
    <xf numFmtId="0" fontId="41" fillId="3" borderId="13" xfId="3" applyFont="1" applyFill="1" applyBorder="1" applyAlignment="1">
      <alignment horizontal="center" vertical="center"/>
    </xf>
    <xf numFmtId="3" fontId="41" fillId="3" borderId="14" xfId="3" applyNumberFormat="1" applyFont="1" applyFill="1" applyBorder="1" applyAlignment="1">
      <alignment horizontal="right" vertical="center"/>
    </xf>
    <xf numFmtId="164" fontId="41" fillId="3" borderId="14" xfId="3" applyNumberFormat="1" applyFont="1" applyFill="1" applyBorder="1" applyAlignment="1">
      <alignment horizontal="right" vertical="center"/>
    </xf>
    <xf numFmtId="0" fontId="41" fillId="3" borderId="15" xfId="3" applyFont="1" applyFill="1" applyBorder="1" applyAlignment="1">
      <alignment horizontal="center" vertical="center"/>
    </xf>
    <xf numFmtId="0" fontId="42" fillId="0" borderId="0" xfId="3" applyFont="1" applyAlignment="1">
      <alignment horizontal="center"/>
    </xf>
    <xf numFmtId="0" fontId="39" fillId="0" borderId="8" xfId="3" applyFont="1" applyBorder="1" applyAlignment="1">
      <alignment vertical="center"/>
    </xf>
    <xf numFmtId="0" fontId="39" fillId="0" borderId="10" xfId="3" applyFont="1" applyBorder="1" applyAlignment="1">
      <alignment vertical="center"/>
    </xf>
    <xf numFmtId="0" fontId="34" fillId="0" borderId="8" xfId="3" applyFont="1" applyBorder="1" applyAlignment="1">
      <alignment vertical="center"/>
    </xf>
    <xf numFmtId="0" fontId="30" fillId="0" borderId="0" xfId="3" applyAlignment="1">
      <alignment horizontal="center" vertical="center"/>
    </xf>
    <xf numFmtId="0" fontId="37" fillId="0" borderId="1" xfId="2" applyFont="1" applyBorder="1" applyAlignment="1">
      <alignment horizontal="center" wrapText="1"/>
    </xf>
    <xf numFmtId="49" fontId="34" fillId="3" borderId="16" xfId="3" applyNumberFormat="1" applyFont="1" applyFill="1" applyBorder="1" applyAlignment="1">
      <alignment horizontal="center" vertical="center"/>
    </xf>
    <xf numFmtId="3" fontId="34" fillId="3" borderId="4" xfId="3" applyNumberFormat="1" applyFont="1" applyFill="1" applyBorder="1" applyAlignment="1">
      <alignment vertical="center"/>
    </xf>
    <xf numFmtId="164" fontId="34" fillId="3" borderId="4" xfId="8" applyNumberFormat="1" applyFont="1" applyFill="1" applyBorder="1" applyAlignment="1">
      <alignment horizontal="center" vertical="center"/>
    </xf>
    <xf numFmtId="49" fontId="34" fillId="4" borderId="8" xfId="3" applyNumberFormat="1" applyFont="1" applyFill="1" applyBorder="1" applyAlignment="1">
      <alignment horizontal="left" vertical="center" wrapText="1"/>
    </xf>
    <xf numFmtId="1" fontId="34" fillId="4" borderId="8" xfId="3" applyNumberFormat="1" applyFont="1" applyFill="1" applyBorder="1" applyAlignment="1">
      <alignment horizontal="left" vertical="center"/>
    </xf>
    <xf numFmtId="164" fontId="34" fillId="4" borderId="8" xfId="8" applyNumberFormat="1" applyFont="1" applyFill="1" applyBorder="1" applyAlignment="1">
      <alignment horizontal="center" vertical="center"/>
    </xf>
    <xf numFmtId="1" fontId="34" fillId="0" borderId="8" xfId="3" applyNumberFormat="1" applyFont="1" applyBorder="1" applyAlignment="1">
      <alignment horizontal="left" vertical="center"/>
    </xf>
    <xf numFmtId="164" fontId="34" fillId="0" borderId="8" xfId="8" applyNumberFormat="1" applyFont="1" applyFill="1" applyBorder="1" applyAlignment="1">
      <alignment horizontal="center" vertical="center"/>
    </xf>
    <xf numFmtId="1" fontId="39" fillId="0" borderId="8" xfId="3" applyNumberFormat="1" applyFont="1" applyBorder="1" applyAlignment="1">
      <alignment vertical="center"/>
    </xf>
    <xf numFmtId="3" fontId="39" fillId="0" borderId="8" xfId="3" applyNumberFormat="1" applyFont="1" applyBorder="1" applyAlignment="1">
      <alignment vertical="center"/>
    </xf>
    <xf numFmtId="164" fontId="39" fillId="0" borderId="8" xfId="8" applyNumberFormat="1" applyFont="1" applyFill="1" applyBorder="1" applyAlignment="1">
      <alignment horizontal="center" vertical="center"/>
    </xf>
    <xf numFmtId="0" fontId="39" fillId="0" borderId="10" xfId="3" applyFont="1" applyBorder="1" applyAlignment="1">
      <alignment horizontal="left" vertical="center" wrapText="1"/>
    </xf>
    <xf numFmtId="1" fontId="39" fillId="0" borderId="8" xfId="3" applyNumberFormat="1" applyFont="1" applyBorder="1" applyAlignment="1">
      <alignment horizontal="center" vertical="center" wrapText="1"/>
    </xf>
    <xf numFmtId="3" fontId="39" fillId="0" borderId="8" xfId="3" applyNumberFormat="1" applyFont="1" applyBorder="1" applyAlignment="1">
      <alignment vertical="center" wrapText="1"/>
    </xf>
    <xf numFmtId="1" fontId="39" fillId="0" borderId="8" xfId="3" applyNumberFormat="1" applyFont="1" applyBorder="1" applyAlignment="1">
      <alignment horizontal="center" vertical="center"/>
    </xf>
    <xf numFmtId="1" fontId="39" fillId="0" borderId="8" xfId="3" applyNumberFormat="1" applyFont="1" applyBorder="1" applyAlignment="1">
      <alignment vertical="center" wrapText="1"/>
    </xf>
    <xf numFmtId="1" fontId="34" fillId="0" borderId="8" xfId="3" applyNumberFormat="1" applyFont="1" applyBorder="1" applyAlignment="1">
      <alignment vertical="center"/>
    </xf>
    <xf numFmtId="3" fontId="34" fillId="0" borderId="8" xfId="3" applyNumberFormat="1" applyFont="1" applyBorder="1" applyAlignment="1">
      <alignment vertical="center"/>
    </xf>
    <xf numFmtId="49" fontId="34" fillId="4" borderId="8" xfId="3" applyNumberFormat="1" applyFont="1" applyFill="1" applyBorder="1" applyAlignment="1">
      <alignment horizontal="left" vertical="center"/>
    </xf>
    <xf numFmtId="0" fontId="40" fillId="0" borderId="8" xfId="3" applyFont="1" applyBorder="1" applyAlignment="1">
      <alignment horizontal="center" vertical="center"/>
    </xf>
    <xf numFmtId="3" fontId="40" fillId="0" borderId="8" xfId="3" applyNumberFormat="1" applyFont="1" applyBorder="1" applyAlignment="1">
      <alignment vertical="center"/>
    </xf>
    <xf numFmtId="3" fontId="40" fillId="0" borderId="8" xfId="3" applyNumberFormat="1" applyFont="1" applyBorder="1" applyAlignment="1">
      <alignment vertical="center" wrapText="1"/>
    </xf>
    <xf numFmtId="164" fontId="40" fillId="0" borderId="8" xfId="8" applyNumberFormat="1" applyFont="1" applyFill="1" applyBorder="1" applyAlignment="1">
      <alignment horizontal="center" vertical="center"/>
    </xf>
    <xf numFmtId="0" fontId="44" fillId="0" borderId="0" xfId="3" applyFont="1"/>
    <xf numFmtId="0" fontId="40" fillId="0" borderId="8" xfId="3" applyFont="1" applyBorder="1" applyAlignment="1">
      <alignment vertical="center"/>
    </xf>
    <xf numFmtId="0" fontId="39" fillId="0" borderId="10" xfId="3" applyFont="1" applyBorder="1" applyAlignment="1">
      <alignment horizontal="left" vertical="center"/>
    </xf>
    <xf numFmtId="1" fontId="40" fillId="0" borderId="8" xfId="3" applyNumberFormat="1" applyFont="1" applyBorder="1" applyAlignment="1">
      <alignment horizontal="center" vertical="center" wrapText="1"/>
    </xf>
    <xf numFmtId="49" fontId="34" fillId="3" borderId="8" xfId="3" applyNumberFormat="1" applyFont="1" applyFill="1" applyBorder="1" applyAlignment="1">
      <alignment horizontal="center" vertical="center"/>
    </xf>
    <xf numFmtId="49" fontId="34" fillId="3" borderId="8" xfId="3" applyNumberFormat="1" applyFont="1" applyFill="1" applyBorder="1" applyAlignment="1">
      <alignment vertical="center"/>
    </xf>
    <xf numFmtId="3" fontId="34" fillId="3" borderId="8" xfId="3" applyNumberFormat="1" applyFont="1" applyFill="1" applyBorder="1" applyAlignment="1">
      <alignment vertical="center"/>
    </xf>
    <xf numFmtId="164" fontId="34" fillId="3" borderId="8" xfId="8" applyNumberFormat="1" applyFont="1" applyFill="1" applyBorder="1" applyAlignment="1">
      <alignment horizontal="center"/>
    </xf>
    <xf numFmtId="3" fontId="34" fillId="4" borderId="8" xfId="3" applyNumberFormat="1" applyFont="1" applyFill="1" applyBorder="1" applyAlignment="1">
      <alignment horizontal="right" vertical="center" wrapText="1"/>
    </xf>
    <xf numFmtId="0" fontId="40" fillId="0" borderId="8" xfId="3" applyFont="1" applyBorder="1" applyAlignment="1">
      <alignment vertical="center" wrapText="1"/>
    </xf>
    <xf numFmtId="0" fontId="45" fillId="0" borderId="8" xfId="3" applyFont="1" applyBorder="1" applyAlignment="1">
      <alignment horizontal="center" vertical="center"/>
    </xf>
    <xf numFmtId="3" fontId="39" fillId="0" borderId="10" xfId="3" applyNumberFormat="1" applyFont="1" applyBorder="1" applyAlignment="1">
      <alignment vertical="center"/>
    </xf>
    <xf numFmtId="164" fontId="39" fillId="0" borderId="10" xfId="8" applyNumberFormat="1" applyFont="1" applyFill="1" applyBorder="1" applyAlignment="1">
      <alignment horizontal="center" vertical="center"/>
    </xf>
    <xf numFmtId="164" fontId="34" fillId="3" borderId="8" xfId="8" applyNumberFormat="1" applyFont="1" applyFill="1" applyBorder="1" applyAlignment="1">
      <alignment horizontal="center" vertical="center"/>
    </xf>
    <xf numFmtId="3" fontId="34" fillId="3" borderId="8" xfId="3" applyNumberFormat="1" applyFont="1" applyFill="1" applyBorder="1" applyAlignment="1">
      <alignment horizontal="right" vertical="center"/>
    </xf>
    <xf numFmtId="0" fontId="30" fillId="3" borderId="18" xfId="3" applyFill="1" applyBorder="1"/>
    <xf numFmtId="0" fontId="46" fillId="3" borderId="14" xfId="2" applyFont="1" applyFill="1" applyBorder="1" applyAlignment="1">
      <alignment horizontal="center" vertical="center"/>
    </xf>
    <xf numFmtId="3" fontId="46" fillId="3" borderId="14" xfId="2" applyNumberFormat="1" applyFont="1" applyFill="1" applyBorder="1" applyAlignment="1">
      <alignment horizontal="right" vertical="center"/>
    </xf>
    <xf numFmtId="9" fontId="46" fillId="3" borderId="14" xfId="1" applyFont="1" applyFill="1" applyBorder="1" applyAlignment="1">
      <alignment horizontal="right" vertical="center"/>
    </xf>
    <xf numFmtId="0" fontId="30" fillId="0" borderId="0" xfId="3" applyAlignment="1">
      <alignment horizontal="right"/>
    </xf>
    <xf numFmtId="0" fontId="32" fillId="0" borderId="0" xfId="7" applyFont="1" applyAlignment="1">
      <alignment horizontal="center" vertical="center" wrapText="1"/>
    </xf>
    <xf numFmtId="0" fontId="30" fillId="0" borderId="0" xfId="6"/>
    <xf numFmtId="0" fontId="33" fillId="0" borderId="0" xfId="7" applyFont="1" applyAlignment="1">
      <alignment horizontal="center" vertical="center"/>
    </xf>
    <xf numFmtId="0" fontId="36" fillId="0" borderId="0" xfId="6" applyFont="1"/>
    <xf numFmtId="0" fontId="38" fillId="2" borderId="0" xfId="6" applyFont="1" applyFill="1"/>
    <xf numFmtId="49" fontId="34" fillId="3" borderId="16" xfId="6" applyNumberFormat="1" applyFont="1" applyFill="1" applyBorder="1" applyAlignment="1">
      <alignment horizontal="center" vertical="center"/>
    </xf>
    <xf numFmtId="49" fontId="34" fillId="3" borderId="4" xfId="6" applyNumberFormat="1" applyFont="1" applyFill="1" applyBorder="1" applyAlignment="1">
      <alignment horizontal="center" vertical="center"/>
    </xf>
    <xf numFmtId="49" fontId="34" fillId="3" borderId="4" xfId="6" applyNumberFormat="1" applyFont="1" applyFill="1" applyBorder="1" applyAlignment="1">
      <alignment vertical="center"/>
    </xf>
    <xf numFmtId="3" fontId="34" fillId="3" borderId="4" xfId="6" applyNumberFormat="1" applyFont="1" applyFill="1" applyBorder="1" applyAlignment="1">
      <alignment vertical="center"/>
    </xf>
    <xf numFmtId="164" fontId="34" fillId="3" borderId="4" xfId="9" applyNumberFormat="1" applyFont="1" applyFill="1" applyBorder="1" applyAlignment="1">
      <alignment horizontal="center" vertical="center"/>
    </xf>
    <xf numFmtId="0" fontId="30" fillId="3" borderId="0" xfId="6" applyFill="1"/>
    <xf numFmtId="49" fontId="34" fillId="0" borderId="8" xfId="6" applyNumberFormat="1" applyFont="1" applyBorder="1" applyAlignment="1">
      <alignment horizontal="center" vertical="center"/>
    </xf>
    <xf numFmtId="49" fontId="34" fillId="4" borderId="8" xfId="6" applyNumberFormat="1" applyFont="1" applyFill="1" applyBorder="1" applyAlignment="1">
      <alignment horizontal="left" vertical="center"/>
    </xf>
    <xf numFmtId="49" fontId="34" fillId="4" borderId="8" xfId="6" applyNumberFormat="1" applyFont="1" applyFill="1" applyBorder="1" applyAlignment="1">
      <alignment horizontal="center" vertical="center"/>
    </xf>
    <xf numFmtId="3" fontId="34" fillId="4" borderId="8" xfId="6" applyNumberFormat="1" applyFont="1" applyFill="1" applyBorder="1" applyAlignment="1">
      <alignment horizontal="right" vertical="center"/>
    </xf>
    <xf numFmtId="164" fontId="34" fillId="4" borderId="8" xfId="9" applyNumberFormat="1" applyFont="1" applyFill="1" applyBorder="1" applyAlignment="1">
      <alignment horizontal="center" vertical="center"/>
    </xf>
    <xf numFmtId="0" fontId="30" fillId="2" borderId="0" xfId="6" applyFill="1"/>
    <xf numFmtId="49" fontId="34" fillId="0" borderId="8" xfId="6" applyNumberFormat="1" applyFont="1" applyBorder="1" applyAlignment="1">
      <alignment horizontal="left" vertical="center"/>
    </xf>
    <xf numFmtId="3" fontId="34" fillId="0" borderId="8" xfId="6" applyNumberFormat="1" applyFont="1" applyBorder="1" applyAlignment="1">
      <alignment horizontal="right" vertical="center"/>
    </xf>
    <xf numFmtId="164" fontId="34" fillId="0" borderId="8" xfId="9" applyNumberFormat="1" applyFont="1" applyFill="1" applyBorder="1" applyAlignment="1">
      <alignment horizontal="center" vertical="center"/>
    </xf>
    <xf numFmtId="0" fontId="39" fillId="0" borderId="8" xfId="6" applyFont="1" applyBorder="1" applyAlignment="1">
      <alignment vertical="center"/>
    </xf>
    <xf numFmtId="0" fontId="39" fillId="0" borderId="8" xfId="6" applyFont="1" applyBorder="1" applyAlignment="1">
      <alignment horizontal="center" vertical="center"/>
    </xf>
    <xf numFmtId="3" fontId="39" fillId="0" borderId="8" xfId="6" applyNumberFormat="1" applyFont="1" applyBorder="1" applyAlignment="1">
      <alignment vertical="center"/>
    </xf>
    <xf numFmtId="164" fontId="39" fillId="0" borderId="8" xfId="9" applyNumberFormat="1" applyFont="1" applyFill="1" applyBorder="1" applyAlignment="1">
      <alignment horizontal="center" vertical="center"/>
    </xf>
    <xf numFmtId="0" fontId="40" fillId="0" borderId="8" xfId="6" applyFont="1" applyBorder="1" applyAlignment="1">
      <alignment horizontal="center" vertical="center"/>
    </xf>
    <xf numFmtId="3" fontId="40" fillId="0" borderId="8" xfId="6" applyNumberFormat="1" applyFont="1" applyBorder="1" applyAlignment="1">
      <alignment vertical="center"/>
    </xf>
    <xf numFmtId="3" fontId="40" fillId="0" borderId="8" xfId="6" applyNumberFormat="1" applyFont="1" applyBorder="1" applyAlignment="1">
      <alignment horizontal="right" vertical="center"/>
    </xf>
    <xf numFmtId="164" fontId="40" fillId="0" borderId="8" xfId="9" applyNumberFormat="1" applyFont="1" applyFill="1" applyBorder="1" applyAlignment="1">
      <alignment horizontal="center" vertical="center"/>
    </xf>
    <xf numFmtId="3" fontId="30" fillId="0" borderId="0" xfId="6" applyNumberFormat="1"/>
    <xf numFmtId="0" fontId="39" fillId="0" borderId="8" xfId="6" applyFont="1" applyBorder="1" applyAlignment="1">
      <alignment horizontal="center" vertical="center" wrapText="1"/>
    </xf>
    <xf numFmtId="3" fontId="39" fillId="0" borderId="8" xfId="6" applyNumberFormat="1" applyFont="1" applyBorder="1" applyAlignment="1">
      <alignment vertical="center" wrapText="1"/>
    </xf>
    <xf numFmtId="0" fontId="40" fillId="0" borderId="8" xfId="6" applyFont="1" applyBorder="1" applyAlignment="1">
      <alignment horizontal="center" vertical="center" wrapText="1"/>
    </xf>
    <xf numFmtId="3" fontId="40" fillId="0" borderId="8" xfId="6" applyNumberFormat="1" applyFont="1" applyBorder="1" applyAlignment="1">
      <alignment vertical="center" wrapText="1"/>
    </xf>
    <xf numFmtId="3" fontId="40" fillId="5" borderId="8" xfId="6" applyNumberFormat="1" applyFont="1" applyFill="1" applyBorder="1" applyAlignment="1">
      <alignment horizontal="right" vertical="center"/>
    </xf>
    <xf numFmtId="3" fontId="39" fillId="0" borderId="8" xfId="6" applyNumberFormat="1" applyFont="1" applyBorder="1" applyAlignment="1">
      <alignment horizontal="right" vertical="center"/>
    </xf>
    <xf numFmtId="0" fontId="39" fillId="0" borderId="8" xfId="6" applyFont="1" applyBorder="1" applyAlignment="1">
      <alignment vertical="center" wrapText="1"/>
    </xf>
    <xf numFmtId="0" fontId="34" fillId="0" borderId="8" xfId="6" applyFont="1" applyBorder="1" applyAlignment="1">
      <alignment vertical="center"/>
    </xf>
    <xf numFmtId="0" fontId="34" fillId="0" borderId="8" xfId="6" applyFont="1" applyBorder="1" applyAlignment="1">
      <alignment horizontal="center" vertical="center"/>
    </xf>
    <xf numFmtId="3" fontId="34" fillId="0" borderId="8" xfId="6" applyNumberFormat="1" applyFont="1" applyBorder="1" applyAlignment="1">
      <alignment vertical="center"/>
    </xf>
    <xf numFmtId="3" fontId="47" fillId="0" borderId="8" xfId="6" applyNumberFormat="1" applyFont="1" applyBorder="1" applyAlignment="1">
      <alignment horizontal="right" vertical="center"/>
    </xf>
    <xf numFmtId="3" fontId="49" fillId="0" borderId="8" xfId="6" applyNumberFormat="1" applyFont="1" applyBorder="1" applyAlignment="1">
      <alignment horizontal="right" vertical="center"/>
    </xf>
    <xf numFmtId="3" fontId="34" fillId="4" borderId="8" xfId="6" applyNumberFormat="1" applyFont="1" applyFill="1" applyBorder="1" applyAlignment="1">
      <alignment vertical="center"/>
    </xf>
    <xf numFmtId="49" fontId="34" fillId="4" borderId="8" xfId="6" applyNumberFormat="1" applyFont="1" applyFill="1" applyBorder="1" applyAlignment="1">
      <alignment vertical="center"/>
    </xf>
    <xf numFmtId="49" fontId="34" fillId="3" borderId="8" xfId="6" applyNumberFormat="1" applyFont="1" applyFill="1" applyBorder="1" applyAlignment="1">
      <alignment horizontal="center" vertical="center"/>
    </xf>
    <xf numFmtId="49" fontId="34" fillId="3" borderId="8" xfId="6" applyNumberFormat="1" applyFont="1" applyFill="1" applyBorder="1" applyAlignment="1">
      <alignment vertical="center"/>
    </xf>
    <xf numFmtId="3" fontId="34" fillId="3" borderId="8" xfId="6" applyNumberFormat="1" applyFont="1" applyFill="1" applyBorder="1" applyAlignment="1">
      <alignment vertical="center"/>
    </xf>
    <xf numFmtId="164" fontId="34" fillId="3" borderId="8" xfId="9" applyNumberFormat="1" applyFont="1" applyFill="1" applyBorder="1" applyAlignment="1">
      <alignment horizontal="center" vertical="center"/>
    </xf>
    <xf numFmtId="3" fontId="39" fillId="5" borderId="8" xfId="6" applyNumberFormat="1" applyFont="1" applyFill="1" applyBorder="1" applyAlignment="1">
      <alignment horizontal="right" vertical="center"/>
    </xf>
    <xf numFmtId="0" fontId="39" fillId="0" borderId="10" xfId="6" applyFont="1" applyBorder="1" applyAlignment="1">
      <alignment horizontal="left" vertical="center" wrapText="1"/>
    </xf>
    <xf numFmtId="0" fontId="39" fillId="0" borderId="10" xfId="6" applyFont="1" applyBorder="1" applyAlignment="1">
      <alignment vertical="center"/>
    </xf>
    <xf numFmtId="3" fontId="34" fillId="0" borderId="10" xfId="6" applyNumberFormat="1" applyFont="1" applyBorder="1" applyAlignment="1">
      <alignment horizontal="right" vertical="center"/>
    </xf>
    <xf numFmtId="0" fontId="30" fillId="0" borderId="0" xfId="6" applyAlignment="1">
      <alignment horizontal="right"/>
    </xf>
    <xf numFmtId="49" fontId="37" fillId="0" borderId="1" xfId="6" applyNumberFormat="1" applyFont="1" applyBorder="1" applyAlignment="1">
      <alignment horizontal="center"/>
    </xf>
    <xf numFmtId="0" fontId="37" fillId="0" borderId="1" xfId="7" applyFont="1" applyBorder="1" applyAlignment="1">
      <alignment horizontal="center"/>
    </xf>
    <xf numFmtId="0" fontId="47" fillId="0" borderId="8" xfId="6" applyFont="1" applyBorder="1" applyAlignment="1">
      <alignment horizontal="center" vertical="center"/>
    </xf>
    <xf numFmtId="3" fontId="47" fillId="0" borderId="8" xfId="6" applyNumberFormat="1" applyFont="1" applyBorder="1" applyAlignment="1">
      <alignment vertical="center"/>
    </xf>
    <xf numFmtId="49" fontId="34" fillId="3" borderId="8" xfId="6" applyNumberFormat="1" applyFont="1" applyFill="1" applyBorder="1" applyAlignment="1">
      <alignment vertical="center" wrapText="1"/>
    </xf>
    <xf numFmtId="49" fontId="48" fillId="3" borderId="8" xfId="6" applyNumberFormat="1" applyFont="1" applyFill="1" applyBorder="1" applyAlignment="1">
      <alignment horizontal="center" vertical="center" wrapText="1"/>
    </xf>
    <xf numFmtId="3" fontId="34" fillId="3" borderId="8" xfId="6" applyNumberFormat="1" applyFont="1" applyFill="1" applyBorder="1" applyAlignment="1">
      <alignment vertical="center" wrapText="1"/>
    </xf>
    <xf numFmtId="164" fontId="34" fillId="3" borderId="8" xfId="9" applyNumberFormat="1" applyFont="1" applyFill="1" applyBorder="1" applyAlignment="1">
      <alignment horizontal="center" vertical="center" wrapText="1"/>
    </xf>
    <xf numFmtId="49" fontId="48" fillId="4" borderId="8" xfId="6" applyNumberFormat="1" applyFont="1" applyFill="1" applyBorder="1" applyAlignment="1">
      <alignment horizontal="center" vertical="center"/>
    </xf>
    <xf numFmtId="49" fontId="48" fillId="0" borderId="8" xfId="6" applyNumberFormat="1" applyFont="1" applyBorder="1" applyAlignment="1">
      <alignment horizontal="center" vertical="center"/>
    </xf>
    <xf numFmtId="164" fontId="49" fillId="0" borderId="8" xfId="9" applyNumberFormat="1" applyFont="1" applyFill="1" applyBorder="1" applyAlignment="1">
      <alignment horizontal="center" vertical="center"/>
    </xf>
    <xf numFmtId="0" fontId="48" fillId="0" borderId="8" xfId="6" applyFont="1" applyBorder="1" applyAlignment="1">
      <alignment horizontal="center" vertical="center"/>
    </xf>
    <xf numFmtId="49" fontId="54" fillId="6" borderId="25" xfId="11" applyNumberFormat="1" applyFont="1" applyFill="1" applyBorder="1" applyAlignment="1">
      <alignment horizontal="center" vertical="center"/>
    </xf>
    <xf numFmtId="49" fontId="54" fillId="0" borderId="27" xfId="11" applyNumberFormat="1" applyFont="1" applyBorder="1" applyAlignment="1">
      <alignment horizontal="left" vertical="center"/>
    </xf>
    <xf numFmtId="3" fontId="54" fillId="0" borderId="27" xfId="11" applyNumberFormat="1" applyFont="1" applyBorder="1" applyAlignment="1">
      <alignment horizontal="right" vertical="center"/>
    </xf>
    <xf numFmtId="0" fontId="59" fillId="0" borderId="27" xfId="11" applyFont="1" applyBorder="1" applyAlignment="1">
      <alignment vertical="center"/>
    </xf>
    <xf numFmtId="3" fontId="59" fillId="0" borderId="27" xfId="11" applyNumberFormat="1" applyFont="1" applyBorder="1" applyAlignment="1">
      <alignment horizontal="right" vertical="center"/>
    </xf>
    <xf numFmtId="0" fontId="59" fillId="0" borderId="31" xfId="11" applyFont="1" applyBorder="1" applyAlignment="1">
      <alignment vertical="center"/>
    </xf>
    <xf numFmtId="0" fontId="59" fillId="0" borderId="27" xfId="11" applyFont="1" applyBorder="1" applyAlignment="1">
      <alignment vertical="center" wrapText="1"/>
    </xf>
    <xf numFmtId="0" fontId="54" fillId="0" borderId="27" xfId="11" applyFont="1" applyBorder="1" applyAlignment="1">
      <alignment vertical="center"/>
    </xf>
    <xf numFmtId="3" fontId="54" fillId="0" borderId="31" xfId="11" applyNumberFormat="1" applyFont="1" applyBorder="1" applyAlignment="1">
      <alignment horizontal="right" vertical="center"/>
    </xf>
    <xf numFmtId="49" fontId="54" fillId="7" borderId="27" xfId="11" applyNumberFormat="1" applyFont="1" applyFill="1" applyBorder="1" applyAlignment="1">
      <alignment vertical="center"/>
    </xf>
    <xf numFmtId="0" fontId="59" fillId="0" borderId="31" xfId="11" applyFont="1" applyBorder="1" applyAlignment="1">
      <alignment vertical="center" wrapText="1"/>
    </xf>
    <xf numFmtId="49" fontId="54" fillId="6" borderId="33" xfId="11" applyNumberFormat="1" applyFont="1" applyFill="1" applyBorder="1" applyAlignment="1">
      <alignment horizontal="center" vertical="center"/>
    </xf>
    <xf numFmtId="0" fontId="59" fillId="0" borderId="34" xfId="11" applyFont="1" applyBorder="1" applyAlignment="1">
      <alignment vertical="center"/>
    </xf>
    <xf numFmtId="3" fontId="54" fillId="0" borderId="34" xfId="11" applyNumberFormat="1" applyFont="1" applyBorder="1" applyAlignment="1">
      <alignment horizontal="right" vertical="center"/>
    </xf>
    <xf numFmtId="0" fontId="50" fillId="0" borderId="0" xfId="11"/>
    <xf numFmtId="0" fontId="58" fillId="0" borderId="0" xfId="11" applyFont="1"/>
    <xf numFmtId="0" fontId="56" fillId="8" borderId="0" xfId="11" applyFont="1" applyFill="1"/>
    <xf numFmtId="0" fontId="52" fillId="0" borderId="0" xfId="14" applyFont="1" applyAlignment="1">
      <alignment horizontal="center" vertical="center" wrapText="1"/>
    </xf>
    <xf numFmtId="0" fontId="53" fillId="0" borderId="0" xfId="14" applyFont="1" applyAlignment="1">
      <alignment horizontal="center" vertical="center"/>
    </xf>
    <xf numFmtId="49" fontId="55" fillId="0" borderId="23" xfId="11" applyNumberFormat="1" applyFont="1" applyBorder="1" applyAlignment="1">
      <alignment horizontal="center"/>
    </xf>
    <xf numFmtId="0" fontId="55" fillId="0" borderId="23" xfId="14" applyFont="1" applyBorder="1" applyAlignment="1">
      <alignment horizontal="center"/>
    </xf>
    <xf numFmtId="49" fontId="54" fillId="6" borderId="27" xfId="11" applyNumberFormat="1" applyFont="1" applyFill="1" applyBorder="1" applyAlignment="1">
      <alignment vertical="center"/>
    </xf>
    <xf numFmtId="1" fontId="54" fillId="6" borderId="27" xfId="11" applyNumberFormat="1" applyFont="1" applyFill="1" applyBorder="1" applyAlignment="1">
      <alignment horizontal="center" vertical="center"/>
    </xf>
    <xf numFmtId="3" fontId="54" fillId="6" borderId="27" xfId="11" applyNumberFormat="1" applyFont="1" applyFill="1" applyBorder="1" applyAlignment="1">
      <alignment vertical="center"/>
    </xf>
    <xf numFmtId="164" fontId="54" fillId="6" borderId="27" xfId="13" applyNumberFormat="1" applyFont="1" applyFill="1" applyBorder="1" applyAlignment="1">
      <alignment horizontal="center" vertical="center"/>
    </xf>
    <xf numFmtId="0" fontId="50" fillId="8" borderId="0" xfId="11" applyFill="1"/>
    <xf numFmtId="1" fontId="54" fillId="7" borderId="27" xfId="11" applyNumberFormat="1" applyFont="1" applyFill="1" applyBorder="1" applyAlignment="1">
      <alignment horizontal="center" vertical="center"/>
    </xf>
    <xf numFmtId="3" fontId="54" fillId="7" borderId="27" xfId="11" applyNumberFormat="1" applyFont="1" applyFill="1" applyBorder="1" applyAlignment="1">
      <alignment vertical="center"/>
    </xf>
    <xf numFmtId="164" fontId="54" fillId="7" borderId="27" xfId="13" applyNumberFormat="1" applyFont="1" applyFill="1" applyBorder="1" applyAlignment="1">
      <alignment horizontal="center" vertical="center"/>
    </xf>
    <xf numFmtId="1" fontId="54" fillId="0" borderId="27" xfId="11" applyNumberFormat="1" applyFont="1" applyBorder="1" applyAlignment="1">
      <alignment horizontal="center" vertical="center"/>
    </xf>
    <xf numFmtId="164" fontId="59" fillId="0" borderId="27" xfId="13" applyNumberFormat="1" applyFont="1" applyFill="1" applyBorder="1" applyAlignment="1">
      <alignment horizontal="center" vertical="center"/>
    </xf>
    <xf numFmtId="1" fontId="59" fillId="0" borderId="27" xfId="11" applyNumberFormat="1" applyFont="1" applyBorder="1" applyAlignment="1">
      <alignment horizontal="center" vertical="center"/>
    </xf>
    <xf numFmtId="3" fontId="59" fillId="0" borderId="27" xfId="11" applyNumberFormat="1" applyFont="1" applyBorder="1" applyAlignment="1">
      <alignment vertical="center"/>
    </xf>
    <xf numFmtId="164" fontId="54" fillId="0" borderId="27" xfId="13" applyNumberFormat="1" applyFont="1" applyFill="1" applyBorder="1" applyAlignment="1">
      <alignment horizontal="center" vertical="center"/>
    </xf>
    <xf numFmtId="0" fontId="59" fillId="0" borderId="32" xfId="11" applyFont="1" applyBorder="1" applyAlignment="1">
      <alignment horizontal="left" vertical="center" wrapText="1"/>
    </xf>
    <xf numFmtId="1" fontId="59" fillId="0" borderId="27" xfId="11" applyNumberFormat="1" applyFont="1" applyBorder="1" applyAlignment="1">
      <alignment horizontal="center" vertical="center" wrapText="1"/>
    </xf>
    <xf numFmtId="3" fontId="59" fillId="0" borderId="27" xfId="11" applyNumberFormat="1" applyFont="1" applyBorder="1" applyAlignment="1">
      <alignment vertical="center" wrapText="1"/>
    </xf>
    <xf numFmtId="3" fontId="54" fillId="0" borderId="27" xfId="11" applyNumberFormat="1" applyFont="1" applyBorder="1" applyAlignment="1">
      <alignment vertical="center"/>
    </xf>
    <xf numFmtId="1" fontId="59" fillId="0" borderId="31" xfId="11" applyNumberFormat="1" applyFont="1" applyBorder="1" applyAlignment="1">
      <alignment horizontal="center" vertical="center"/>
    </xf>
    <xf numFmtId="3" fontId="59" fillId="0" borderId="31" xfId="11" applyNumberFormat="1" applyFont="1" applyBorder="1" applyAlignment="1">
      <alignment vertical="center"/>
    </xf>
    <xf numFmtId="164" fontId="54" fillId="0" borderId="31" xfId="13" applyNumberFormat="1" applyFont="1" applyFill="1" applyBorder="1" applyAlignment="1">
      <alignment horizontal="center" vertical="center"/>
    </xf>
    <xf numFmtId="49" fontId="54" fillId="6" borderId="27" xfId="11" applyNumberFormat="1" applyFont="1" applyFill="1" applyBorder="1" applyAlignment="1">
      <alignment horizontal="center" vertical="center"/>
    </xf>
    <xf numFmtId="1" fontId="59" fillId="0" borderId="34" xfId="11" applyNumberFormat="1" applyFont="1" applyBorder="1" applyAlignment="1">
      <alignment horizontal="center" vertical="center"/>
    </xf>
    <xf numFmtId="3" fontId="59" fillId="0" borderId="34" xfId="11" applyNumberFormat="1" applyFont="1" applyBorder="1" applyAlignment="1">
      <alignment vertical="center"/>
    </xf>
    <xf numFmtId="1" fontId="60" fillId="6" borderId="43" xfId="11" applyNumberFormat="1" applyFont="1" applyFill="1" applyBorder="1" applyAlignment="1">
      <alignment horizontal="center" vertical="center"/>
    </xf>
    <xf numFmtId="3" fontId="60" fillId="6" borderId="43" xfId="11" applyNumberFormat="1" applyFont="1" applyFill="1" applyBorder="1" applyAlignment="1">
      <alignment horizontal="right" vertical="center"/>
    </xf>
    <xf numFmtId="164" fontId="60" fillId="6" borderId="43" xfId="13" applyNumberFormat="1" applyFont="1" applyFill="1" applyBorder="1" applyAlignment="1">
      <alignment horizontal="center" vertical="center"/>
    </xf>
    <xf numFmtId="0" fontId="51" fillId="6" borderId="44" xfId="11" applyFont="1" applyFill="1" applyBorder="1" applyAlignment="1">
      <alignment horizontal="center" vertical="center"/>
    </xf>
    <xf numFmtId="0" fontId="51" fillId="0" borderId="0" xfId="11" applyFont="1" applyAlignment="1">
      <alignment horizontal="center"/>
    </xf>
    <xf numFmtId="0" fontId="57" fillId="0" borderId="0" xfId="11" applyFont="1"/>
    <xf numFmtId="0" fontId="43" fillId="0" borderId="0" xfId="3" applyFont="1"/>
    <xf numFmtId="0" fontId="43" fillId="3" borderId="17" xfId="3" applyFont="1" applyFill="1" applyBorder="1"/>
    <xf numFmtId="49" fontId="34" fillId="3" borderId="8" xfId="3" applyNumberFormat="1" applyFont="1" applyFill="1" applyBorder="1" applyAlignment="1">
      <alignment vertical="center" wrapText="1"/>
    </xf>
    <xf numFmtId="1" fontId="59" fillId="0" borderId="8" xfId="3" applyNumberFormat="1" applyFont="1" applyBorder="1" applyAlignment="1">
      <alignment horizontal="center" vertical="center"/>
    </xf>
    <xf numFmtId="0" fontId="39" fillId="0" borderId="8" xfId="6" applyFont="1" applyBorder="1" applyAlignment="1">
      <alignment horizontal="left" vertical="center"/>
    </xf>
    <xf numFmtId="0" fontId="39" fillId="0" borderId="8" xfId="6" applyFont="1" applyBorder="1" applyAlignment="1">
      <alignment horizontal="left" vertical="center" wrapText="1"/>
    </xf>
    <xf numFmtId="0" fontId="50" fillId="0" borderId="0" xfId="3" applyFont="1"/>
    <xf numFmtId="164" fontId="40" fillId="0" borderId="8" xfId="9" applyNumberFormat="1" applyFont="1" applyFill="1" applyBorder="1" applyAlignment="1">
      <alignment horizontal="center" vertical="center" wrapText="1"/>
    </xf>
    <xf numFmtId="0" fontId="39" fillId="0" borderId="10" xfId="6" applyFont="1" applyBorder="1" applyAlignment="1">
      <alignment horizontal="left" vertical="center"/>
    </xf>
    <xf numFmtId="0" fontId="43" fillId="6" borderId="42" xfId="11" applyFont="1" applyFill="1" applyBorder="1"/>
    <xf numFmtId="0" fontId="39" fillId="0" borderId="8" xfId="3" applyFont="1" applyBorder="1" applyAlignment="1">
      <alignment horizontal="left" vertical="center" wrapText="1"/>
    </xf>
    <xf numFmtId="0" fontId="39" fillId="0" borderId="8" xfId="3" applyFont="1" applyBorder="1" applyAlignment="1">
      <alignment horizontal="left" vertical="center"/>
    </xf>
    <xf numFmtId="0" fontId="44" fillId="0" borderId="0" xfId="6" applyFont="1"/>
    <xf numFmtId="164" fontId="39" fillId="0" borderId="8" xfId="9" applyNumberFormat="1" applyFont="1" applyFill="1" applyBorder="1" applyAlignment="1">
      <alignment horizontal="center" vertical="center" wrapText="1"/>
    </xf>
    <xf numFmtId="0" fontId="43" fillId="3" borderId="0" xfId="3" applyFont="1" applyFill="1"/>
    <xf numFmtId="0" fontId="43" fillId="2" borderId="0" xfId="3" applyFont="1" applyFill="1"/>
    <xf numFmtId="3" fontId="50" fillId="0" borderId="0" xfId="3" applyNumberFormat="1" applyFont="1"/>
    <xf numFmtId="0" fontId="43" fillId="0" borderId="42" xfId="11" applyFont="1" applyBorder="1"/>
    <xf numFmtId="0" fontId="59" fillId="0" borderId="8" xfId="6" applyFont="1" applyBorder="1" applyAlignment="1">
      <alignment horizontal="center" vertical="center" wrapText="1"/>
    </xf>
    <xf numFmtId="3" fontId="59" fillId="0" borderId="8" xfId="6" applyNumberFormat="1" applyFont="1" applyBorder="1" applyAlignment="1">
      <alignment vertical="center" wrapText="1"/>
    </xf>
    <xf numFmtId="3" fontId="59" fillId="0" borderId="8" xfId="6" applyNumberFormat="1" applyFont="1" applyBorder="1" applyAlignment="1">
      <alignment horizontal="right" vertical="center"/>
    </xf>
    <xf numFmtId="0" fontId="79" fillId="0" borderId="8" xfId="6" applyFont="1" applyBorder="1" applyAlignment="1">
      <alignment horizontal="center" vertical="center" wrapText="1"/>
    </xf>
    <xf numFmtId="3" fontId="79" fillId="0" borderId="8" xfId="6" applyNumberFormat="1" applyFont="1" applyBorder="1" applyAlignment="1">
      <alignment vertical="center" wrapText="1"/>
    </xf>
    <xf numFmtId="3" fontId="79" fillId="0" borderId="8" xfId="6" applyNumberFormat="1" applyFont="1" applyBorder="1" applyAlignment="1">
      <alignment horizontal="right" vertical="center"/>
    </xf>
    <xf numFmtId="0" fontId="43" fillId="3" borderId="5" xfId="6" applyFont="1" applyFill="1" applyBorder="1"/>
    <xf numFmtId="0" fontId="43" fillId="0" borderId="0" xfId="6" applyFont="1"/>
    <xf numFmtId="0" fontId="80" fillId="0" borderId="0" xfId="0" applyFont="1"/>
    <xf numFmtId="3" fontId="0" fillId="0" borderId="8" xfId="6" applyNumberFormat="1" applyFont="1" applyBorder="1" applyAlignment="1">
      <alignment horizontal="right" vertical="center"/>
    </xf>
    <xf numFmtId="0" fontId="82" fillId="3" borderId="15" xfId="2" applyFont="1" applyFill="1" applyBorder="1" applyAlignment="1">
      <alignment horizontal="left" vertical="center" wrapText="1"/>
    </xf>
    <xf numFmtId="0" fontId="39" fillId="0" borderId="0" xfId="3" applyFont="1" applyBorder="1" applyAlignment="1">
      <alignment vertical="center" wrapText="1"/>
    </xf>
    <xf numFmtId="3" fontId="79" fillId="0" borderId="8" xfId="3" applyNumberFormat="1" applyFont="1" applyBorder="1" applyAlignment="1">
      <alignment vertical="center"/>
    </xf>
    <xf numFmtId="3" fontId="79" fillId="0" borderId="8" xfId="3" applyNumberFormat="1" applyFont="1" applyBorder="1" applyAlignment="1">
      <alignment vertical="center" wrapText="1"/>
    </xf>
    <xf numFmtId="3" fontId="59" fillId="0" borderId="8" xfId="3" applyNumberFormat="1" applyFont="1" applyBorder="1" applyAlignment="1">
      <alignment vertical="center" wrapText="1"/>
    </xf>
    <xf numFmtId="0" fontId="83" fillId="0" borderId="0" xfId="11" applyFont="1"/>
    <xf numFmtId="0" fontId="83" fillId="0" borderId="0" xfId="6" applyFont="1"/>
    <xf numFmtId="164" fontId="83" fillId="0" borderId="8" xfId="8" applyNumberFormat="1" applyFont="1" applyFill="1" applyBorder="1" applyAlignment="1">
      <alignment horizontal="center" vertical="center"/>
    </xf>
    <xf numFmtId="0" fontId="83" fillId="0" borderId="0" xfId="3" applyFont="1"/>
    <xf numFmtId="0" fontId="84" fillId="0" borderId="0" xfId="11" applyFont="1"/>
    <xf numFmtId="0" fontId="85" fillId="0" borderId="0" xfId="53" applyFont="1" applyAlignment="1">
      <alignment horizontal="center" vertical="center"/>
    </xf>
    <xf numFmtId="0" fontId="88" fillId="0" borderId="31" xfId="11" applyFont="1" applyBorder="1" applyAlignment="1">
      <alignment vertical="center"/>
    </xf>
    <xf numFmtId="3" fontId="54" fillId="0" borderId="54" xfId="11" applyNumberFormat="1" applyFont="1" applyBorder="1" applyAlignment="1">
      <alignment horizontal="right" vertical="center"/>
    </xf>
    <xf numFmtId="0" fontId="37" fillId="0" borderId="1" xfId="2" applyFont="1" applyBorder="1" applyAlignment="1">
      <alignment horizontal="center" vertical="center"/>
    </xf>
    <xf numFmtId="0" fontId="38" fillId="0" borderId="1" xfId="3" applyFont="1" applyBorder="1" applyAlignment="1">
      <alignment horizontal="center" vertical="center"/>
    </xf>
    <xf numFmtId="0" fontId="43" fillId="0" borderId="0" xfId="11" applyFont="1"/>
    <xf numFmtId="3" fontId="54" fillId="7" borderId="57" xfId="11" applyNumberFormat="1" applyFont="1" applyFill="1" applyBorder="1" applyAlignment="1">
      <alignment horizontal="right" vertical="center"/>
    </xf>
    <xf numFmtId="49" fontId="54" fillId="0" borderId="57" xfId="11" applyNumberFormat="1" applyFont="1" applyBorder="1" applyAlignment="1">
      <alignment horizontal="left" vertical="center"/>
    </xf>
    <xf numFmtId="49" fontId="54" fillId="0" borderId="57" xfId="11" applyNumberFormat="1" applyFont="1" applyBorder="1" applyAlignment="1">
      <alignment horizontal="center" vertical="center"/>
    </xf>
    <xf numFmtId="3" fontId="54" fillId="0" borderId="57" xfId="11" applyNumberFormat="1" applyFont="1" applyBorder="1" applyAlignment="1">
      <alignment horizontal="right" vertical="center"/>
    </xf>
    <xf numFmtId="164" fontId="54" fillId="0" borderId="57" xfId="11" applyNumberFormat="1" applyFont="1" applyBorder="1" applyAlignment="1">
      <alignment horizontal="center" vertical="center"/>
    </xf>
    <xf numFmtId="3" fontId="59" fillId="0" borderId="57" xfId="11" applyNumberFormat="1" applyFont="1" applyBorder="1" applyAlignment="1">
      <alignment horizontal="right" vertical="center"/>
    </xf>
    <xf numFmtId="0" fontId="59" fillId="0" borderId="57" xfId="11" applyFont="1" applyBorder="1" applyAlignment="1">
      <alignment vertical="center" wrapText="1"/>
    </xf>
    <xf numFmtId="3" fontId="85" fillId="0" borderId="57" xfId="11" applyNumberFormat="1" applyFont="1" applyBorder="1" applyAlignment="1">
      <alignment horizontal="right" vertical="center"/>
    </xf>
    <xf numFmtId="3" fontId="88" fillId="0" borderId="54" xfId="11" applyNumberFormat="1" applyFont="1" applyBorder="1" applyAlignment="1">
      <alignment horizontal="right" vertical="center"/>
    </xf>
    <xf numFmtId="3" fontId="59" fillId="0" borderId="54" xfId="11" applyNumberFormat="1" applyFont="1" applyBorder="1" applyAlignment="1">
      <alignment horizontal="right" vertical="center"/>
    </xf>
    <xf numFmtId="49" fontId="85" fillId="0" borderId="57" xfId="11" applyNumberFormat="1" applyFont="1" applyBorder="1" applyAlignment="1">
      <alignment horizontal="left" vertical="center"/>
    </xf>
    <xf numFmtId="3" fontId="91" fillId="6" borderId="56" xfId="11" applyNumberFormat="1" applyFont="1" applyFill="1" applyBorder="1" applyAlignment="1">
      <alignment vertical="center"/>
    </xf>
    <xf numFmtId="0" fontId="84" fillId="0" borderId="57" xfId="11" applyFont="1" applyBorder="1"/>
    <xf numFmtId="49" fontId="54" fillId="6" borderId="46" xfId="11" applyNumberFormat="1" applyFont="1" applyFill="1" applyBorder="1" applyAlignment="1">
      <alignment horizontal="center" vertical="center"/>
    </xf>
    <xf numFmtId="0" fontId="59" fillId="0" borderId="57" xfId="11" applyFont="1" applyBorder="1" applyAlignment="1">
      <alignment horizontal="center" vertical="center" wrapText="1"/>
    </xf>
    <xf numFmtId="49" fontId="54" fillId="6" borderId="54" xfId="11" applyNumberFormat="1" applyFont="1" applyFill="1" applyBorder="1" applyAlignment="1">
      <alignment horizontal="center" vertical="center"/>
    </xf>
    <xf numFmtId="49" fontId="54" fillId="6" borderId="54" xfId="11" applyNumberFormat="1" applyFont="1" applyFill="1" applyBorder="1" applyAlignment="1">
      <alignment vertical="center"/>
    </xf>
    <xf numFmtId="0" fontId="50" fillId="0" borderId="57" xfId="11" applyBorder="1"/>
    <xf numFmtId="3" fontId="54" fillId="0" borderId="32" xfId="11" applyNumberFormat="1" applyFont="1" applyBorder="1" applyAlignment="1">
      <alignment horizontal="right" vertical="center"/>
    </xf>
    <xf numFmtId="0" fontId="92" fillId="0" borderId="0" xfId="53" applyFont="1" applyAlignment="1">
      <alignment horizontal="center" vertical="center" wrapText="1"/>
    </xf>
    <xf numFmtId="0" fontId="89" fillId="0" borderId="0" xfId="53" applyFont="1" applyAlignment="1">
      <alignment horizontal="center" vertical="center"/>
    </xf>
    <xf numFmtId="0" fontId="75" fillId="0" borderId="0" xfId="11" applyFont="1"/>
    <xf numFmtId="49" fontId="86" fillId="0" borderId="23" xfId="11" applyNumberFormat="1" applyFont="1" applyBorder="1" applyAlignment="1">
      <alignment horizontal="center"/>
    </xf>
    <xf numFmtId="0" fontId="76" fillId="8" borderId="0" xfId="11" applyFont="1" applyFill="1"/>
    <xf numFmtId="3" fontId="54" fillId="6" borderId="54" xfId="11" applyNumberFormat="1" applyFont="1" applyFill="1" applyBorder="1" applyAlignment="1">
      <alignment horizontal="right"/>
    </xf>
    <xf numFmtId="164" fontId="54" fillId="6" borderId="54" xfId="54" applyNumberFormat="1" applyFont="1" applyFill="1" applyBorder="1" applyAlignment="1">
      <alignment horizontal="center" vertical="center"/>
    </xf>
    <xf numFmtId="0" fontId="87" fillId="6" borderId="47" xfId="11" applyFont="1" applyFill="1" applyBorder="1"/>
    <xf numFmtId="0" fontId="43" fillId="6" borderId="0" xfId="11" applyFont="1" applyFill="1"/>
    <xf numFmtId="49" fontId="54" fillId="7" borderId="57" xfId="11" applyNumberFormat="1" applyFont="1" applyFill="1" applyBorder="1" applyAlignment="1">
      <alignment horizontal="left" vertical="center" wrapText="1"/>
    </xf>
    <xf numFmtId="49" fontId="54" fillId="7" borderId="57" xfId="11" applyNumberFormat="1" applyFont="1" applyFill="1" applyBorder="1" applyAlignment="1">
      <alignment horizontal="center" vertical="center" wrapText="1"/>
    </xf>
    <xf numFmtId="164" fontId="54" fillId="7" borderId="54" xfId="54" applyNumberFormat="1" applyFont="1" applyFill="1" applyBorder="1" applyAlignment="1">
      <alignment horizontal="center" vertical="center"/>
    </xf>
    <xf numFmtId="0" fontId="43" fillId="8" borderId="0" xfId="11" applyFont="1" applyFill="1"/>
    <xf numFmtId="164" fontId="54" fillId="0" borderId="54" xfId="54" applyNumberFormat="1" applyFont="1" applyFill="1" applyBorder="1" applyAlignment="1">
      <alignment horizontal="center" vertical="center"/>
    </xf>
    <xf numFmtId="0" fontId="59" fillId="0" borderId="57" xfId="11" applyFont="1" applyBorder="1"/>
    <xf numFmtId="0" fontId="59" fillId="0" borderId="57" xfId="11" applyFont="1" applyBorder="1" applyAlignment="1">
      <alignment horizontal="center"/>
    </xf>
    <xf numFmtId="164" fontId="59" fillId="0" borderId="54" xfId="54" applyNumberFormat="1" applyFont="1" applyFill="1" applyBorder="1" applyAlignment="1">
      <alignment horizontal="center" vertical="center"/>
    </xf>
    <xf numFmtId="0" fontId="59" fillId="0" borderId="57" xfId="11" applyFont="1" applyBorder="1" applyAlignment="1">
      <alignment horizontal="center" wrapText="1"/>
    </xf>
    <xf numFmtId="164" fontId="50" fillId="0" borderId="57" xfId="11" applyNumberFormat="1" applyBorder="1"/>
    <xf numFmtId="0" fontId="59" fillId="0" borderId="54" xfId="11" applyFont="1" applyBorder="1" applyAlignment="1">
      <alignment horizontal="center"/>
    </xf>
    <xf numFmtId="0" fontId="54" fillId="0" borderId="57" xfId="11" applyFont="1" applyBorder="1"/>
    <xf numFmtId="0" fontId="54" fillId="0" borderId="57" xfId="11" applyFont="1" applyBorder="1" applyAlignment="1">
      <alignment horizontal="center"/>
    </xf>
    <xf numFmtId="49" fontId="54" fillId="7" borderId="57" xfId="11" applyNumberFormat="1" applyFont="1" applyFill="1" applyBorder="1" applyAlignment="1">
      <alignment vertical="center" wrapText="1"/>
    </xf>
    <xf numFmtId="0" fontId="59" fillId="0" borderId="57" xfId="11" applyFont="1" applyBorder="1" applyAlignment="1">
      <alignment wrapText="1"/>
    </xf>
    <xf numFmtId="0" fontId="59" fillId="0" borderId="31" xfId="11" applyFont="1" applyBorder="1"/>
    <xf numFmtId="0" fontId="59" fillId="0" borderId="31" xfId="11" applyFont="1" applyBorder="1" applyAlignment="1">
      <alignment horizontal="center"/>
    </xf>
    <xf numFmtId="164" fontId="54" fillId="0" borderId="55" xfId="54" applyNumberFormat="1" applyFont="1" applyFill="1" applyBorder="1" applyAlignment="1">
      <alignment horizontal="center" vertical="center"/>
    </xf>
    <xf numFmtId="0" fontId="91" fillId="6" borderId="43" xfId="11" applyFont="1" applyFill="1" applyBorder="1" applyAlignment="1">
      <alignment horizontal="center" vertical="center"/>
    </xf>
    <xf numFmtId="3" fontId="91" fillId="6" borderId="60" xfId="11" applyNumberFormat="1" applyFont="1" applyFill="1" applyBorder="1" applyAlignment="1">
      <alignment vertical="center"/>
    </xf>
    <xf numFmtId="164" fontId="54" fillId="6" borderId="60" xfId="54" applyNumberFormat="1" applyFont="1" applyFill="1" applyBorder="1" applyAlignment="1">
      <alignment horizontal="center" vertical="center"/>
    </xf>
    <xf numFmtId="3" fontId="90" fillId="6" borderId="60" xfId="11" applyNumberFormat="1" applyFont="1" applyFill="1" applyBorder="1" applyAlignment="1">
      <alignment vertical="center"/>
    </xf>
    <xf numFmtId="0" fontId="43" fillId="6" borderId="44" xfId="11" applyFont="1" applyFill="1" applyBorder="1" applyAlignment="1">
      <alignment horizontal="left" vertical="center"/>
    </xf>
    <xf numFmtId="49" fontId="37" fillId="0" borderId="70" xfId="6" applyNumberFormat="1" applyFont="1" applyBorder="1" applyAlignment="1">
      <alignment horizontal="center" vertical="center"/>
    </xf>
    <xf numFmtId="0" fontId="37" fillId="0" borderId="70" xfId="7" applyFont="1" applyBorder="1" applyAlignment="1">
      <alignment horizontal="center" vertical="center"/>
    </xf>
    <xf numFmtId="0" fontId="38" fillId="0" borderId="70" xfId="6" applyFont="1" applyBorder="1" applyAlignment="1">
      <alignment horizontal="center" vertical="center"/>
    </xf>
    <xf numFmtId="0" fontId="55" fillId="0" borderId="70" xfId="7" applyFont="1" applyBorder="1" applyAlignment="1">
      <alignment horizontal="center" vertical="center" wrapText="1"/>
    </xf>
    <xf numFmtId="49" fontId="34" fillId="3" borderId="71" xfId="6" applyNumberFormat="1" applyFont="1" applyFill="1" applyBorder="1" applyAlignment="1">
      <alignment horizontal="center" vertical="center"/>
    </xf>
    <xf numFmtId="49" fontId="34" fillId="3" borderId="69" xfId="6" applyNumberFormat="1" applyFont="1" applyFill="1" applyBorder="1" applyAlignment="1">
      <alignment horizontal="center" vertical="center"/>
    </xf>
    <xf numFmtId="49" fontId="34" fillId="3" borderId="69" xfId="6" applyNumberFormat="1" applyFont="1" applyFill="1" applyBorder="1" applyAlignment="1">
      <alignment vertical="center"/>
    </xf>
    <xf numFmtId="3" fontId="34" fillId="3" borderId="69" xfId="6" applyNumberFormat="1" applyFont="1" applyFill="1" applyBorder="1" applyAlignment="1">
      <alignment vertical="center"/>
    </xf>
    <xf numFmtId="164" fontId="34" fillId="3" borderId="69" xfId="9" applyNumberFormat="1" applyFont="1" applyFill="1" applyBorder="1" applyAlignment="1">
      <alignment horizontal="center" vertical="center"/>
    </xf>
    <xf numFmtId="0" fontId="43" fillId="3" borderId="72" xfId="6" applyFont="1" applyFill="1" applyBorder="1"/>
    <xf numFmtId="0" fontId="39" fillId="0" borderId="76" xfId="6" applyFont="1" applyBorder="1" applyAlignment="1">
      <alignment vertical="center"/>
    </xf>
    <xf numFmtId="0" fontId="39" fillId="0" borderId="76" xfId="6" applyFont="1" applyBorder="1" applyAlignment="1">
      <alignment horizontal="center" vertical="center"/>
    </xf>
    <xf numFmtId="3" fontId="39" fillId="0" borderId="76" xfId="6" applyNumberFormat="1" applyFont="1" applyBorder="1" applyAlignment="1">
      <alignment vertical="center"/>
    </xf>
    <xf numFmtId="3" fontId="34" fillId="0" borderId="76" xfId="6" applyNumberFormat="1" applyFont="1" applyBorder="1" applyAlignment="1">
      <alignment horizontal="right" vertical="center"/>
    </xf>
    <xf numFmtId="164" fontId="39" fillId="0" borderId="76" xfId="9" applyNumberFormat="1" applyFont="1" applyFill="1" applyBorder="1" applyAlignment="1">
      <alignment horizontal="center" vertical="center"/>
    </xf>
    <xf numFmtId="49" fontId="34" fillId="4" borderId="69" xfId="6" applyNumberFormat="1" applyFont="1" applyFill="1" applyBorder="1" applyAlignment="1">
      <alignment horizontal="left" vertical="center"/>
    </xf>
    <xf numFmtId="49" fontId="34" fillId="4" borderId="69" xfId="6" applyNumberFormat="1" applyFont="1" applyFill="1" applyBorder="1" applyAlignment="1">
      <alignment horizontal="center" vertical="center"/>
    </xf>
    <xf numFmtId="3" fontId="34" fillId="4" borderId="69" xfId="6" applyNumberFormat="1" applyFont="1" applyFill="1" applyBorder="1" applyAlignment="1">
      <alignment horizontal="right" vertical="center"/>
    </xf>
    <xf numFmtId="164" fontId="34" fillId="4" borderId="69" xfId="9" applyNumberFormat="1" applyFont="1" applyFill="1" applyBorder="1" applyAlignment="1">
      <alignment horizontal="center" vertical="center"/>
    </xf>
    <xf numFmtId="49" fontId="34" fillId="4" borderId="69" xfId="6" applyNumberFormat="1" applyFont="1" applyFill="1" applyBorder="1" applyAlignment="1">
      <alignment vertical="center"/>
    </xf>
    <xf numFmtId="3" fontId="34" fillId="4" borderId="69" xfId="6" applyNumberFormat="1" applyFont="1" applyFill="1" applyBorder="1" applyAlignment="1">
      <alignment vertical="center"/>
    </xf>
    <xf numFmtId="49" fontId="34" fillId="3" borderId="63" xfId="6" applyNumberFormat="1" applyFont="1" applyFill="1" applyBorder="1" applyAlignment="1">
      <alignment horizontal="center" vertical="center"/>
    </xf>
    <xf numFmtId="0" fontId="43" fillId="3" borderId="73" xfId="6" applyFont="1" applyFill="1" applyBorder="1"/>
    <xf numFmtId="0" fontId="39" fillId="0" borderId="10" xfId="6" applyFont="1" applyBorder="1" applyAlignment="1">
      <alignment horizontal="center" vertical="center"/>
    </xf>
    <xf numFmtId="164" fontId="39" fillId="0" borderId="10" xfId="9" applyNumberFormat="1" applyFont="1" applyFill="1" applyBorder="1" applyAlignment="1">
      <alignment horizontal="center" vertical="center"/>
    </xf>
    <xf numFmtId="0" fontId="46" fillId="3" borderId="82" xfId="7" applyFont="1" applyFill="1" applyBorder="1" applyAlignment="1">
      <alignment horizontal="center" vertical="center"/>
    </xf>
    <xf numFmtId="3" fontId="46" fillId="3" borderId="82" xfId="7" applyNumberFormat="1" applyFont="1" applyFill="1" applyBorder="1" applyAlignment="1">
      <alignment horizontal="right" vertical="center"/>
    </xf>
    <xf numFmtId="164" fontId="46" fillId="3" borderId="82" xfId="9" applyNumberFormat="1" applyFont="1" applyFill="1" applyBorder="1" applyAlignment="1">
      <alignment horizontal="center" vertical="center"/>
    </xf>
    <xf numFmtId="0" fontId="47" fillId="3" borderId="83" xfId="7" applyFont="1" applyFill="1" applyBorder="1" applyAlignment="1">
      <alignment horizontal="left" vertical="center" wrapText="1"/>
    </xf>
    <xf numFmtId="49" fontId="37" fillId="0" borderId="61" xfId="6" applyNumberFormat="1" applyFont="1" applyBorder="1" applyAlignment="1">
      <alignment horizontal="center"/>
    </xf>
    <xf numFmtId="0" fontId="37" fillId="0" borderId="62" xfId="7" applyFont="1" applyBorder="1" applyAlignment="1">
      <alignment horizontal="center" wrapText="1"/>
    </xf>
    <xf numFmtId="0" fontId="40" fillId="0" borderId="76" xfId="6" applyFont="1" applyBorder="1" applyAlignment="1">
      <alignment horizontal="center" vertical="center" wrapText="1"/>
    </xf>
    <xf numFmtId="3" fontId="40" fillId="0" borderId="76" xfId="6" applyNumberFormat="1" applyFont="1" applyBorder="1" applyAlignment="1">
      <alignment vertical="center" wrapText="1"/>
    </xf>
    <xf numFmtId="3" fontId="40" fillId="0" borderId="76" xfId="6" applyNumberFormat="1" applyFont="1" applyBorder="1" applyAlignment="1">
      <alignment horizontal="right" vertical="center"/>
    </xf>
    <xf numFmtId="164" fontId="40" fillId="0" borderId="76" xfId="9" applyNumberFormat="1" applyFont="1" applyFill="1" applyBorder="1" applyAlignment="1">
      <alignment horizontal="center" vertical="center"/>
    </xf>
    <xf numFmtId="0" fontId="39" fillId="0" borderId="69" xfId="6" applyFont="1" applyBorder="1" applyAlignment="1">
      <alignment vertical="center"/>
    </xf>
    <xf numFmtId="0" fontId="39" fillId="0" borderId="69" xfId="6" applyFont="1" applyBorder="1" applyAlignment="1">
      <alignment horizontal="center" vertical="center"/>
    </xf>
    <xf numFmtId="3" fontId="39" fillId="0" borderId="69" xfId="6" applyNumberFormat="1" applyFont="1" applyBorder="1" applyAlignment="1">
      <alignment vertical="center"/>
    </xf>
    <xf numFmtId="3" fontId="39" fillId="0" borderId="69" xfId="6" applyNumberFormat="1" applyFont="1" applyBorder="1" applyAlignment="1">
      <alignment horizontal="right" vertical="center"/>
    </xf>
    <xf numFmtId="164" fontId="34" fillId="0" borderId="69" xfId="9" applyNumberFormat="1" applyFont="1" applyFill="1" applyBorder="1" applyAlignment="1">
      <alignment horizontal="center" vertical="center"/>
    </xf>
    <xf numFmtId="0" fontId="47" fillId="0" borderId="76" xfId="6" applyFont="1" applyBorder="1" applyAlignment="1">
      <alignment horizontal="center" vertical="center"/>
    </xf>
    <xf numFmtId="3" fontId="47" fillId="0" borderId="76" xfId="6" applyNumberFormat="1" applyFont="1" applyBorder="1" applyAlignment="1">
      <alignment vertical="center"/>
    </xf>
    <xf numFmtId="3" fontId="48" fillId="0" borderId="76" xfId="6" applyNumberFormat="1" applyFont="1" applyBorder="1" applyAlignment="1">
      <alignment horizontal="right" vertical="center"/>
    </xf>
    <xf numFmtId="164" fontId="49" fillId="0" borderId="76" xfId="9" applyNumberFormat="1" applyFont="1" applyFill="1" applyBorder="1" applyAlignment="1">
      <alignment horizontal="center" vertical="center"/>
    </xf>
    <xf numFmtId="0" fontId="48" fillId="3" borderId="91" xfId="7" applyFont="1" applyFill="1" applyBorder="1" applyAlignment="1">
      <alignment horizontal="center" vertical="center"/>
    </xf>
    <xf numFmtId="3" fontId="34" fillId="3" borderId="91" xfId="7" applyNumberFormat="1" applyFont="1" applyFill="1" applyBorder="1" applyAlignment="1">
      <alignment horizontal="right" vertical="center"/>
    </xf>
    <xf numFmtId="164" fontId="34" fillId="3" borderId="91" xfId="9" applyNumberFormat="1" applyFont="1" applyFill="1" applyBorder="1" applyAlignment="1">
      <alignment horizontal="center" vertical="center"/>
    </xf>
    <xf numFmtId="0" fontId="47" fillId="3" borderId="92" xfId="7" applyFont="1" applyFill="1" applyBorder="1" applyAlignment="1">
      <alignment horizontal="left" vertical="center" wrapText="1"/>
    </xf>
    <xf numFmtId="164" fontId="34" fillId="0" borderId="76" xfId="9" applyNumberFormat="1" applyFont="1" applyFill="1" applyBorder="1" applyAlignment="1">
      <alignment horizontal="center" vertical="center"/>
    </xf>
    <xf numFmtId="0" fontId="43" fillId="3" borderId="5" xfId="3" applyFont="1" applyFill="1" applyBorder="1"/>
    <xf numFmtId="0" fontId="39" fillId="0" borderId="97" xfId="3" applyFont="1" applyBorder="1" applyAlignment="1">
      <alignment vertical="center"/>
    </xf>
    <xf numFmtId="3" fontId="39" fillId="0" borderId="97" xfId="3" applyNumberFormat="1" applyFont="1" applyBorder="1" applyAlignment="1">
      <alignment vertical="center"/>
    </xf>
    <xf numFmtId="3" fontId="34" fillId="0" borderId="97" xfId="3" applyNumberFormat="1" applyFont="1" applyBorder="1" applyAlignment="1">
      <alignment horizontal="right" vertical="center"/>
    </xf>
    <xf numFmtId="164" fontId="39" fillId="0" borderId="97" xfId="8" applyNumberFormat="1" applyFont="1" applyFill="1" applyBorder="1" applyAlignment="1">
      <alignment horizontal="center" vertical="center"/>
    </xf>
    <xf numFmtId="1" fontId="39" fillId="0" borderId="10" xfId="3" applyNumberFormat="1" applyFont="1" applyBorder="1" applyAlignment="1">
      <alignment vertical="center"/>
    </xf>
    <xf numFmtId="49" fontId="34" fillId="3" borderId="101" xfId="3" applyNumberFormat="1" applyFont="1" applyFill="1" applyBorder="1" applyAlignment="1">
      <alignment horizontal="center" vertical="center"/>
    </xf>
    <xf numFmtId="49" fontId="34" fillId="3" borderId="102" xfId="3" applyNumberFormat="1" applyFont="1" applyFill="1" applyBorder="1" applyAlignment="1">
      <alignment horizontal="center" vertical="center"/>
    </xf>
    <xf numFmtId="49" fontId="34" fillId="3" borderId="102" xfId="3" applyNumberFormat="1" applyFont="1" applyFill="1" applyBorder="1" applyAlignment="1">
      <alignment vertical="center"/>
    </xf>
    <xf numFmtId="3" fontId="34" fillId="3" borderId="102" xfId="3" applyNumberFormat="1" applyFont="1" applyFill="1" applyBorder="1" applyAlignment="1">
      <alignment vertical="center"/>
    </xf>
    <xf numFmtId="164" fontId="34" fillId="3" borderId="102" xfId="8" applyNumberFormat="1" applyFont="1" applyFill="1" applyBorder="1" applyAlignment="1">
      <alignment horizontal="center" vertical="center"/>
    </xf>
    <xf numFmtId="3" fontId="34" fillId="3" borderId="102" xfId="3" applyNumberFormat="1" applyFont="1" applyFill="1" applyBorder="1" applyAlignment="1">
      <alignment horizontal="right" vertical="center"/>
    </xf>
    <xf numFmtId="0" fontId="43" fillId="3" borderId="103" xfId="3" applyFont="1" applyFill="1" applyBorder="1"/>
    <xf numFmtId="1" fontId="39" fillId="0" borderId="97" xfId="3" applyNumberFormat="1" applyFont="1" applyBorder="1" applyAlignment="1">
      <alignment vertical="center"/>
    </xf>
    <xf numFmtId="0" fontId="37" fillId="0" borderId="62" xfId="7" applyFont="1" applyBorder="1" applyAlignment="1">
      <alignment horizontal="center"/>
    </xf>
    <xf numFmtId="0" fontId="43" fillId="3" borderId="64" xfId="6" applyFont="1" applyFill="1" applyBorder="1"/>
    <xf numFmtId="3" fontId="39" fillId="0" borderId="76" xfId="6" applyNumberFormat="1" applyFont="1" applyBorder="1" applyAlignment="1">
      <alignment horizontal="right" vertical="center"/>
    </xf>
    <xf numFmtId="164" fontId="40" fillId="0" borderId="69" xfId="9" applyNumberFormat="1" applyFont="1" applyFill="1" applyBorder="1" applyAlignment="1">
      <alignment horizontal="center" vertical="center"/>
    </xf>
    <xf numFmtId="0" fontId="34" fillId="3" borderId="82" xfId="7" applyFont="1" applyFill="1" applyBorder="1" applyAlignment="1">
      <alignment horizontal="center" vertical="center"/>
    </xf>
    <xf numFmtId="3" fontId="34" fillId="3" borderId="82" xfId="7" applyNumberFormat="1" applyFont="1" applyFill="1" applyBorder="1" applyAlignment="1">
      <alignment horizontal="right" vertical="center"/>
    </xf>
    <xf numFmtId="164" fontId="34" fillId="3" borderId="82" xfId="9" applyNumberFormat="1" applyFont="1" applyFill="1" applyBorder="1" applyAlignment="1">
      <alignment horizontal="center" vertical="center"/>
    </xf>
    <xf numFmtId="0" fontId="39" fillId="3" borderId="83" xfId="7" applyFont="1" applyFill="1" applyBorder="1" applyAlignment="1">
      <alignment horizontal="left" vertical="center" wrapText="1"/>
    </xf>
    <xf numFmtId="0" fontId="53" fillId="0" borderId="0" xfId="53" applyFont="1" applyAlignment="1">
      <alignment horizontal="center" vertical="center"/>
    </xf>
    <xf numFmtId="0" fontId="13" fillId="0" borderId="0" xfId="53"/>
    <xf numFmtId="3" fontId="13" fillId="0" borderId="0" xfId="53" applyNumberFormat="1"/>
    <xf numFmtId="0" fontId="52" fillId="0" borderId="0" xfId="21" applyFont="1" applyAlignment="1">
      <alignment horizontal="center" vertical="center" wrapText="1"/>
    </xf>
    <xf numFmtId="0" fontId="53" fillId="0" borderId="0" xfId="21" applyFont="1" applyAlignment="1">
      <alignment horizontal="center" vertical="center"/>
    </xf>
    <xf numFmtId="0" fontId="54" fillId="0" borderId="0" xfId="21" applyFont="1" applyAlignment="1">
      <alignment horizontal="center" vertical="center"/>
    </xf>
    <xf numFmtId="49" fontId="55" fillId="0" borderId="23" xfId="11" applyNumberFormat="1" applyFont="1" applyBorder="1" applyAlignment="1">
      <alignment horizontal="center" vertical="center"/>
    </xf>
    <xf numFmtId="49" fontId="55" fillId="0" borderId="23" xfId="21" applyNumberFormat="1" applyFont="1" applyBorder="1" applyAlignment="1">
      <alignment horizontal="center" vertical="center"/>
    </xf>
    <xf numFmtId="0" fontId="55" fillId="0" borderId="23" xfId="21" applyFont="1" applyBorder="1" applyAlignment="1">
      <alignment horizontal="center" vertical="center"/>
    </xf>
    <xf numFmtId="0" fontId="56" fillId="0" borderId="23" xfId="11" applyFont="1" applyBorder="1" applyAlignment="1">
      <alignment horizontal="center" vertical="center"/>
    </xf>
    <xf numFmtId="3" fontId="55" fillId="0" borderId="23" xfId="21" applyNumberFormat="1" applyFont="1" applyBorder="1" applyAlignment="1">
      <alignment horizontal="center" vertical="center"/>
    </xf>
    <xf numFmtId="0" fontId="55" fillId="0" borderId="23" xfId="21" applyFont="1" applyBorder="1" applyAlignment="1">
      <alignment horizontal="center" vertical="center" wrapText="1"/>
    </xf>
    <xf numFmtId="49" fontId="54" fillId="6" borderId="127" xfId="11" applyNumberFormat="1" applyFont="1" applyFill="1" applyBorder="1" applyAlignment="1">
      <alignment horizontal="center" vertical="center"/>
    </xf>
    <xf numFmtId="49" fontId="54" fillId="6" borderId="128" xfId="11" applyNumberFormat="1" applyFont="1" applyFill="1" applyBorder="1" applyAlignment="1">
      <alignment horizontal="center" vertical="center"/>
    </xf>
    <xf numFmtId="49" fontId="54" fillId="6" borderId="128" xfId="11" applyNumberFormat="1" applyFont="1" applyFill="1" applyBorder="1" applyAlignment="1">
      <alignment horizontal="left" vertical="center"/>
    </xf>
    <xf numFmtId="3" fontId="54" fillId="6" borderId="128" xfId="11" applyNumberFormat="1" applyFont="1" applyFill="1" applyBorder="1" applyAlignment="1">
      <alignment horizontal="right" vertical="center"/>
    </xf>
    <xf numFmtId="164" fontId="54" fillId="6" borderId="128" xfId="11" applyNumberFormat="1" applyFont="1" applyFill="1" applyBorder="1" applyAlignment="1">
      <alignment horizontal="center" vertical="center"/>
    </xf>
    <xf numFmtId="0" fontId="57" fillId="6" borderId="129" xfId="11" applyFont="1" applyFill="1" applyBorder="1" applyAlignment="1">
      <alignment vertical="top"/>
    </xf>
    <xf numFmtId="49" fontId="54" fillId="7" borderId="57" xfId="11" applyNumberFormat="1" applyFont="1" applyFill="1" applyBorder="1" applyAlignment="1">
      <alignment horizontal="left" vertical="center"/>
    </xf>
    <xf numFmtId="49" fontId="54" fillId="7" borderId="57" xfId="11" applyNumberFormat="1" applyFont="1" applyFill="1" applyBorder="1" applyAlignment="1">
      <alignment horizontal="center" vertical="center"/>
    </xf>
    <xf numFmtId="164" fontId="54" fillId="7" borderId="57" xfId="11" applyNumberFormat="1" applyFont="1" applyFill="1" applyBorder="1" applyAlignment="1">
      <alignment horizontal="center" vertical="center"/>
    </xf>
    <xf numFmtId="0" fontId="59" fillId="0" borderId="57" xfId="11" applyFont="1" applyBorder="1" applyAlignment="1">
      <alignment horizontal="left" vertical="center"/>
    </xf>
    <xf numFmtId="49" fontId="59" fillId="0" borderId="57" xfId="11" applyNumberFormat="1" applyFont="1" applyBorder="1" applyAlignment="1">
      <alignment horizontal="center" vertical="center"/>
    </xf>
    <xf numFmtId="164" fontId="59" fillId="0" borderId="57" xfId="11" applyNumberFormat="1" applyFont="1" applyBorder="1" applyAlignment="1">
      <alignment horizontal="center" vertical="center"/>
    </xf>
    <xf numFmtId="0" fontId="59" fillId="0" borderId="31" xfId="11" applyFont="1" applyBorder="1" applyAlignment="1">
      <alignment horizontal="left" vertical="center"/>
    </xf>
    <xf numFmtId="0" fontId="59" fillId="0" borderId="31" xfId="11" applyFont="1" applyBorder="1" applyAlignment="1">
      <alignment horizontal="left" vertical="center" wrapText="1"/>
    </xf>
    <xf numFmtId="3" fontId="59" fillId="0" borderId="58" xfId="11" applyNumberFormat="1" applyFont="1" applyBorder="1" applyAlignment="1">
      <alignment horizontal="right" vertical="center"/>
    </xf>
    <xf numFmtId="0" fontId="59" fillId="0" borderId="57" xfId="11" applyFont="1" applyBorder="1" applyAlignment="1">
      <alignment horizontal="left" vertical="center" wrapText="1"/>
    </xf>
    <xf numFmtId="0" fontId="54" fillId="0" borderId="57" xfId="11" applyFont="1" applyBorder="1" applyAlignment="1">
      <alignment horizontal="left" vertical="center"/>
    </xf>
    <xf numFmtId="0" fontId="59" fillId="0" borderId="59" xfId="11" applyFont="1" applyBorder="1" applyAlignment="1">
      <alignment horizontal="left" vertical="center"/>
    </xf>
    <xf numFmtId="0" fontId="59" fillId="0" borderId="122" xfId="11" applyFont="1" applyBorder="1" applyAlignment="1">
      <alignment horizontal="left" vertical="center"/>
    </xf>
    <xf numFmtId="49" fontId="59" fillId="0" borderId="31" xfId="11" applyNumberFormat="1" applyFont="1" applyBorder="1" applyAlignment="1">
      <alignment horizontal="center" vertical="center"/>
    </xf>
    <xf numFmtId="3" fontId="59" fillId="0" borderId="31" xfId="11" applyNumberFormat="1" applyFont="1" applyBorder="1" applyAlignment="1">
      <alignment horizontal="center" vertical="center"/>
    </xf>
    <xf numFmtId="3" fontId="59" fillId="0" borderId="55" xfId="11" applyNumberFormat="1" applyFont="1" applyBorder="1" applyAlignment="1">
      <alignment horizontal="right" vertical="center"/>
    </xf>
    <xf numFmtId="164" fontId="54" fillId="0" borderId="31" xfId="11" applyNumberFormat="1" applyFont="1" applyBorder="1" applyAlignment="1">
      <alignment horizontal="center" vertical="center"/>
    </xf>
    <xf numFmtId="0" fontId="54" fillId="6" borderId="40" xfId="21" applyFont="1" applyFill="1" applyBorder="1" applyAlignment="1">
      <alignment horizontal="center" vertical="center"/>
    </xf>
    <xf numFmtId="3" fontId="54" fillId="6" borderId="60" xfId="21" applyNumberFormat="1" applyFont="1" applyFill="1" applyBorder="1" applyAlignment="1">
      <alignment horizontal="right" vertical="center"/>
    </xf>
    <xf numFmtId="164" fontId="54" fillId="6" borderId="60" xfId="17" applyNumberFormat="1" applyFont="1" applyFill="1" applyBorder="1" applyAlignment="1">
      <alignment horizontal="center" vertical="center"/>
    </xf>
    <xf numFmtId="0" fontId="59" fillId="6" borderId="44" xfId="21" applyFont="1" applyFill="1" applyBorder="1" applyAlignment="1">
      <alignment vertical="center" wrapText="1"/>
    </xf>
    <xf numFmtId="3" fontId="50" fillId="0" borderId="0" xfId="11" applyNumberFormat="1"/>
    <xf numFmtId="0" fontId="43" fillId="0" borderId="0" xfId="11" applyFont="1" applyAlignment="1">
      <alignment vertical="center"/>
    </xf>
    <xf numFmtId="0" fontId="43" fillId="0" borderId="0" xfId="11" applyFont="1" applyAlignment="1">
      <alignment horizontal="left" vertical="center"/>
    </xf>
    <xf numFmtId="49" fontId="43" fillId="0" borderId="0" xfId="11" applyNumberFormat="1" applyFont="1" applyAlignment="1">
      <alignment vertical="center"/>
    </xf>
    <xf numFmtId="0" fontId="87" fillId="0" borderId="0" xfId="11" applyFont="1" applyAlignment="1">
      <alignment vertical="center"/>
    </xf>
    <xf numFmtId="0" fontId="50" fillId="0" borderId="0" xfId="11" applyAlignment="1">
      <alignment horizontal="right" vertical="top"/>
    </xf>
    <xf numFmtId="0" fontId="103" fillId="0" borderId="0" xfId="53" applyFont="1" applyAlignment="1">
      <alignment horizontal="center" vertical="center" wrapText="1"/>
    </xf>
    <xf numFmtId="0" fontId="104" fillId="0" borderId="0" xfId="53" applyFont="1" applyAlignment="1">
      <alignment horizontal="center" vertical="center"/>
    </xf>
    <xf numFmtId="0" fontId="104" fillId="0" borderId="0" xfId="53" applyFont="1" applyAlignment="1">
      <alignment horizontal="left" vertical="center"/>
    </xf>
    <xf numFmtId="49" fontId="104" fillId="0" borderId="0" xfId="53" applyNumberFormat="1" applyFont="1" applyAlignment="1">
      <alignment horizontal="center" vertical="center"/>
    </xf>
    <xf numFmtId="0" fontId="54" fillId="0" borderId="0" xfId="53" applyFont="1" applyAlignment="1">
      <alignment horizontal="center" vertical="center"/>
    </xf>
    <xf numFmtId="0" fontId="85" fillId="0" borderId="38" xfId="11" applyFont="1" applyBorder="1" applyAlignment="1">
      <alignment horizontal="center" vertical="center" wrapText="1"/>
    </xf>
    <xf numFmtId="0" fontId="105" fillId="0" borderId="0" xfId="11" applyFont="1"/>
    <xf numFmtId="0" fontId="85" fillId="0" borderId="0" xfId="11" applyFont="1" applyAlignment="1">
      <alignment horizontal="center" vertical="center" wrapText="1"/>
    </xf>
    <xf numFmtId="49" fontId="86" fillId="0" borderId="23" xfId="11" applyNumberFormat="1" applyFont="1" applyBorder="1" applyAlignment="1">
      <alignment horizontal="center" vertical="center"/>
    </xf>
    <xf numFmtId="49" fontId="86" fillId="0" borderId="23" xfId="53" applyNumberFormat="1" applyFont="1" applyBorder="1" applyAlignment="1">
      <alignment horizontal="center" vertical="center"/>
    </xf>
    <xf numFmtId="0" fontId="55" fillId="0" borderId="23" xfId="53" applyFont="1" applyBorder="1" applyAlignment="1">
      <alignment horizontal="center" vertical="center"/>
    </xf>
    <xf numFmtId="49" fontId="88" fillId="0" borderId="23" xfId="53" applyNumberFormat="1" applyFont="1" applyBorder="1" applyAlignment="1">
      <alignment horizontal="center" vertical="center"/>
    </xf>
    <xf numFmtId="0" fontId="106" fillId="0" borderId="0" xfId="11" applyFont="1"/>
    <xf numFmtId="49" fontId="85" fillId="6" borderId="127" xfId="11" applyNumberFormat="1" applyFont="1" applyFill="1" applyBorder="1" applyAlignment="1">
      <alignment horizontal="center" vertical="center"/>
    </xf>
    <xf numFmtId="49" fontId="85" fillId="6" borderId="128" xfId="11" applyNumberFormat="1" applyFont="1" applyFill="1" applyBorder="1" applyAlignment="1">
      <alignment horizontal="center" vertical="center"/>
    </xf>
    <xf numFmtId="49" fontId="85" fillId="6" borderId="128" xfId="11" applyNumberFormat="1" applyFont="1" applyFill="1" applyBorder="1" applyAlignment="1">
      <alignment horizontal="left" vertical="center"/>
    </xf>
    <xf numFmtId="3" fontId="54" fillId="6" borderId="116" xfId="11" applyNumberFormat="1" applyFont="1" applyFill="1" applyBorder="1" applyAlignment="1">
      <alignment horizontal="right" vertical="center"/>
    </xf>
    <xf numFmtId="0" fontId="87" fillId="6" borderId="124" xfId="11" applyFont="1" applyFill="1" applyBorder="1" applyAlignment="1">
      <alignment vertical="top"/>
    </xf>
    <xf numFmtId="49" fontId="85" fillId="7" borderId="57" xfId="11" applyNumberFormat="1" applyFont="1" applyFill="1" applyBorder="1" applyAlignment="1">
      <alignment horizontal="left" vertical="center"/>
    </xf>
    <xf numFmtId="49" fontId="85" fillId="7" borderId="57" xfId="11" applyNumberFormat="1" applyFont="1" applyFill="1" applyBorder="1" applyAlignment="1">
      <alignment horizontal="center" vertical="center"/>
    </xf>
    <xf numFmtId="3" fontId="54" fillId="7" borderId="58" xfId="11" applyNumberFormat="1" applyFont="1" applyFill="1" applyBorder="1" applyAlignment="1">
      <alignment horizontal="right" vertical="center"/>
    </xf>
    <xf numFmtId="49" fontId="85" fillId="0" borderId="57" xfId="11" applyNumberFormat="1" applyFont="1" applyBorder="1" applyAlignment="1">
      <alignment horizontal="center" vertical="center"/>
    </xf>
    <xf numFmtId="3" fontId="54" fillId="0" borderId="58" xfId="11" applyNumberFormat="1" applyFont="1" applyBorder="1" applyAlignment="1">
      <alignment horizontal="right" vertical="center"/>
    </xf>
    <xf numFmtId="0" fontId="88" fillId="0" borderId="57" xfId="11" applyFont="1" applyBorder="1" applyAlignment="1">
      <alignment horizontal="left" vertical="center"/>
    </xf>
    <xf numFmtId="49" fontId="88" fillId="0" borderId="57" xfId="11" applyNumberFormat="1" applyFont="1" applyBorder="1" applyAlignment="1">
      <alignment horizontal="center" vertical="center"/>
    </xf>
    <xf numFmtId="0" fontId="88" fillId="0" borderId="31" xfId="11" applyFont="1" applyBorder="1" applyAlignment="1">
      <alignment horizontal="left" vertical="center"/>
    </xf>
    <xf numFmtId="0" fontId="88" fillId="0" borderId="31" xfId="11" applyFont="1" applyBorder="1" applyAlignment="1">
      <alignment horizontal="left" vertical="center" wrapText="1"/>
    </xf>
    <xf numFmtId="0" fontId="88" fillId="0" borderId="57" xfId="11" applyFont="1" applyBorder="1" applyAlignment="1">
      <alignment horizontal="left" vertical="center" wrapText="1"/>
    </xf>
    <xf numFmtId="0" fontId="85" fillId="0" borderId="57" xfId="11" applyFont="1" applyBorder="1" applyAlignment="1">
      <alignment horizontal="left" vertical="center"/>
    </xf>
    <xf numFmtId="49" fontId="88" fillId="0" borderId="31" xfId="11" applyNumberFormat="1" applyFont="1" applyBorder="1" applyAlignment="1">
      <alignment horizontal="center" vertical="center"/>
    </xf>
    <xf numFmtId="3" fontId="59" fillId="0" borderId="112" xfId="11" applyNumberFormat="1" applyFont="1" applyBorder="1" applyAlignment="1">
      <alignment horizontal="right" vertical="center"/>
    </xf>
    <xf numFmtId="49" fontId="85" fillId="6" borderId="114" xfId="11" applyNumberFormat="1" applyFont="1" applyFill="1" applyBorder="1" applyAlignment="1">
      <alignment horizontal="center" vertical="center"/>
    </xf>
    <xf numFmtId="49" fontId="85" fillId="6" borderId="115" xfId="11" applyNumberFormat="1" applyFont="1" applyFill="1" applyBorder="1" applyAlignment="1">
      <alignment horizontal="center" vertical="center"/>
    </xf>
    <xf numFmtId="49" fontId="85" fillId="6" borderId="115" xfId="11" applyNumberFormat="1" applyFont="1" applyFill="1" applyBorder="1" applyAlignment="1">
      <alignment horizontal="left" vertical="center"/>
    </xf>
    <xf numFmtId="3" fontId="54" fillId="6" borderId="115" xfId="11" applyNumberFormat="1" applyFont="1" applyFill="1" applyBorder="1" applyAlignment="1">
      <alignment horizontal="right" vertical="center"/>
    </xf>
    <xf numFmtId="10" fontId="54" fillId="6" borderId="115" xfId="1" applyNumberFormat="1" applyFont="1" applyFill="1" applyBorder="1" applyAlignment="1">
      <alignment horizontal="right" vertical="center"/>
    </xf>
    <xf numFmtId="10" fontId="54" fillId="6" borderId="31" xfId="1" applyNumberFormat="1" applyFont="1" applyFill="1" applyBorder="1" applyAlignment="1">
      <alignment horizontal="right" vertical="center"/>
    </xf>
    <xf numFmtId="0" fontId="87" fillId="6" borderId="117" xfId="11" applyFont="1" applyFill="1" applyBorder="1" applyAlignment="1">
      <alignment vertical="top"/>
    </xf>
    <xf numFmtId="49" fontId="85" fillId="7" borderId="57" xfId="11" applyNumberFormat="1" applyFont="1" applyFill="1" applyBorder="1" applyAlignment="1">
      <alignment horizontal="left" vertical="center" wrapText="1"/>
    </xf>
    <xf numFmtId="10" fontId="54" fillId="7" borderId="57" xfId="1" applyNumberFormat="1" applyFont="1" applyFill="1" applyBorder="1" applyAlignment="1">
      <alignment horizontal="right" vertical="center"/>
    </xf>
    <xf numFmtId="10" fontId="54" fillId="0" borderId="57" xfId="1" applyNumberFormat="1" applyFont="1" applyBorder="1" applyAlignment="1">
      <alignment horizontal="right" vertical="center"/>
    </xf>
    <xf numFmtId="10" fontId="54" fillId="0" borderId="57" xfId="1" applyNumberFormat="1" applyFont="1" applyFill="1" applyBorder="1" applyAlignment="1">
      <alignment horizontal="right" vertical="center"/>
    </xf>
    <xf numFmtId="0" fontId="50" fillId="0" borderId="23" xfId="11" applyBorder="1"/>
    <xf numFmtId="10" fontId="59" fillId="0" borderId="57" xfId="1" applyNumberFormat="1" applyFont="1" applyBorder="1" applyAlignment="1">
      <alignment horizontal="right" vertical="center"/>
    </xf>
    <xf numFmtId="10" fontId="59" fillId="0" borderId="57" xfId="1" applyNumberFormat="1" applyFont="1" applyFill="1" applyBorder="1" applyAlignment="1">
      <alignment horizontal="right" vertical="center"/>
    </xf>
    <xf numFmtId="49" fontId="107" fillId="10" borderId="132" xfId="20" applyNumberFormat="1" applyFont="1" applyFill="1" applyBorder="1" applyAlignment="1" applyProtection="1">
      <alignment horizontal="center" vertical="center" wrapText="1"/>
      <protection locked="0"/>
    </xf>
    <xf numFmtId="3" fontId="79" fillId="0" borderId="58" xfId="11" applyNumberFormat="1" applyFont="1" applyBorder="1" applyAlignment="1">
      <alignment horizontal="right" vertical="center"/>
    </xf>
    <xf numFmtId="3" fontId="79" fillId="0" borderId="57" xfId="11" applyNumberFormat="1" applyFont="1" applyBorder="1" applyAlignment="1">
      <alignment horizontal="right" vertical="center"/>
    </xf>
    <xf numFmtId="10" fontId="79" fillId="0" borderId="57" xfId="1" applyNumberFormat="1" applyFont="1" applyBorder="1" applyAlignment="1">
      <alignment horizontal="right" vertical="center"/>
    </xf>
    <xf numFmtId="49" fontId="107" fillId="0" borderId="57" xfId="11" applyNumberFormat="1" applyFont="1" applyBorder="1" applyAlignment="1">
      <alignment horizontal="center" vertical="center"/>
    </xf>
    <xf numFmtId="49" fontId="85" fillId="0" borderId="29" xfId="11" applyNumberFormat="1" applyFont="1" applyBorder="1" applyAlignment="1">
      <alignment vertical="center"/>
    </xf>
    <xf numFmtId="0" fontId="108" fillId="0" borderId="30" xfId="11" applyFont="1" applyBorder="1" applyAlignment="1">
      <alignment vertical="top"/>
    </xf>
    <xf numFmtId="49" fontId="85" fillId="0" borderId="46" xfId="11" applyNumberFormat="1" applyFont="1" applyBorder="1" applyAlignment="1">
      <alignment vertical="center"/>
    </xf>
    <xf numFmtId="49" fontId="85" fillId="0" borderId="54" xfId="11" applyNumberFormat="1" applyFont="1" applyBorder="1" applyAlignment="1">
      <alignment vertical="center"/>
    </xf>
    <xf numFmtId="0" fontId="108" fillId="0" borderId="47" xfId="11" applyFont="1" applyBorder="1" applyAlignment="1">
      <alignment vertical="top"/>
    </xf>
    <xf numFmtId="49" fontId="85" fillId="0" borderId="31" xfId="11" applyNumberFormat="1" applyFont="1" applyBorder="1" applyAlignment="1">
      <alignment vertical="center"/>
    </xf>
    <xf numFmtId="0" fontId="88" fillId="0" borderId="54" xfId="11" applyFont="1" applyBorder="1" applyAlignment="1">
      <alignment horizontal="left" vertical="center"/>
    </xf>
    <xf numFmtId="49" fontId="88" fillId="0" borderId="54" xfId="11" applyNumberFormat="1" applyFont="1" applyBorder="1" applyAlignment="1">
      <alignment horizontal="center" vertical="center"/>
    </xf>
    <xf numFmtId="3" fontId="59" fillId="0" borderId="111" xfId="11" applyNumberFormat="1" applyFont="1" applyBorder="1" applyAlignment="1">
      <alignment horizontal="right" vertical="center"/>
    </xf>
    <xf numFmtId="10" fontId="59" fillId="0" borderId="54" xfId="1" applyNumberFormat="1" applyFont="1" applyFill="1" applyBorder="1" applyAlignment="1">
      <alignment horizontal="right" vertical="center"/>
    </xf>
    <xf numFmtId="49" fontId="85" fillId="6" borderId="46" xfId="11" applyNumberFormat="1" applyFont="1" applyFill="1" applyBorder="1" applyAlignment="1">
      <alignment horizontal="center" vertical="center"/>
    </xf>
    <xf numFmtId="49" fontId="85" fillId="6" borderId="54" xfId="11" applyNumberFormat="1" applyFont="1" applyFill="1" applyBorder="1" applyAlignment="1">
      <alignment horizontal="center" vertical="center"/>
    </xf>
    <xf numFmtId="49" fontId="85" fillId="6" borderId="54" xfId="11" applyNumberFormat="1" applyFont="1" applyFill="1" applyBorder="1" applyAlignment="1">
      <alignment horizontal="left" vertical="center" wrapText="1"/>
    </xf>
    <xf numFmtId="3" fontId="54" fillId="6" borderId="111" xfId="11" applyNumberFormat="1" applyFont="1" applyFill="1" applyBorder="1" applyAlignment="1">
      <alignment horizontal="right" vertical="center"/>
    </xf>
    <xf numFmtId="3" fontId="54" fillId="6" borderId="54" xfId="11" applyNumberFormat="1" applyFont="1" applyFill="1" applyBorder="1" applyAlignment="1">
      <alignment horizontal="right" vertical="center"/>
    </xf>
    <xf numFmtId="10" fontId="54" fillId="6" borderId="54" xfId="1" applyNumberFormat="1" applyFont="1" applyFill="1" applyBorder="1" applyAlignment="1">
      <alignment horizontal="right" vertical="center"/>
    </xf>
    <xf numFmtId="0" fontId="87" fillId="6" borderId="30" xfId="11" applyFont="1" applyFill="1" applyBorder="1" applyAlignment="1">
      <alignment vertical="top"/>
    </xf>
    <xf numFmtId="49" fontId="85" fillId="6" borderId="54" xfId="11" applyNumberFormat="1" applyFont="1" applyFill="1" applyBorder="1" applyAlignment="1">
      <alignment horizontal="left" vertical="center"/>
    </xf>
    <xf numFmtId="3" fontId="54" fillId="6" borderId="57" xfId="11" applyNumberFormat="1" applyFont="1" applyFill="1" applyBorder="1" applyAlignment="1">
      <alignment horizontal="right" vertical="center"/>
    </xf>
    <xf numFmtId="10" fontId="54" fillId="6" borderId="57" xfId="1" applyNumberFormat="1" applyFont="1" applyFill="1" applyBorder="1" applyAlignment="1">
      <alignment horizontal="right" vertical="center"/>
    </xf>
    <xf numFmtId="3" fontId="54" fillId="6" borderId="58" xfId="11" applyNumberFormat="1" applyFont="1" applyFill="1" applyBorder="1" applyAlignment="1">
      <alignment horizontal="right" vertical="center"/>
    </xf>
    <xf numFmtId="0" fontId="87" fillId="6" borderId="47" xfId="11" applyFont="1" applyFill="1" applyBorder="1" applyAlignment="1">
      <alignment vertical="top"/>
    </xf>
    <xf numFmtId="49" fontId="48" fillId="0" borderId="53" xfId="11" applyNumberFormat="1" applyFont="1" applyBorder="1" applyAlignment="1">
      <alignment vertical="center"/>
    </xf>
    <xf numFmtId="49" fontId="48" fillId="0" borderId="29" xfId="11" applyNumberFormat="1" applyFont="1" applyBorder="1" applyAlignment="1">
      <alignment vertical="center"/>
    </xf>
    <xf numFmtId="49" fontId="107" fillId="0" borderId="0" xfId="11" applyNumberFormat="1" applyFont="1" applyAlignment="1">
      <alignment horizontal="center" vertical="center"/>
    </xf>
    <xf numFmtId="49" fontId="107" fillId="10" borderId="134" xfId="20" applyNumberFormat="1" applyFont="1" applyFill="1" applyBorder="1" applyAlignment="1" applyProtection="1">
      <alignment horizontal="center" vertical="center" wrapText="1"/>
      <protection locked="0"/>
    </xf>
    <xf numFmtId="49" fontId="107" fillId="10" borderId="135" xfId="20" applyNumberFormat="1" applyFont="1" applyFill="1" applyBorder="1" applyAlignment="1" applyProtection="1">
      <alignment horizontal="center" vertical="center" wrapText="1"/>
      <protection locked="0"/>
    </xf>
    <xf numFmtId="3" fontId="79" fillId="0" borderId="136" xfId="11" applyNumberFormat="1" applyFont="1" applyBorder="1" applyAlignment="1">
      <alignment horizontal="right" vertical="center"/>
    </xf>
    <xf numFmtId="10" fontId="79" fillId="0" borderId="136" xfId="1" applyNumberFormat="1" applyFont="1" applyBorder="1" applyAlignment="1">
      <alignment horizontal="right" vertical="center"/>
    </xf>
    <xf numFmtId="10" fontId="59" fillId="0" borderId="136" xfId="1" applyNumberFormat="1" applyFont="1" applyFill="1" applyBorder="1" applyAlignment="1">
      <alignment horizontal="right" vertical="center"/>
    </xf>
    <xf numFmtId="0" fontId="69" fillId="0" borderId="30" xfId="11" applyFont="1" applyBorder="1" applyAlignment="1">
      <alignment vertical="top" wrapText="1"/>
    </xf>
    <xf numFmtId="49" fontId="107" fillId="10" borderId="137" xfId="20" applyNumberFormat="1" applyFont="1" applyFill="1" applyBorder="1" applyAlignment="1" applyProtection="1">
      <alignment horizontal="center" vertical="center" wrapText="1"/>
      <protection locked="0"/>
    </xf>
    <xf numFmtId="49" fontId="48" fillId="0" borderId="46" xfId="11" applyNumberFormat="1" applyFont="1" applyBorder="1" applyAlignment="1">
      <alignment vertical="center"/>
    </xf>
    <xf numFmtId="49" fontId="107" fillId="10" borderId="138" xfId="20" applyNumberFormat="1" applyFont="1" applyFill="1" applyBorder="1" applyAlignment="1" applyProtection="1">
      <alignment horizontal="center" vertical="center" wrapText="1"/>
      <protection locked="0"/>
    </xf>
    <xf numFmtId="0" fontId="69" fillId="0" borderId="47" xfId="11" applyFont="1" applyBorder="1" applyAlignment="1">
      <alignment vertical="top" wrapText="1"/>
    </xf>
    <xf numFmtId="0" fontId="69" fillId="0" borderId="28" xfId="11" applyFont="1" applyBorder="1" applyAlignment="1">
      <alignment vertical="top" wrapText="1"/>
    </xf>
    <xf numFmtId="0" fontId="88" fillId="0" borderId="136" xfId="11" applyFont="1" applyBorder="1" applyAlignment="1">
      <alignment horizontal="left" vertical="center"/>
    </xf>
    <xf numFmtId="49" fontId="107" fillId="0" borderId="136" xfId="11" applyNumberFormat="1" applyFont="1" applyBorder="1" applyAlignment="1">
      <alignment horizontal="center" vertical="center"/>
    </xf>
    <xf numFmtId="3" fontId="59" fillId="0" borderId="136" xfId="11" applyNumberFormat="1" applyFont="1" applyBorder="1" applyAlignment="1">
      <alignment horizontal="right" vertical="center"/>
    </xf>
    <xf numFmtId="49" fontId="88" fillId="0" borderId="136" xfId="11" applyNumberFormat="1" applyFont="1" applyBorder="1" applyAlignment="1">
      <alignment horizontal="center" vertical="center"/>
    </xf>
    <xf numFmtId="10" fontId="59" fillId="0" borderId="136" xfId="1" applyNumberFormat="1" applyFont="1" applyBorder="1" applyAlignment="1">
      <alignment horizontal="right" vertical="center"/>
    </xf>
    <xf numFmtId="0" fontId="88" fillId="0" borderId="136" xfId="11" applyFont="1" applyBorder="1" applyAlignment="1">
      <alignment horizontal="left" vertical="center" wrapText="1"/>
    </xf>
    <xf numFmtId="0" fontId="71" fillId="0" borderId="30" xfId="11" applyFont="1" applyBorder="1" applyAlignment="1">
      <alignment vertical="top"/>
    </xf>
    <xf numFmtId="0" fontId="85" fillId="0" borderId="54" xfId="11" applyFont="1" applyBorder="1" applyAlignment="1">
      <alignment horizontal="left" vertical="center"/>
    </xf>
    <xf numFmtId="49" fontId="85" fillId="0" borderId="54" xfId="11" applyNumberFormat="1" applyFont="1" applyBorder="1" applyAlignment="1">
      <alignment horizontal="center" vertical="center"/>
    </xf>
    <xf numFmtId="3" fontId="54" fillId="0" borderId="111" xfId="11" applyNumberFormat="1" applyFont="1" applyBorder="1" applyAlignment="1">
      <alignment horizontal="right" vertical="center"/>
    </xf>
    <xf numFmtId="0" fontId="71" fillId="0" borderId="47" xfId="11" applyFont="1" applyBorder="1" applyAlignment="1">
      <alignment vertical="top"/>
    </xf>
    <xf numFmtId="49" fontId="85" fillId="7" borderId="54" xfId="11" applyNumberFormat="1" applyFont="1" applyFill="1" applyBorder="1" applyAlignment="1">
      <alignment horizontal="left" vertical="center"/>
    </xf>
    <xf numFmtId="49" fontId="85" fillId="7" borderId="54" xfId="11" applyNumberFormat="1" applyFont="1" applyFill="1" applyBorder="1" applyAlignment="1">
      <alignment horizontal="center" vertical="center"/>
    </xf>
    <xf numFmtId="3" fontId="54" fillId="7" borderId="111" xfId="11" applyNumberFormat="1" applyFont="1" applyFill="1" applyBorder="1" applyAlignment="1">
      <alignment horizontal="right" vertical="center"/>
    </xf>
    <xf numFmtId="3" fontId="54" fillId="7" borderId="136" xfId="11" applyNumberFormat="1" applyFont="1" applyFill="1" applyBorder="1" applyAlignment="1">
      <alignment horizontal="right" vertical="center"/>
    </xf>
    <xf numFmtId="49" fontId="85" fillId="0" borderId="136" xfId="11" applyNumberFormat="1" applyFont="1" applyBorder="1" applyAlignment="1">
      <alignment horizontal="left" vertical="center"/>
    </xf>
    <xf numFmtId="49" fontId="85" fillId="0" borderId="136" xfId="11" applyNumberFormat="1" applyFont="1" applyBorder="1" applyAlignment="1">
      <alignment horizontal="center" vertical="center"/>
    </xf>
    <xf numFmtId="3" fontId="54" fillId="0" borderId="136" xfId="11" applyNumberFormat="1" applyFont="1" applyBorder="1" applyAlignment="1">
      <alignment horizontal="right" vertical="center"/>
    </xf>
    <xf numFmtId="0" fontId="85" fillId="0" borderId="136" xfId="11" applyFont="1" applyBorder="1" applyAlignment="1">
      <alignment horizontal="left" vertical="center"/>
    </xf>
    <xf numFmtId="49" fontId="85" fillId="7" borderId="136" xfId="11" applyNumberFormat="1" applyFont="1" applyFill="1" applyBorder="1" applyAlignment="1">
      <alignment horizontal="left" vertical="center"/>
    </xf>
    <xf numFmtId="49" fontId="85" fillId="7" borderId="136" xfId="11" applyNumberFormat="1" applyFont="1" applyFill="1" applyBorder="1" applyAlignment="1">
      <alignment horizontal="center" vertical="center"/>
    </xf>
    <xf numFmtId="10" fontId="54" fillId="7" borderId="136" xfId="1" applyNumberFormat="1" applyFont="1" applyFill="1" applyBorder="1" applyAlignment="1">
      <alignment horizontal="right" vertical="center"/>
    </xf>
    <xf numFmtId="10" fontId="54" fillId="0" borderId="136" xfId="1" applyNumberFormat="1" applyFont="1" applyBorder="1" applyAlignment="1">
      <alignment horizontal="right" vertical="center"/>
    </xf>
    <xf numFmtId="3" fontId="88" fillId="0" borderId="136" xfId="11" applyNumberFormat="1" applyFont="1" applyBorder="1" applyAlignment="1">
      <alignment horizontal="right" vertical="center"/>
    </xf>
    <xf numFmtId="3" fontId="88" fillId="0" borderId="58" xfId="11" applyNumberFormat="1" applyFont="1" applyBorder="1" applyAlignment="1">
      <alignment horizontal="right" vertical="center"/>
    </xf>
    <xf numFmtId="49" fontId="107" fillId="0" borderId="58" xfId="11" applyNumberFormat="1" applyFont="1" applyBorder="1" applyAlignment="1">
      <alignment horizontal="center" vertical="center"/>
    </xf>
    <xf numFmtId="49" fontId="85" fillId="0" borderId="141" xfId="11" applyNumberFormat="1" applyFont="1" applyBorder="1" applyAlignment="1">
      <alignment vertical="center"/>
    </xf>
    <xf numFmtId="0" fontId="71" fillId="0" borderId="30" xfId="11" applyFont="1" applyBorder="1" applyAlignment="1">
      <alignment vertical="top" wrapText="1"/>
    </xf>
    <xf numFmtId="0" fontId="71" fillId="0" borderId="47" xfId="11" applyFont="1" applyBorder="1" applyAlignment="1">
      <alignment vertical="top" wrapText="1"/>
    </xf>
    <xf numFmtId="0" fontId="107" fillId="0" borderId="136" xfId="11" applyFont="1" applyBorder="1" applyAlignment="1">
      <alignment horizontal="center"/>
    </xf>
    <xf numFmtId="49" fontId="107" fillId="10" borderId="144" xfId="20" applyNumberFormat="1" applyFont="1" applyFill="1" applyBorder="1" applyAlignment="1" applyProtection="1">
      <alignment horizontal="center" vertical="center" wrapText="1"/>
      <protection locked="0"/>
    </xf>
    <xf numFmtId="49" fontId="107" fillId="10" borderId="145" xfId="20" applyNumberFormat="1" applyFont="1" applyFill="1" applyBorder="1" applyAlignment="1" applyProtection="1">
      <alignment horizontal="center" vertical="center" wrapText="1"/>
      <protection locked="0"/>
    </xf>
    <xf numFmtId="0" fontId="88" fillId="0" borderId="140" xfId="11" applyFont="1" applyBorder="1" applyAlignment="1">
      <alignment vertical="center" wrapText="1"/>
    </xf>
    <xf numFmtId="49" fontId="107" fillId="10" borderId="146" xfId="20" applyNumberFormat="1" applyFont="1" applyFill="1" applyBorder="1" applyAlignment="1" applyProtection="1">
      <alignment horizontal="center" vertical="center" wrapText="1"/>
      <protection locked="0"/>
    </xf>
    <xf numFmtId="3" fontId="79" fillId="0" borderId="111" xfId="11" applyNumberFormat="1" applyFont="1" applyBorder="1" applyAlignment="1">
      <alignment horizontal="right" vertical="center"/>
    </xf>
    <xf numFmtId="3" fontId="79" fillId="0" borderId="54" xfId="11" applyNumberFormat="1" applyFont="1" applyBorder="1" applyAlignment="1">
      <alignment horizontal="right" vertical="center"/>
    </xf>
    <xf numFmtId="10" fontId="79" fillId="0" borderId="54" xfId="1" applyNumberFormat="1" applyFont="1" applyBorder="1" applyAlignment="1">
      <alignment horizontal="right" vertical="center"/>
    </xf>
    <xf numFmtId="0" fontId="88" fillId="0" borderId="113" xfId="11" applyFont="1" applyBorder="1" applyAlignment="1">
      <alignment vertical="center" wrapText="1"/>
    </xf>
    <xf numFmtId="0" fontId="88" fillId="0" borderId="111" xfId="11" applyFont="1" applyBorder="1" applyAlignment="1">
      <alignment vertical="center" wrapText="1"/>
    </xf>
    <xf numFmtId="49" fontId="48" fillId="0" borderId="147" xfId="11" applyNumberFormat="1" applyFont="1" applyBorder="1" applyAlignment="1">
      <alignment vertical="center"/>
    </xf>
    <xf numFmtId="0" fontId="71" fillId="0" borderId="28" xfId="11" applyFont="1" applyBorder="1" applyAlignment="1">
      <alignment vertical="top" wrapText="1"/>
    </xf>
    <xf numFmtId="0" fontId="71" fillId="0" borderId="148" xfId="11" applyFont="1" applyBorder="1" applyAlignment="1">
      <alignment vertical="top" wrapText="1"/>
    </xf>
    <xf numFmtId="10" fontId="54" fillId="0" borderId="136" xfId="1" applyNumberFormat="1" applyFont="1" applyFill="1" applyBorder="1" applyAlignment="1">
      <alignment horizontal="right" vertical="center"/>
    </xf>
    <xf numFmtId="49" fontId="107" fillId="10" borderId="149" xfId="20" applyNumberFormat="1" applyFont="1" applyFill="1" applyBorder="1" applyAlignment="1" applyProtection="1">
      <alignment horizontal="center" vertical="center" wrapText="1"/>
      <protection locked="0"/>
    </xf>
    <xf numFmtId="49" fontId="107" fillId="10" borderId="136" xfId="20" applyNumberFormat="1" applyFont="1" applyFill="1" applyBorder="1" applyAlignment="1" applyProtection="1">
      <alignment horizontal="center" vertical="center" wrapText="1"/>
      <protection locked="0"/>
    </xf>
    <xf numFmtId="49" fontId="107" fillId="10" borderId="150" xfId="20" applyNumberFormat="1" applyFont="1" applyFill="1" applyBorder="1" applyAlignment="1" applyProtection="1">
      <alignment horizontal="center" vertical="center" wrapText="1"/>
      <protection locked="0"/>
    </xf>
    <xf numFmtId="3" fontId="79" fillId="0" borderId="113" xfId="11" applyNumberFormat="1" applyFont="1" applyBorder="1" applyAlignment="1">
      <alignment horizontal="right" vertical="center"/>
    </xf>
    <xf numFmtId="3" fontId="79" fillId="0" borderId="141" xfId="11" applyNumberFormat="1" applyFont="1" applyBorder="1" applyAlignment="1">
      <alignment horizontal="right" vertical="center"/>
    </xf>
    <xf numFmtId="10" fontId="79" fillId="0" borderId="141" xfId="1" applyNumberFormat="1" applyFont="1" applyBorder="1" applyAlignment="1">
      <alignment horizontal="right" vertical="center"/>
    </xf>
    <xf numFmtId="10" fontId="59" fillId="0" borderId="141" xfId="1" applyNumberFormat="1" applyFont="1" applyFill="1" applyBorder="1" applyAlignment="1">
      <alignment horizontal="right" vertical="center"/>
    </xf>
    <xf numFmtId="49" fontId="107" fillId="10" borderId="151" xfId="20" applyNumberFormat="1" applyFont="1" applyFill="1" applyBorder="1" applyAlignment="1" applyProtection="1">
      <alignment horizontal="center" vertical="center" wrapText="1"/>
      <protection locked="0"/>
    </xf>
    <xf numFmtId="49" fontId="107" fillId="10" borderId="152" xfId="20" applyNumberFormat="1" applyFont="1" applyFill="1" applyBorder="1" applyAlignment="1" applyProtection="1">
      <alignment horizontal="center" vertical="center" wrapText="1"/>
      <protection locked="0"/>
    </xf>
    <xf numFmtId="49" fontId="107" fillId="10" borderId="153" xfId="20" applyNumberFormat="1" applyFont="1" applyFill="1" applyBorder="1" applyAlignment="1" applyProtection="1">
      <alignment horizontal="center" vertical="center" wrapText="1"/>
      <protection locked="0"/>
    </xf>
    <xf numFmtId="49" fontId="107" fillId="10" borderId="57" xfId="20" applyNumberFormat="1" applyFont="1" applyFill="1" applyBorder="1" applyAlignment="1" applyProtection="1">
      <alignment horizontal="center" vertical="center" wrapText="1"/>
      <protection locked="0"/>
    </xf>
    <xf numFmtId="10" fontId="55" fillId="0" borderId="57" xfId="1" applyNumberFormat="1" applyFont="1" applyFill="1" applyBorder="1" applyAlignment="1">
      <alignment horizontal="right" vertical="center"/>
    </xf>
    <xf numFmtId="0" fontId="84" fillId="0" borderId="59" xfId="11" applyFont="1" applyBorder="1"/>
    <xf numFmtId="49" fontId="88" fillId="0" borderId="58" xfId="11" applyNumberFormat="1" applyFont="1" applyBorder="1" applyAlignment="1">
      <alignment horizontal="center" vertical="center"/>
    </xf>
    <xf numFmtId="49" fontId="107" fillId="0" borderId="54" xfId="11" applyNumberFormat="1" applyFont="1" applyBorder="1" applyAlignment="1">
      <alignment horizontal="center" vertical="center"/>
    </xf>
    <xf numFmtId="49" fontId="88" fillId="0" borderId="154" xfId="11" applyNumberFormat="1" applyFont="1" applyBorder="1" applyAlignment="1">
      <alignment horizontal="center" vertical="center"/>
    </xf>
    <xf numFmtId="49" fontId="85" fillId="0" borderId="154" xfId="11" applyNumberFormat="1" applyFont="1" applyBorder="1" applyAlignment="1">
      <alignment vertical="center"/>
    </xf>
    <xf numFmtId="0" fontId="88" fillId="0" borderId="31" xfId="11" applyFont="1" applyBorder="1" applyAlignment="1">
      <alignment vertical="center" wrapText="1"/>
    </xf>
    <xf numFmtId="0" fontId="88" fillId="0" borderId="141" xfId="11" applyFont="1" applyBorder="1" applyAlignment="1">
      <alignment vertical="center" wrapText="1"/>
    </xf>
    <xf numFmtId="0" fontId="88" fillId="0" borderId="154" xfId="11" applyFont="1" applyBorder="1" applyAlignment="1">
      <alignment vertical="center" wrapText="1"/>
    </xf>
    <xf numFmtId="0" fontId="85" fillId="0" borderId="154" xfId="11" applyFont="1" applyBorder="1" applyAlignment="1">
      <alignment horizontal="left" vertical="center"/>
    </xf>
    <xf numFmtId="49" fontId="85" fillId="0" borderId="154" xfId="11" applyNumberFormat="1" applyFont="1" applyBorder="1" applyAlignment="1">
      <alignment horizontal="center" vertical="center"/>
    </xf>
    <xf numFmtId="3" fontId="54" fillId="0" borderId="154" xfId="11" applyNumberFormat="1" applyFont="1" applyBorder="1" applyAlignment="1">
      <alignment horizontal="right" vertical="center"/>
    </xf>
    <xf numFmtId="10" fontId="59" fillId="0" borderId="154" xfId="1" applyNumberFormat="1" applyFont="1" applyBorder="1" applyAlignment="1">
      <alignment horizontal="right" vertical="center"/>
    </xf>
    <xf numFmtId="10" fontId="59" fillId="0" borderId="154" xfId="1" applyNumberFormat="1" applyFont="1" applyFill="1" applyBorder="1" applyAlignment="1">
      <alignment horizontal="right" vertical="center"/>
    </xf>
    <xf numFmtId="3" fontId="59" fillId="0" borderId="31" xfId="11" applyNumberFormat="1" applyFont="1" applyBorder="1" applyAlignment="1">
      <alignment horizontal="right" vertical="center"/>
    </xf>
    <xf numFmtId="10" fontId="59" fillId="0" borderId="31" xfId="1" applyNumberFormat="1" applyFont="1" applyFill="1" applyBorder="1" applyAlignment="1">
      <alignment horizontal="right" vertical="center"/>
    </xf>
    <xf numFmtId="3" fontId="79" fillId="0" borderId="59" xfId="11" applyNumberFormat="1" applyFont="1" applyBorder="1" applyAlignment="1">
      <alignment horizontal="right" vertical="center"/>
    </xf>
    <xf numFmtId="0" fontId="107" fillId="0" borderId="0" xfId="11" applyFont="1" applyAlignment="1">
      <alignment horizontal="center" vertical="center"/>
    </xf>
    <xf numFmtId="0" fontId="107" fillId="0" borderId="0" xfId="11" applyFont="1" applyAlignment="1">
      <alignment vertical="center"/>
    </xf>
    <xf numFmtId="0" fontId="107" fillId="0" borderId="57" xfId="11" applyFont="1" applyBorder="1" applyAlignment="1">
      <alignment horizontal="center"/>
    </xf>
    <xf numFmtId="0" fontId="107" fillId="0" borderId="0" xfId="11" applyFont="1" applyAlignment="1">
      <alignment horizontal="center"/>
    </xf>
    <xf numFmtId="3" fontId="79" fillId="0" borderId="58" xfId="20" applyNumberFormat="1" applyFont="1" applyFill="1" applyBorder="1" applyAlignment="1" applyProtection="1">
      <alignment horizontal="right" vertical="center"/>
      <protection locked="0"/>
    </xf>
    <xf numFmtId="3" fontId="79" fillId="0" borderId="57" xfId="20" applyNumberFormat="1" applyFont="1" applyFill="1" applyBorder="1" applyAlignment="1" applyProtection="1">
      <alignment horizontal="right" vertical="center"/>
      <protection locked="0"/>
    </xf>
    <xf numFmtId="49" fontId="85" fillId="6" borderId="147" xfId="11" applyNumberFormat="1" applyFont="1" applyFill="1" applyBorder="1" applyAlignment="1">
      <alignment horizontal="center" vertical="center"/>
    </xf>
    <xf numFmtId="49" fontId="85" fillId="6" borderId="154" xfId="11" applyNumberFormat="1" applyFont="1" applyFill="1" applyBorder="1" applyAlignment="1">
      <alignment horizontal="center" vertical="center"/>
    </xf>
    <xf numFmtId="49" fontId="85" fillId="6" borderId="154" xfId="11" applyNumberFormat="1" applyFont="1" applyFill="1" applyBorder="1" applyAlignment="1">
      <alignment horizontal="left" vertical="center"/>
    </xf>
    <xf numFmtId="3" fontId="54" fillId="6" borderId="154" xfId="11" applyNumberFormat="1" applyFont="1" applyFill="1" applyBorder="1" applyAlignment="1">
      <alignment horizontal="right" vertical="center"/>
    </xf>
    <xf numFmtId="10" fontId="54" fillId="6" borderId="154" xfId="1" applyNumberFormat="1" applyFont="1" applyFill="1" applyBorder="1" applyAlignment="1">
      <alignment horizontal="right" vertical="center"/>
    </xf>
    <xf numFmtId="0" fontId="71" fillId="6" borderId="148" xfId="11" applyFont="1" applyFill="1" applyBorder="1" applyAlignment="1">
      <alignment vertical="top"/>
    </xf>
    <xf numFmtId="49" fontId="85" fillId="0" borderId="154" xfId="11" applyNumberFormat="1" applyFont="1" applyBorder="1" applyAlignment="1">
      <alignment horizontal="left" vertical="center"/>
    </xf>
    <xf numFmtId="10" fontId="54" fillId="7" borderId="154" xfId="1" applyNumberFormat="1" applyFont="1" applyFill="1" applyBorder="1" applyAlignment="1">
      <alignment horizontal="right" vertical="center"/>
    </xf>
    <xf numFmtId="49" fontId="85" fillId="6" borderId="33" xfId="11" applyNumberFormat="1" applyFont="1" applyFill="1" applyBorder="1" applyAlignment="1">
      <alignment horizontal="center" vertical="center"/>
    </xf>
    <xf numFmtId="49" fontId="85" fillId="6" borderId="57" xfId="11" applyNumberFormat="1" applyFont="1" applyFill="1" applyBorder="1" applyAlignment="1">
      <alignment horizontal="center" vertical="center"/>
    </xf>
    <xf numFmtId="49" fontId="85" fillId="6" borderId="57" xfId="11" applyNumberFormat="1" applyFont="1" applyFill="1" applyBorder="1" applyAlignment="1">
      <alignment horizontal="left" vertical="center"/>
    </xf>
    <xf numFmtId="0" fontId="71" fillId="6" borderId="28" xfId="11" applyFont="1" applyFill="1" applyBorder="1" applyAlignment="1">
      <alignment vertical="top" wrapText="1"/>
    </xf>
    <xf numFmtId="49" fontId="85" fillId="0" borderId="53" xfId="11" applyNumberFormat="1" applyFont="1" applyBorder="1" applyAlignment="1">
      <alignment horizontal="center" vertical="center"/>
    </xf>
    <xf numFmtId="0" fontId="84" fillId="0" borderId="0" xfId="11" applyFont="1" applyAlignment="1">
      <alignment horizontal="center"/>
    </xf>
    <xf numFmtId="49" fontId="107" fillId="0" borderId="154" xfId="11" applyNumberFormat="1" applyFont="1" applyBorder="1" applyAlignment="1">
      <alignment horizontal="center" vertical="center"/>
    </xf>
    <xf numFmtId="49" fontId="107" fillId="10" borderId="155" xfId="20" applyNumberFormat="1" applyFont="1" applyFill="1" applyBorder="1" applyAlignment="1" applyProtection="1">
      <alignment horizontal="center" vertical="center" wrapText="1"/>
      <protection locked="0"/>
    </xf>
    <xf numFmtId="49" fontId="107" fillId="10" borderId="58" xfId="20" applyNumberFormat="1" applyFont="1" applyFill="1" applyBorder="1" applyAlignment="1" applyProtection="1">
      <alignment horizontal="center" vertical="center" wrapText="1"/>
      <protection locked="0"/>
    </xf>
    <xf numFmtId="49" fontId="85" fillId="7" borderId="154" xfId="11" applyNumberFormat="1" applyFont="1" applyFill="1" applyBorder="1" applyAlignment="1">
      <alignment horizontal="left" vertical="center" wrapText="1"/>
    </xf>
    <xf numFmtId="49" fontId="85" fillId="7" borderId="154" xfId="11" applyNumberFormat="1" applyFont="1" applyFill="1" applyBorder="1" applyAlignment="1">
      <alignment horizontal="center" vertical="center"/>
    </xf>
    <xf numFmtId="3" fontId="54" fillId="7" borderId="154" xfId="11" applyNumberFormat="1" applyFont="1" applyFill="1" applyBorder="1" applyAlignment="1">
      <alignment horizontal="right" vertical="center"/>
    </xf>
    <xf numFmtId="49" fontId="85" fillId="0" borderId="147" xfId="11" applyNumberFormat="1" applyFont="1" applyBorder="1" applyAlignment="1">
      <alignment vertical="center"/>
    </xf>
    <xf numFmtId="0" fontId="69" fillId="0" borderId="148" xfId="11" applyFont="1" applyBorder="1" applyAlignment="1">
      <alignment vertical="top" wrapText="1"/>
    </xf>
    <xf numFmtId="49" fontId="85" fillId="0" borderId="53" xfId="11" applyNumberFormat="1" applyFont="1" applyBorder="1" applyAlignment="1">
      <alignment vertical="center"/>
    </xf>
    <xf numFmtId="49" fontId="109" fillId="10" borderId="156" xfId="20" applyNumberFormat="1" applyFont="1" applyFill="1" applyBorder="1" applyAlignment="1" applyProtection="1">
      <alignment horizontal="center" vertical="center" wrapText="1"/>
      <protection locked="0"/>
    </xf>
    <xf numFmtId="49" fontId="109" fillId="10" borderId="157" xfId="20" applyNumberFormat="1" applyFont="1" applyFill="1" applyBorder="1" applyAlignment="1" applyProtection="1">
      <alignment horizontal="center" vertical="center" wrapText="1"/>
      <protection locked="0"/>
    </xf>
    <xf numFmtId="49" fontId="109" fillId="10" borderId="158" xfId="20" applyNumberFormat="1" applyFont="1" applyFill="1" applyBorder="1" applyAlignment="1" applyProtection="1">
      <alignment horizontal="center" vertical="center" wrapText="1"/>
      <protection locked="0"/>
    </xf>
    <xf numFmtId="49" fontId="107" fillId="10" borderId="159" xfId="20" applyNumberFormat="1" applyFont="1" applyFill="1" applyBorder="1" applyAlignment="1" applyProtection="1">
      <alignment horizontal="center" vertical="center" wrapText="1"/>
      <protection locked="0"/>
    </xf>
    <xf numFmtId="0" fontId="88" fillId="0" borderId="54" xfId="11" applyFont="1" applyBorder="1" applyAlignment="1">
      <alignment vertical="center" wrapText="1"/>
    </xf>
    <xf numFmtId="0" fontId="88" fillId="0" borderId="112" xfId="11" applyFont="1" applyBorder="1" applyAlignment="1">
      <alignment horizontal="left" vertical="center"/>
    </xf>
    <xf numFmtId="0" fontId="110" fillId="0" borderId="57" xfId="11" applyFont="1" applyBorder="1" applyAlignment="1">
      <alignment horizontal="center"/>
    </xf>
    <xf numFmtId="10" fontId="54" fillId="7" borderId="54" xfId="1" applyNumberFormat="1" applyFont="1" applyFill="1" applyBorder="1" applyAlignment="1">
      <alignment horizontal="right" vertical="center"/>
    </xf>
    <xf numFmtId="10" fontId="59" fillId="7" borderId="57" xfId="1" applyNumberFormat="1" applyFont="1" applyFill="1" applyBorder="1" applyAlignment="1">
      <alignment horizontal="right" vertical="center"/>
    </xf>
    <xf numFmtId="49" fontId="85" fillId="0" borderId="54" xfId="11" applyNumberFormat="1" applyFont="1" applyBorder="1" applyAlignment="1">
      <alignment horizontal="left" vertical="center"/>
    </xf>
    <xf numFmtId="0" fontId="85" fillId="6" borderId="54" xfId="11" applyFont="1" applyFill="1" applyBorder="1" applyAlignment="1">
      <alignment horizontal="left" vertical="center"/>
    </xf>
    <xf numFmtId="0" fontId="71" fillId="6" borderId="148" xfId="11" applyFont="1" applyFill="1" applyBorder="1" applyAlignment="1">
      <alignment vertical="top" wrapText="1"/>
    </xf>
    <xf numFmtId="3" fontId="54" fillId="7" borderId="54" xfId="11" applyNumberFormat="1" applyFont="1" applyFill="1" applyBorder="1" applyAlignment="1">
      <alignment horizontal="right" vertical="center"/>
    </xf>
    <xf numFmtId="49" fontId="85" fillId="0" borderId="36" xfId="11" applyNumberFormat="1" applyFont="1" applyBorder="1" applyAlignment="1">
      <alignment vertical="center"/>
    </xf>
    <xf numFmtId="0" fontId="88" fillId="0" borderId="160" xfId="11" applyFont="1" applyBorder="1" applyAlignment="1">
      <alignment horizontal="left" vertical="center"/>
    </xf>
    <xf numFmtId="49" fontId="88" fillId="0" borderId="160" xfId="11" applyNumberFormat="1" applyFont="1" applyBorder="1" applyAlignment="1">
      <alignment horizontal="center" vertical="center"/>
    </xf>
    <xf numFmtId="3" fontId="59" fillId="0" borderId="161" xfId="11" applyNumberFormat="1" applyFont="1" applyBorder="1" applyAlignment="1">
      <alignment horizontal="right" vertical="center"/>
    </xf>
    <xf numFmtId="49" fontId="85" fillId="6" borderId="60" xfId="53" applyNumberFormat="1" applyFont="1" applyFill="1" applyBorder="1" applyAlignment="1">
      <alignment horizontal="center" vertical="center"/>
    </xf>
    <xf numFmtId="3" fontId="54" fillId="6" borderId="60" xfId="53" applyNumberFormat="1" applyFont="1" applyFill="1" applyBorder="1" applyAlignment="1">
      <alignment horizontal="right" vertical="center"/>
    </xf>
    <xf numFmtId="10" fontId="54" fillId="6" borderId="60" xfId="1" applyNumberFormat="1" applyFont="1" applyFill="1" applyBorder="1" applyAlignment="1">
      <alignment horizontal="right" vertical="center"/>
    </xf>
    <xf numFmtId="3" fontId="54" fillId="6" borderId="40" xfId="53" applyNumberFormat="1" applyFont="1" applyFill="1" applyBorder="1" applyAlignment="1">
      <alignment horizontal="right" vertical="center"/>
    </xf>
    <xf numFmtId="49" fontId="100" fillId="0" borderId="0" xfId="53" applyNumberFormat="1" applyFont="1" applyAlignment="1">
      <alignment horizontal="center" vertical="center"/>
    </xf>
    <xf numFmtId="0" fontId="100" fillId="0" borderId="0" xfId="53" applyFont="1" applyAlignment="1">
      <alignment horizontal="center" vertical="center"/>
    </xf>
    <xf numFmtId="3" fontId="100" fillId="0" borderId="0" xfId="53" applyNumberFormat="1" applyFont="1" applyAlignment="1">
      <alignment horizontal="right" vertical="center"/>
    </xf>
    <xf numFmtId="164" fontId="100" fillId="0" borderId="0" xfId="53" applyNumberFormat="1" applyFont="1" applyAlignment="1">
      <alignment horizontal="right" vertical="center"/>
    </xf>
    <xf numFmtId="10" fontId="100" fillId="0" borderId="0" xfId="53" applyNumberFormat="1" applyFont="1" applyAlignment="1">
      <alignment horizontal="right" vertical="center"/>
    </xf>
    <xf numFmtId="10" fontId="54" fillId="0" borderId="0" xfId="53" applyNumberFormat="1" applyFont="1" applyAlignment="1">
      <alignment horizontal="right" vertical="center"/>
    </xf>
    <xf numFmtId="0" fontId="43" fillId="0" borderId="0" xfId="11" applyFont="1" applyAlignment="1">
      <alignment vertical="top"/>
    </xf>
    <xf numFmtId="0" fontId="59" fillId="0" borderId="0" xfId="53" applyFont="1" applyAlignment="1">
      <alignment horizontal="left" vertical="center"/>
    </xf>
    <xf numFmtId="0" fontId="50" fillId="0" borderId="0" xfId="11" applyAlignment="1">
      <alignment vertical="center"/>
    </xf>
    <xf numFmtId="0" fontId="57" fillId="0" borderId="0" xfId="11" applyFont="1" applyAlignment="1">
      <alignment vertical="center"/>
    </xf>
    <xf numFmtId="0" fontId="88" fillId="0" borderId="136" xfId="11" applyFont="1" applyBorder="1" applyAlignment="1">
      <alignment vertical="center"/>
    </xf>
    <xf numFmtId="0" fontId="88" fillId="0" borderId="136" xfId="11" applyFont="1" applyBorder="1" applyAlignment="1">
      <alignment vertical="center" wrapText="1"/>
    </xf>
    <xf numFmtId="0" fontId="85" fillId="0" borderId="136" xfId="11" applyFont="1" applyBorder="1" applyAlignment="1">
      <alignment vertical="center"/>
    </xf>
    <xf numFmtId="3" fontId="50" fillId="0" borderId="0" xfId="11" applyNumberFormat="1" applyAlignment="1">
      <alignment vertical="center"/>
    </xf>
    <xf numFmtId="3" fontId="43" fillId="0" borderId="0" xfId="11" applyNumberFormat="1" applyFont="1" applyAlignment="1">
      <alignment vertical="center"/>
    </xf>
    <xf numFmtId="0" fontId="3" fillId="0" borderId="0" xfId="91"/>
    <xf numFmtId="0" fontId="52" fillId="0" borderId="0" xfId="91" applyFont="1" applyAlignment="1">
      <alignment horizontal="center" vertical="center" wrapText="1"/>
    </xf>
    <xf numFmtId="0" fontId="53" fillId="0" borderId="0" xfId="91" applyFont="1" applyAlignment="1">
      <alignment horizontal="center" vertical="center"/>
    </xf>
    <xf numFmtId="0" fontId="89" fillId="0" borderId="0" xfId="91" applyFont="1" applyAlignment="1">
      <alignment horizontal="center" vertical="center"/>
    </xf>
    <xf numFmtId="0" fontId="55" fillId="0" borderId="23" xfId="91" applyFont="1" applyBorder="1" applyAlignment="1">
      <alignment horizontal="center" vertical="center"/>
    </xf>
    <xf numFmtId="0" fontId="55" fillId="0" borderId="39" xfId="91" applyFont="1" applyBorder="1" applyAlignment="1">
      <alignment horizontal="center" vertical="center"/>
    </xf>
    <xf numFmtId="0" fontId="55" fillId="0" borderId="23" xfId="91" applyFont="1" applyBorder="1" applyAlignment="1">
      <alignment horizontal="center" vertical="center" wrapText="1"/>
    </xf>
    <xf numFmtId="49" fontId="54" fillId="6" borderId="32" xfId="11" applyNumberFormat="1" applyFont="1" applyFill="1" applyBorder="1" applyAlignment="1">
      <alignment horizontal="center" vertical="center"/>
    </xf>
    <xf numFmtId="0" fontId="54" fillId="6" borderId="163" xfId="11" applyFont="1" applyFill="1" applyBorder="1" applyAlignment="1">
      <alignment vertical="center"/>
    </xf>
    <xf numFmtId="0" fontId="54" fillId="6" borderId="163" xfId="11" applyFont="1" applyFill="1" applyBorder="1" applyAlignment="1">
      <alignment horizontal="center" vertical="center"/>
    </xf>
    <xf numFmtId="3" fontId="54" fillId="6" borderId="163" xfId="11" applyNumberFormat="1" applyFont="1" applyFill="1" applyBorder="1" applyAlignment="1">
      <alignment horizontal="right" vertical="center"/>
    </xf>
    <xf numFmtId="164" fontId="54" fillId="6" borderId="163" xfId="92" applyNumberFormat="1" applyFont="1" applyFill="1" applyBorder="1" applyAlignment="1">
      <alignment horizontal="center" vertical="center"/>
    </xf>
    <xf numFmtId="10" fontId="54" fillId="6" borderId="125" xfId="11" applyNumberFormat="1" applyFont="1" applyFill="1" applyBorder="1" applyAlignment="1">
      <alignment horizontal="right" vertical="center"/>
    </xf>
    <xf numFmtId="49" fontId="54" fillId="7" borderId="136" xfId="11" applyNumberFormat="1" applyFont="1" applyFill="1" applyBorder="1" applyAlignment="1">
      <alignment horizontal="left" vertical="center"/>
    </xf>
    <xf numFmtId="49" fontId="54" fillId="7" borderId="136" xfId="11" applyNumberFormat="1" applyFont="1" applyFill="1" applyBorder="1" applyAlignment="1">
      <alignment horizontal="center" vertical="center"/>
    </xf>
    <xf numFmtId="164" fontId="54" fillId="7" borderId="163" xfId="92" applyNumberFormat="1" applyFont="1" applyFill="1" applyBorder="1" applyAlignment="1">
      <alignment horizontal="center" vertical="center"/>
    </xf>
    <xf numFmtId="10" fontId="54" fillId="7" borderId="166" xfId="11" applyNumberFormat="1" applyFont="1" applyFill="1" applyBorder="1" applyAlignment="1">
      <alignment horizontal="right" vertical="center"/>
    </xf>
    <xf numFmtId="49" fontId="54" fillId="0" borderId="136" xfId="11" applyNumberFormat="1" applyFont="1" applyBorder="1" applyAlignment="1">
      <alignment horizontal="left" vertical="center"/>
    </xf>
    <xf numFmtId="49" fontId="54" fillId="0" borderId="136" xfId="11" applyNumberFormat="1" applyFont="1" applyBorder="1" applyAlignment="1">
      <alignment horizontal="center" vertical="center"/>
    </xf>
    <xf numFmtId="164" fontId="54" fillId="0" borderId="163" xfId="92" applyNumberFormat="1" applyFont="1" applyFill="1" applyBorder="1" applyAlignment="1">
      <alignment horizontal="center" vertical="center"/>
    </xf>
    <xf numFmtId="10" fontId="54" fillId="0" borderId="166" xfId="11" applyNumberFormat="1" applyFont="1" applyBorder="1" applyAlignment="1">
      <alignment horizontal="right" vertical="center"/>
    </xf>
    <xf numFmtId="0" fontId="59" fillId="0" borderId="136" xfId="11" applyFont="1" applyBorder="1" applyAlignment="1">
      <alignment vertical="center"/>
    </xf>
    <xf numFmtId="0" fontId="59" fillId="0" borderId="136" xfId="11" applyFont="1" applyBorder="1" applyAlignment="1">
      <alignment horizontal="center" vertical="center"/>
    </xf>
    <xf numFmtId="164" fontId="59" fillId="0" borderId="163" xfId="92" applyNumberFormat="1" applyFont="1" applyFill="1" applyBorder="1" applyAlignment="1">
      <alignment horizontal="center" vertical="center"/>
    </xf>
    <xf numFmtId="10" fontId="59" fillId="0" borderId="166" xfId="11" applyNumberFormat="1" applyFont="1" applyBorder="1" applyAlignment="1">
      <alignment horizontal="right" vertical="center"/>
    </xf>
    <xf numFmtId="0" fontId="59" fillId="0" borderId="136" xfId="11" applyFont="1" applyBorder="1" applyAlignment="1">
      <alignment vertical="center" wrapText="1"/>
    </xf>
    <xf numFmtId="0" fontId="59" fillId="0" borderId="136" xfId="11" applyFont="1" applyBorder="1" applyAlignment="1">
      <alignment horizontal="center" vertical="center" wrapText="1"/>
    </xf>
    <xf numFmtId="0" fontId="79" fillId="0" borderId="136" xfId="11" applyFont="1" applyBorder="1" applyAlignment="1">
      <alignment horizontal="center" vertical="center"/>
    </xf>
    <xf numFmtId="164" fontId="79" fillId="0" borderId="163" xfId="92" applyNumberFormat="1" applyFont="1" applyFill="1" applyBorder="1" applyAlignment="1">
      <alignment horizontal="center" vertical="center"/>
    </xf>
    <xf numFmtId="0" fontId="54" fillId="0" borderId="136" xfId="11" applyFont="1" applyBorder="1" applyAlignment="1">
      <alignment vertical="center"/>
    </xf>
    <xf numFmtId="0" fontId="54" fillId="0" borderId="136" xfId="11" applyFont="1" applyBorder="1" applyAlignment="1">
      <alignment horizontal="center" vertical="center"/>
    </xf>
    <xf numFmtId="3" fontId="54" fillId="0" borderId="136" xfId="11" applyNumberFormat="1" applyFont="1" applyBorder="1" applyAlignment="1">
      <alignment horizontal="center" vertical="center"/>
    </xf>
    <xf numFmtId="0" fontId="59" fillId="0" borderId="160" xfId="11" applyFont="1" applyBorder="1" applyAlignment="1">
      <alignment vertical="center"/>
    </xf>
    <xf numFmtId="0" fontId="59" fillId="0" borderId="160" xfId="11" applyFont="1" applyBorder="1" applyAlignment="1">
      <alignment horizontal="center" vertical="center"/>
    </xf>
    <xf numFmtId="3" fontId="59" fillId="0" borderId="160" xfId="11" applyNumberFormat="1" applyFont="1" applyBorder="1" applyAlignment="1">
      <alignment horizontal="right" vertical="center"/>
    </xf>
    <xf numFmtId="164" fontId="54" fillId="0" borderId="160" xfId="92" applyNumberFormat="1" applyFont="1" applyFill="1" applyBorder="1" applyAlignment="1">
      <alignment horizontal="center" vertical="center"/>
    </xf>
    <xf numFmtId="3" fontId="54" fillId="0" borderId="160" xfId="11" applyNumberFormat="1" applyFont="1" applyBorder="1" applyAlignment="1">
      <alignment horizontal="right" vertical="center"/>
    </xf>
    <xf numFmtId="49" fontId="54" fillId="6" borderId="163" xfId="11" applyNumberFormat="1" applyFont="1" applyFill="1" applyBorder="1" applyAlignment="1">
      <alignment horizontal="center" vertical="center"/>
    </xf>
    <xf numFmtId="49" fontId="54" fillId="6" borderId="163" xfId="11" applyNumberFormat="1" applyFont="1" applyFill="1" applyBorder="1" applyAlignment="1">
      <alignment vertical="center"/>
    </xf>
    <xf numFmtId="10" fontId="54" fillId="6" borderId="168" xfId="11" applyNumberFormat="1" applyFont="1" applyFill="1" applyBorder="1" applyAlignment="1">
      <alignment horizontal="right" vertical="center"/>
    </xf>
    <xf numFmtId="164" fontId="54" fillId="7" borderId="136" xfId="92" applyNumberFormat="1" applyFont="1" applyFill="1" applyBorder="1" applyAlignment="1">
      <alignment horizontal="center" vertical="center"/>
    </xf>
    <xf numFmtId="3" fontId="59" fillId="0" borderId="136" xfId="92" applyNumberFormat="1" applyFont="1" applyFill="1" applyBorder="1" applyAlignment="1">
      <alignment horizontal="right" vertical="center"/>
    </xf>
    <xf numFmtId="3" fontId="59" fillId="0" borderId="163" xfId="11" applyNumberFormat="1" applyFont="1" applyBorder="1" applyAlignment="1">
      <alignment horizontal="right" vertical="center"/>
    </xf>
    <xf numFmtId="0" fontId="79" fillId="0" borderId="136" xfId="11" applyFont="1" applyBorder="1" applyAlignment="1">
      <alignment horizontal="center" vertical="center" wrapText="1"/>
    </xf>
    <xf numFmtId="3" fontId="79" fillId="0" borderId="163" xfId="11" applyNumberFormat="1" applyFont="1" applyBorder="1" applyAlignment="1">
      <alignment horizontal="right" vertical="center"/>
    </xf>
    <xf numFmtId="3" fontId="47" fillId="0" borderId="136" xfId="11" applyNumberFormat="1" applyFont="1" applyBorder="1" applyAlignment="1">
      <alignment horizontal="right" vertical="center"/>
    </xf>
    <xf numFmtId="3" fontId="54" fillId="0" borderId="37" xfId="11" applyNumberFormat="1" applyFont="1" applyBorder="1" applyAlignment="1">
      <alignment horizontal="right" vertical="center"/>
    </xf>
    <xf numFmtId="164" fontId="54" fillId="0" borderId="37" xfId="92" applyNumberFormat="1" applyFont="1" applyFill="1" applyBorder="1" applyAlignment="1">
      <alignment horizontal="center" vertical="center"/>
    </xf>
    <xf numFmtId="10" fontId="59" fillId="0" borderId="169" xfId="11" applyNumberFormat="1" applyFont="1" applyBorder="1" applyAlignment="1">
      <alignment horizontal="right" vertical="center"/>
    </xf>
    <xf numFmtId="49" fontId="54" fillId="7" borderId="163" xfId="11" applyNumberFormat="1" applyFont="1" applyFill="1" applyBorder="1" applyAlignment="1">
      <alignment vertical="center"/>
    </xf>
    <xf numFmtId="49" fontId="54" fillId="7" borderId="163" xfId="11" applyNumberFormat="1" applyFont="1" applyFill="1" applyBorder="1" applyAlignment="1">
      <alignment horizontal="center" vertical="center"/>
    </xf>
    <xf numFmtId="3" fontId="54" fillId="7" borderId="163" xfId="11" applyNumberFormat="1" applyFont="1" applyFill="1" applyBorder="1" applyAlignment="1">
      <alignment horizontal="right" vertical="center"/>
    </xf>
    <xf numFmtId="10" fontId="54" fillId="7" borderId="168" xfId="11" applyNumberFormat="1" applyFont="1" applyFill="1" applyBorder="1" applyAlignment="1">
      <alignment horizontal="right" vertical="center"/>
    </xf>
    <xf numFmtId="49" fontId="59" fillId="0" borderId="136" xfId="11" applyNumberFormat="1" applyFont="1" applyBorder="1" applyAlignment="1">
      <alignment horizontal="center" vertical="center"/>
    </xf>
    <xf numFmtId="10" fontId="79" fillId="0" borderId="166" xfId="11" applyNumberFormat="1" applyFont="1" applyBorder="1" applyAlignment="1">
      <alignment horizontal="right" vertical="center"/>
    </xf>
    <xf numFmtId="3" fontId="79" fillId="0" borderId="112" xfId="11" applyNumberFormat="1" applyFont="1" applyBorder="1" applyAlignment="1">
      <alignment horizontal="right" vertical="center"/>
    </xf>
    <xf numFmtId="3" fontId="54" fillId="0" borderId="170" xfId="11" applyNumberFormat="1" applyFont="1" applyBorder="1" applyAlignment="1">
      <alignment horizontal="right" vertical="center"/>
    </xf>
    <xf numFmtId="3" fontId="54" fillId="0" borderId="166" xfId="11" applyNumberFormat="1" applyFont="1" applyBorder="1" applyAlignment="1">
      <alignment horizontal="right" vertical="center"/>
    </xf>
    <xf numFmtId="0" fontId="3" fillId="11" borderId="0" xfId="91" applyFill="1"/>
    <xf numFmtId="10" fontId="59" fillId="0" borderId="126" xfId="11" applyNumberFormat="1" applyFont="1" applyBorder="1" applyAlignment="1">
      <alignment horizontal="right" vertical="center"/>
    </xf>
    <xf numFmtId="49" fontId="54" fillId="7" borderId="128" xfId="11" applyNumberFormat="1" applyFont="1" applyFill="1" applyBorder="1" applyAlignment="1">
      <alignment horizontal="left" vertical="center"/>
    </xf>
    <xf numFmtId="49" fontId="54" fillId="7" borderId="128" xfId="11" applyNumberFormat="1" applyFont="1" applyFill="1" applyBorder="1" applyAlignment="1">
      <alignment horizontal="center" vertical="center"/>
    </xf>
    <xf numFmtId="3" fontId="54" fillId="7" borderId="128" xfId="11" applyNumberFormat="1" applyFont="1" applyFill="1" applyBorder="1" applyAlignment="1">
      <alignment horizontal="right" vertical="center"/>
    </xf>
    <xf numFmtId="164" fontId="54" fillId="7" borderId="128" xfId="92" applyNumberFormat="1" applyFont="1" applyFill="1" applyBorder="1" applyAlignment="1">
      <alignment horizontal="center" vertical="center"/>
    </xf>
    <xf numFmtId="164" fontId="59" fillId="0" borderId="136" xfId="92" applyNumberFormat="1" applyFont="1" applyFill="1" applyBorder="1" applyAlignment="1">
      <alignment horizontal="center" vertical="center"/>
    </xf>
    <xf numFmtId="0" fontId="54" fillId="6" borderId="37" xfId="91" applyFont="1" applyFill="1" applyBorder="1" applyAlignment="1">
      <alignment horizontal="center" vertical="center"/>
    </xf>
    <xf numFmtId="3" fontId="54" fillId="6" borderId="37" xfId="91" applyNumberFormat="1" applyFont="1" applyFill="1" applyBorder="1" applyAlignment="1">
      <alignment horizontal="right" vertical="center"/>
    </xf>
    <xf numFmtId="3" fontId="54" fillId="6" borderId="44" xfId="91" applyNumberFormat="1" applyFont="1" applyFill="1" applyBorder="1" applyAlignment="1">
      <alignment horizontal="right" vertical="center"/>
    </xf>
    <xf numFmtId="10" fontId="54" fillId="6" borderId="39" xfId="91" applyNumberFormat="1" applyFont="1" applyFill="1" applyBorder="1" applyAlignment="1">
      <alignment horizontal="right" vertical="center"/>
    </xf>
    <xf numFmtId="3" fontId="3" fillId="0" borderId="0" xfId="91" applyNumberFormat="1"/>
    <xf numFmtId="3" fontId="50" fillId="0" borderId="136" xfId="11" applyNumberFormat="1" applyBorder="1"/>
    <xf numFmtId="0" fontId="113" fillId="0" borderId="0" xfId="91" applyFont="1"/>
    <xf numFmtId="0" fontId="103" fillId="0" borderId="0" xfId="61" applyFont="1" applyAlignment="1">
      <alignment horizontal="center" vertical="center" wrapText="1"/>
    </xf>
    <xf numFmtId="0" fontId="104" fillId="0" borderId="0" xfId="61" applyFont="1" applyAlignment="1">
      <alignment horizontal="center" vertical="center"/>
    </xf>
    <xf numFmtId="0" fontId="89" fillId="0" borderId="0" xfId="61" applyFont="1" applyAlignment="1">
      <alignment horizontal="center" vertical="center"/>
    </xf>
    <xf numFmtId="0" fontId="53" fillId="0" borderId="0" xfId="61" applyFont="1" applyAlignment="1">
      <alignment horizontal="center" vertical="center"/>
    </xf>
    <xf numFmtId="164" fontId="53" fillId="0" borderId="0" xfId="61" applyNumberFormat="1" applyFont="1" applyAlignment="1">
      <alignment horizontal="center" vertical="center"/>
    </xf>
    <xf numFmtId="0" fontId="54" fillId="0" borderId="0" xfId="61" applyFont="1" applyAlignment="1">
      <alignment horizontal="center" vertical="center"/>
    </xf>
    <xf numFmtId="49" fontId="59" fillId="0" borderId="109" xfId="11" applyNumberFormat="1" applyFont="1" applyBorder="1" applyAlignment="1">
      <alignment horizontal="center" vertical="center"/>
    </xf>
    <xf numFmtId="1" fontId="59" fillId="0" borderId="109" xfId="11" applyNumberFormat="1" applyFont="1" applyBorder="1" applyAlignment="1">
      <alignment horizontal="center" vertical="center"/>
    </xf>
    <xf numFmtId="49" fontId="59" fillId="0" borderId="20" xfId="11" applyNumberFormat="1" applyFont="1" applyBorder="1" applyAlignment="1">
      <alignment horizontal="center" vertical="center"/>
    </xf>
    <xf numFmtId="0" fontId="106" fillId="8" borderId="0" xfId="11" applyFont="1" applyFill="1"/>
    <xf numFmtId="49" fontId="85" fillId="6" borderId="136" xfId="11" applyNumberFormat="1" applyFont="1" applyFill="1" applyBorder="1" applyAlignment="1">
      <alignment horizontal="center" vertical="center"/>
    </xf>
    <xf numFmtId="3" fontId="54" fillId="6" borderId="136" xfId="11" applyNumberFormat="1" applyFont="1" applyFill="1" applyBorder="1" applyAlignment="1">
      <alignment horizontal="right" vertical="center"/>
    </xf>
    <xf numFmtId="0" fontId="50" fillId="6" borderId="171" xfId="11" applyFill="1" applyBorder="1" applyAlignment="1">
      <alignment horizontal="center" vertical="center" wrapText="1"/>
    </xf>
    <xf numFmtId="0" fontId="2" fillId="0" borderId="0" xfId="93"/>
    <xf numFmtId="164" fontId="54" fillId="0" borderId="136" xfId="11" applyNumberFormat="1" applyFont="1" applyBorder="1" applyAlignment="1">
      <alignment horizontal="right" vertical="center"/>
    </xf>
    <xf numFmtId="164" fontId="59" fillId="0" borderId="136" xfId="11" applyNumberFormat="1" applyFont="1" applyBorder="1" applyAlignment="1">
      <alignment horizontal="right" vertical="center"/>
    </xf>
    <xf numFmtId="164" fontId="79" fillId="0" borderId="136" xfId="11" applyNumberFormat="1" applyFont="1" applyBorder="1" applyAlignment="1">
      <alignment horizontal="right" vertical="center"/>
    </xf>
    <xf numFmtId="0" fontId="69" fillId="6" borderId="120" xfId="11" applyFont="1" applyFill="1" applyBorder="1" applyAlignment="1">
      <alignment horizontal="center" vertical="center" wrapText="1"/>
    </xf>
    <xf numFmtId="0" fontId="69" fillId="6" borderId="171" xfId="11" applyFont="1" applyFill="1" applyBorder="1" applyAlignment="1">
      <alignment horizontal="center" vertical="center" wrapText="1"/>
    </xf>
    <xf numFmtId="3" fontId="43" fillId="0" borderId="0" xfId="11" applyNumberFormat="1" applyFont="1"/>
    <xf numFmtId="0" fontId="74" fillId="6" borderId="172" xfId="11" applyFont="1" applyFill="1" applyBorder="1" applyAlignment="1">
      <alignment horizontal="left" vertical="center"/>
    </xf>
    <xf numFmtId="0" fontId="74" fillId="6" borderId="130" xfId="11" applyFont="1" applyFill="1" applyBorder="1" applyAlignment="1">
      <alignment horizontal="left" vertical="center"/>
    </xf>
    <xf numFmtId="0" fontId="94" fillId="6" borderId="130" xfId="11" applyFont="1" applyFill="1" applyBorder="1" applyAlignment="1">
      <alignment horizontal="left" vertical="center"/>
    </xf>
    <xf numFmtId="3" fontId="90" fillId="6" borderId="56" xfId="11" applyNumberFormat="1" applyFont="1" applyFill="1" applyBorder="1" applyAlignment="1">
      <alignment horizontal="center" vertical="center"/>
    </xf>
    <xf numFmtId="3" fontId="90" fillId="6" borderId="56" xfId="11" applyNumberFormat="1" applyFont="1" applyFill="1" applyBorder="1" applyAlignment="1">
      <alignment vertical="center"/>
    </xf>
    <xf numFmtId="3" fontId="117" fillId="6" borderId="56" xfId="11" applyNumberFormat="1" applyFont="1" applyFill="1" applyBorder="1" applyAlignment="1">
      <alignment vertical="center"/>
    </xf>
    <xf numFmtId="10" fontId="91" fillId="6" borderId="56" xfId="11" applyNumberFormat="1" applyFont="1" applyFill="1" applyBorder="1" applyAlignment="1">
      <alignment vertical="center"/>
    </xf>
    <xf numFmtId="164" fontId="54" fillId="6" borderId="56" xfId="11" applyNumberFormat="1" applyFont="1" applyFill="1" applyBorder="1" applyAlignment="1">
      <alignment horizontal="right" vertical="center"/>
    </xf>
    <xf numFmtId="0" fontId="51" fillId="6" borderId="44" xfId="11" applyFont="1" applyFill="1" applyBorder="1" applyAlignment="1">
      <alignment horizontal="left" vertical="center"/>
    </xf>
    <xf numFmtId="0" fontId="51" fillId="6" borderId="41" xfId="11" applyFont="1" applyFill="1" applyBorder="1" applyAlignment="1">
      <alignment horizontal="left" vertical="center"/>
    </xf>
    <xf numFmtId="0" fontId="85" fillId="0" borderId="0" xfId="11" applyFont="1" applyAlignment="1">
      <alignment horizontal="center" vertical="center"/>
    </xf>
    <xf numFmtId="3" fontId="90" fillId="0" borderId="0" xfId="11" applyNumberFormat="1" applyFont="1" applyAlignment="1">
      <alignment horizontal="center" vertical="center"/>
    </xf>
    <xf numFmtId="3" fontId="90" fillId="0" borderId="0" xfId="11" applyNumberFormat="1" applyFont="1" applyAlignment="1">
      <alignment vertical="center"/>
    </xf>
    <xf numFmtId="3" fontId="117" fillId="0" borderId="0" xfId="11" applyNumberFormat="1" applyFont="1" applyAlignment="1">
      <alignment vertical="center"/>
    </xf>
    <xf numFmtId="3" fontId="91" fillId="0" borderId="0" xfId="11" applyNumberFormat="1" applyFont="1" applyAlignment="1">
      <alignment vertical="center"/>
    </xf>
    <xf numFmtId="10" fontId="91" fillId="0" borderId="0" xfId="11" applyNumberFormat="1" applyFont="1" applyAlignment="1">
      <alignment vertical="center"/>
    </xf>
    <xf numFmtId="164" fontId="54" fillId="0" borderId="0" xfId="11" applyNumberFormat="1" applyFont="1" applyAlignment="1">
      <alignment horizontal="right" vertical="center"/>
    </xf>
    <xf numFmtId="0" fontId="51" fillId="0" borderId="0" xfId="11" applyFont="1" applyAlignment="1">
      <alignment horizontal="left" vertical="center"/>
    </xf>
    <xf numFmtId="164" fontId="50" fillId="0" borderId="0" xfId="11" applyNumberFormat="1"/>
    <xf numFmtId="0" fontId="51" fillId="0" borderId="0" xfId="11" applyFont="1"/>
    <xf numFmtId="164" fontId="53" fillId="0" borderId="0" xfId="53" applyNumberFormat="1" applyFont="1" applyAlignment="1">
      <alignment horizontal="center" vertical="center"/>
    </xf>
    <xf numFmtId="164" fontId="55" fillId="0" borderId="23" xfId="53" applyNumberFormat="1" applyFont="1" applyBorder="1" applyAlignment="1">
      <alignment horizontal="center" vertical="center"/>
    </xf>
    <xf numFmtId="0" fontId="86" fillId="0" borderId="23" xfId="53" applyFont="1" applyBorder="1" applyAlignment="1">
      <alignment horizontal="center" vertical="center"/>
    </xf>
    <xf numFmtId="0" fontId="55" fillId="0" borderId="23" xfId="53" applyFont="1" applyBorder="1" applyAlignment="1">
      <alignment horizontal="center" vertical="center" wrapText="1"/>
    </xf>
    <xf numFmtId="0" fontId="76" fillId="0" borderId="0" xfId="11" applyFont="1"/>
    <xf numFmtId="49" fontId="54" fillId="6" borderId="154" xfId="11" applyNumberFormat="1" applyFont="1" applyFill="1" applyBorder="1" applyAlignment="1">
      <alignment horizontal="center" vertical="center"/>
    </xf>
    <xf numFmtId="49" fontId="54" fillId="6" borderId="154" xfId="11" applyNumberFormat="1" applyFont="1" applyFill="1" applyBorder="1" applyAlignment="1">
      <alignment vertical="center"/>
    </xf>
    <xf numFmtId="0" fontId="54" fillId="6" borderId="154" xfId="11" applyFont="1" applyFill="1" applyBorder="1" applyAlignment="1">
      <alignment vertical="center"/>
    </xf>
    <xf numFmtId="0" fontId="85" fillId="6" borderId="154" xfId="11" applyFont="1" applyFill="1" applyBorder="1" applyAlignment="1">
      <alignment horizontal="center" vertical="center"/>
    </xf>
    <xf numFmtId="3" fontId="54" fillId="6" borderId="154" xfId="53" applyNumberFormat="1" applyFont="1" applyFill="1" applyBorder="1" applyAlignment="1">
      <alignment horizontal="right" vertical="center"/>
    </xf>
    <xf numFmtId="164" fontId="54" fillId="6" borderId="154" xfId="53" applyNumberFormat="1" applyFont="1" applyFill="1" applyBorder="1" applyAlignment="1">
      <alignment horizontal="right" vertical="center"/>
    </xf>
    <xf numFmtId="3" fontId="85" fillId="6" borderId="154" xfId="53" applyNumberFormat="1" applyFont="1" applyFill="1" applyBorder="1" applyAlignment="1">
      <alignment horizontal="right" vertical="center"/>
    </xf>
    <xf numFmtId="3" fontId="87" fillId="0" borderId="0" xfId="11" applyNumberFormat="1" applyFont="1" applyAlignment="1">
      <alignment vertical="center"/>
    </xf>
    <xf numFmtId="0" fontId="121" fillId="9" borderId="0" xfId="11" applyFont="1" applyFill="1" applyAlignment="1">
      <alignment vertical="center"/>
    </xf>
    <xf numFmtId="0" fontId="87" fillId="9" borderId="0" xfId="11" applyFont="1" applyFill="1" applyAlignment="1">
      <alignment vertical="center"/>
    </xf>
    <xf numFmtId="0" fontId="69" fillId="0" borderId="0" xfId="11" applyFont="1" applyAlignment="1">
      <alignment vertical="center"/>
    </xf>
    <xf numFmtId="0" fontId="71" fillId="0" borderId="0" xfId="11" applyFont="1" applyAlignment="1">
      <alignment vertical="center" wrapText="1"/>
    </xf>
    <xf numFmtId="0" fontId="88" fillId="0" borderId="31" xfId="11" applyFont="1" applyBorder="1" applyAlignment="1">
      <alignment horizontal="center" vertical="center"/>
    </xf>
    <xf numFmtId="3" fontId="57" fillId="0" borderId="31" xfId="11" applyNumberFormat="1" applyFont="1" applyBorder="1" applyAlignment="1">
      <alignment vertical="center"/>
    </xf>
    <xf numFmtId="164" fontId="59" fillId="0" borderId="31" xfId="54" applyNumberFormat="1" applyFont="1" applyFill="1" applyBorder="1" applyAlignment="1">
      <alignment horizontal="center" vertical="center"/>
    </xf>
    <xf numFmtId="3" fontId="110" fillId="0" borderId="31" xfId="11" applyNumberFormat="1" applyFont="1" applyBorder="1" applyAlignment="1">
      <alignment vertical="center"/>
    </xf>
    <xf numFmtId="164" fontId="110" fillId="0" borderId="31" xfId="11" applyNumberFormat="1" applyFont="1" applyBorder="1" applyAlignment="1">
      <alignment vertical="center"/>
    </xf>
    <xf numFmtId="0" fontId="88" fillId="6" borderId="60" xfId="11" applyFont="1" applyFill="1" applyBorder="1" applyAlignment="1">
      <alignment horizontal="center" vertical="center"/>
    </xf>
    <xf numFmtId="3" fontId="54" fillId="6" borderId="60" xfId="53" applyNumberFormat="1" applyFont="1" applyFill="1" applyBorder="1" applyAlignment="1">
      <alignment vertical="center"/>
    </xf>
    <xf numFmtId="164" fontId="54" fillId="6" borderId="60" xfId="53" applyNumberFormat="1" applyFont="1" applyFill="1" applyBorder="1" applyAlignment="1">
      <alignment vertical="center"/>
    </xf>
    <xf numFmtId="164" fontId="85" fillId="6" borderId="60" xfId="53" applyNumberFormat="1" applyFont="1" applyFill="1" applyBorder="1" applyAlignment="1">
      <alignment horizontal="right" vertical="center"/>
    </xf>
    <xf numFmtId="0" fontId="57" fillId="6" borderId="44" xfId="11" applyFont="1" applyFill="1" applyBorder="1" applyAlignment="1">
      <alignment vertical="center"/>
    </xf>
    <xf numFmtId="0" fontId="85" fillId="0" borderId="0" xfId="53" applyFont="1" applyAlignment="1">
      <alignment horizontal="center" vertical="center" wrapText="1"/>
    </xf>
    <xf numFmtId="3" fontId="101" fillId="0" borderId="0" xfId="11" applyNumberFormat="1" applyFont="1" applyAlignment="1">
      <alignment horizontal="center"/>
    </xf>
    <xf numFmtId="3" fontId="60" fillId="0" borderId="0" xfId="11" applyNumberFormat="1" applyFont="1"/>
    <xf numFmtId="164" fontId="60" fillId="0" borderId="0" xfId="11" applyNumberFormat="1" applyFont="1"/>
    <xf numFmtId="3" fontId="132" fillId="0" borderId="0" xfId="11" applyNumberFormat="1" applyFont="1"/>
    <xf numFmtId="164" fontId="58" fillId="0" borderId="0" xfId="11" applyNumberFormat="1" applyFont="1"/>
    <xf numFmtId="0" fontId="85" fillId="0" borderId="20" xfId="11" applyFont="1" applyBorder="1" applyAlignment="1">
      <alignment horizontal="center" vertical="center" wrapText="1"/>
    </xf>
    <xf numFmtId="0" fontId="60" fillId="6" borderId="43" xfId="11" applyFont="1" applyFill="1" applyBorder="1" applyAlignment="1">
      <alignment horizontal="center" vertical="center"/>
    </xf>
    <xf numFmtId="0" fontId="64" fillId="0" borderId="20" xfId="18" applyFont="1" applyBorder="1" applyAlignment="1">
      <alignment horizontal="center" vertical="center"/>
    </xf>
    <xf numFmtId="0" fontId="52" fillId="0" borderId="0" xfId="53" applyFont="1" applyAlignment="1">
      <alignment horizontal="center" vertical="center" wrapText="1"/>
    </xf>
    <xf numFmtId="10" fontId="53" fillId="0" borderId="0" xfId="53" applyNumberFormat="1" applyFont="1" applyAlignment="1">
      <alignment horizontal="center" vertical="center"/>
    </xf>
    <xf numFmtId="0" fontId="100" fillId="0" borderId="0" xfId="53" applyFont="1" applyAlignment="1">
      <alignment horizontal="right" vertical="center"/>
    </xf>
    <xf numFmtId="0" fontId="136" fillId="0" borderId="0" xfId="53" applyFont="1"/>
    <xf numFmtId="49" fontId="54" fillId="6" borderId="147" xfId="11" applyNumberFormat="1" applyFont="1" applyFill="1" applyBorder="1" applyAlignment="1">
      <alignment horizontal="center" vertical="center"/>
    </xf>
    <xf numFmtId="49" fontId="54" fillId="6" borderId="136" xfId="11" applyNumberFormat="1" applyFont="1" applyFill="1" applyBorder="1" applyAlignment="1">
      <alignment vertical="center"/>
    </xf>
    <xf numFmtId="164" fontId="85" fillId="6" borderId="136" xfId="54" applyNumberFormat="1" applyFont="1" applyFill="1" applyBorder="1" applyAlignment="1">
      <alignment horizontal="center" vertical="center"/>
    </xf>
    <xf numFmtId="10" fontId="54" fillId="6" borderId="113" xfId="11" applyNumberFormat="1" applyFont="1" applyFill="1" applyBorder="1" applyAlignment="1">
      <alignment horizontal="right" vertical="center"/>
    </xf>
    <xf numFmtId="164" fontId="85" fillId="7" borderId="136" xfId="54" applyNumberFormat="1" applyFont="1" applyFill="1" applyBorder="1" applyAlignment="1">
      <alignment horizontal="center" vertical="center"/>
    </xf>
    <xf numFmtId="10" fontId="54" fillId="7" borderId="113" xfId="11" applyNumberFormat="1" applyFont="1" applyFill="1" applyBorder="1" applyAlignment="1">
      <alignment horizontal="right" vertical="center"/>
    </xf>
    <xf numFmtId="164" fontId="85" fillId="9" borderId="136" xfId="54" applyNumberFormat="1" applyFont="1" applyFill="1" applyBorder="1" applyAlignment="1">
      <alignment horizontal="center" vertical="center"/>
    </xf>
    <xf numFmtId="10" fontId="54" fillId="0" borderId="113" xfId="11" applyNumberFormat="1" applyFont="1" applyBorder="1" applyAlignment="1">
      <alignment horizontal="right" vertical="center"/>
    </xf>
    <xf numFmtId="10" fontId="59" fillId="0" borderId="113" xfId="11" applyNumberFormat="1" applyFont="1" applyBorder="1" applyAlignment="1">
      <alignment horizontal="right" vertical="center"/>
    </xf>
    <xf numFmtId="164" fontId="54" fillId="0" borderId="154" xfId="11" applyNumberFormat="1" applyFont="1" applyBorder="1" applyAlignment="1">
      <alignment horizontal="center" vertical="center"/>
    </xf>
    <xf numFmtId="164" fontId="59" fillId="0" borderId="154" xfId="11" applyNumberFormat="1" applyFont="1" applyBorder="1" applyAlignment="1">
      <alignment horizontal="center" vertical="center"/>
    </xf>
    <xf numFmtId="0" fontId="59" fillId="0" borderId="31" xfId="11" applyFont="1" applyBorder="1" applyAlignment="1">
      <alignment horizontal="center" vertical="center"/>
    </xf>
    <xf numFmtId="164" fontId="54" fillId="0" borderId="32" xfId="11" applyNumberFormat="1" applyFont="1" applyBorder="1" applyAlignment="1">
      <alignment horizontal="center" vertical="center"/>
    </xf>
    <xf numFmtId="49" fontId="54" fillId="6" borderId="128" xfId="11" applyNumberFormat="1" applyFont="1" applyFill="1" applyBorder="1" applyAlignment="1">
      <alignment vertical="center"/>
    </xf>
    <xf numFmtId="49" fontId="100" fillId="6" borderId="128" xfId="11" applyNumberFormat="1" applyFont="1" applyFill="1" applyBorder="1" applyAlignment="1">
      <alignment horizontal="center" vertical="center"/>
    </xf>
    <xf numFmtId="3" fontId="137" fillId="6" borderId="128" xfId="11" applyNumberFormat="1" applyFont="1" applyFill="1" applyBorder="1" applyAlignment="1">
      <alignment vertical="center"/>
    </xf>
    <xf numFmtId="164" fontId="137" fillId="6" borderId="128" xfId="11" applyNumberFormat="1" applyFont="1" applyFill="1" applyBorder="1" applyAlignment="1">
      <alignment horizontal="center" vertical="center"/>
    </xf>
    <xf numFmtId="10" fontId="85" fillId="6" borderId="136" xfId="11" applyNumberFormat="1" applyFont="1" applyFill="1" applyBorder="1" applyAlignment="1">
      <alignment vertical="center"/>
    </xf>
    <xf numFmtId="0" fontId="50" fillId="6" borderId="129" xfId="11" applyFill="1" applyBorder="1"/>
    <xf numFmtId="1" fontId="100" fillId="7" borderId="136" xfId="11" applyNumberFormat="1" applyFont="1" applyFill="1" applyBorder="1" applyAlignment="1">
      <alignment horizontal="center" vertical="center"/>
    </xf>
    <xf numFmtId="3" fontId="137" fillId="7" borderId="136" xfId="11" applyNumberFormat="1" applyFont="1" applyFill="1" applyBorder="1" applyAlignment="1">
      <alignment horizontal="right" vertical="center"/>
    </xf>
    <xf numFmtId="164" fontId="137" fillId="7" borderId="136" xfId="54" applyNumberFormat="1" applyFont="1" applyFill="1" applyBorder="1" applyAlignment="1">
      <alignment horizontal="center" vertical="center"/>
    </xf>
    <xf numFmtId="10" fontId="85" fillId="7" borderId="136" xfId="11" applyNumberFormat="1" applyFont="1" applyFill="1" applyBorder="1" applyAlignment="1">
      <alignment horizontal="right" vertical="center"/>
    </xf>
    <xf numFmtId="1" fontId="100" fillId="0" borderId="136" xfId="11" applyNumberFormat="1" applyFont="1" applyBorder="1" applyAlignment="1">
      <alignment horizontal="center" vertical="center"/>
    </xf>
    <xf numFmtId="3" fontId="137" fillId="0" borderId="136" xfId="11" applyNumberFormat="1" applyFont="1" applyBorder="1" applyAlignment="1">
      <alignment horizontal="right" vertical="center"/>
    </xf>
    <xf numFmtId="164" fontId="137" fillId="0" borderId="136" xfId="54" applyNumberFormat="1" applyFont="1" applyFill="1" applyBorder="1" applyAlignment="1">
      <alignment horizontal="center" vertical="center"/>
    </xf>
    <xf numFmtId="10" fontId="85" fillId="0" borderId="136" xfId="11" applyNumberFormat="1" applyFont="1" applyBorder="1" applyAlignment="1">
      <alignment horizontal="right" vertical="center"/>
    </xf>
    <xf numFmtId="1" fontId="111" fillId="0" borderId="136" xfId="11" applyNumberFormat="1" applyFont="1" applyBorder="1" applyAlignment="1">
      <alignment horizontal="center" vertical="center"/>
    </xf>
    <xf numFmtId="3" fontId="141" fillId="0" borderId="136" xfId="11" applyNumberFormat="1" applyFont="1" applyBorder="1" applyAlignment="1">
      <alignment vertical="center"/>
    </xf>
    <xf numFmtId="164" fontId="141" fillId="0" borderId="136" xfId="54" applyNumberFormat="1" applyFont="1" applyFill="1" applyBorder="1" applyAlignment="1">
      <alignment horizontal="center" vertical="center"/>
    </xf>
    <xf numFmtId="10" fontId="88" fillId="0" borderId="136" xfId="11" applyNumberFormat="1" applyFont="1" applyBorder="1" applyAlignment="1">
      <alignment horizontal="right" vertical="center"/>
    </xf>
    <xf numFmtId="3" fontId="141" fillId="0" borderId="136" xfId="11" applyNumberFormat="1" applyFont="1" applyBorder="1" applyAlignment="1">
      <alignment horizontal="right" vertical="center"/>
    </xf>
    <xf numFmtId="1" fontId="111" fillId="0" borderId="136" xfId="11" applyNumberFormat="1" applyFont="1" applyBorder="1" applyAlignment="1">
      <alignment horizontal="center" vertical="center" wrapText="1"/>
    </xf>
    <xf numFmtId="3" fontId="141" fillId="0" borderId="136" xfId="11" applyNumberFormat="1" applyFont="1" applyBorder="1" applyAlignment="1">
      <alignment vertical="center" wrapText="1"/>
    </xf>
    <xf numFmtId="1" fontId="142" fillId="0" borderId="136" xfId="11" applyNumberFormat="1" applyFont="1" applyBorder="1" applyAlignment="1">
      <alignment horizontal="center" vertical="center" wrapText="1"/>
    </xf>
    <xf numFmtId="3" fontId="143" fillId="0" borderId="136" xfId="11" applyNumberFormat="1" applyFont="1" applyBorder="1" applyAlignment="1">
      <alignment vertical="center" wrapText="1"/>
    </xf>
    <xf numFmtId="3" fontId="143" fillId="0" borderId="136" xfId="53" applyNumberFormat="1" applyFont="1" applyBorder="1" applyAlignment="1">
      <alignment vertical="center"/>
    </xf>
    <xf numFmtId="3" fontId="143" fillId="0" borderId="136" xfId="11" applyNumberFormat="1" applyFont="1" applyBorder="1" applyAlignment="1">
      <alignment horizontal="right" vertical="center"/>
    </xf>
    <xf numFmtId="164" fontId="143" fillId="0" borderId="136" xfId="54" applyNumberFormat="1" applyFont="1" applyFill="1" applyBorder="1" applyAlignment="1">
      <alignment horizontal="center" vertical="center"/>
    </xf>
    <xf numFmtId="10" fontId="107" fillId="0" borderId="136" xfId="11" applyNumberFormat="1" applyFont="1" applyBorder="1" applyAlignment="1">
      <alignment horizontal="right" vertical="center"/>
    </xf>
    <xf numFmtId="3" fontId="137" fillId="0" borderId="136" xfId="11" applyNumberFormat="1" applyFont="1" applyBorder="1" applyAlignment="1">
      <alignment vertical="center"/>
    </xf>
    <xf numFmtId="10" fontId="85" fillId="0" borderId="136" xfId="11" applyNumberFormat="1" applyFont="1" applyBorder="1" applyAlignment="1">
      <alignment vertical="center"/>
    </xf>
    <xf numFmtId="10" fontId="85" fillId="9" borderId="136" xfId="11" applyNumberFormat="1" applyFont="1" applyFill="1" applyBorder="1" applyAlignment="1">
      <alignment horizontal="right" vertical="center"/>
    </xf>
    <xf numFmtId="10" fontId="88" fillId="9" borderId="136" xfId="11" applyNumberFormat="1" applyFont="1" applyFill="1" applyBorder="1" applyAlignment="1">
      <alignment horizontal="right" vertical="center"/>
    </xf>
    <xf numFmtId="1" fontId="142" fillId="0" borderId="136" xfId="11" applyNumberFormat="1" applyFont="1" applyBorder="1" applyAlignment="1">
      <alignment horizontal="center" vertical="center"/>
    </xf>
    <xf numFmtId="3" fontId="143" fillId="0" borderId="136" xfId="11" applyNumberFormat="1" applyFont="1" applyBorder="1" applyAlignment="1">
      <alignment vertical="center"/>
    </xf>
    <xf numFmtId="10" fontId="107" fillId="9" borderId="136" xfId="11" applyNumberFormat="1" applyFont="1" applyFill="1" applyBorder="1" applyAlignment="1">
      <alignment horizontal="right" vertical="center"/>
    </xf>
    <xf numFmtId="0" fontId="147" fillId="0" borderId="0" xfId="53" applyFont="1"/>
    <xf numFmtId="49" fontId="100" fillId="7" borderId="136" xfId="11" applyNumberFormat="1" applyFont="1" applyFill="1" applyBorder="1" applyAlignment="1">
      <alignment horizontal="center" vertical="center"/>
    </xf>
    <xf numFmtId="3" fontId="100" fillId="7" borderId="136" xfId="11" applyNumberFormat="1" applyFont="1" applyFill="1" applyBorder="1" applyAlignment="1">
      <alignment horizontal="right" vertical="center"/>
    </xf>
    <xf numFmtId="164" fontId="111" fillId="7" borderId="136" xfId="54" applyNumberFormat="1" applyFont="1" applyFill="1" applyBorder="1" applyAlignment="1">
      <alignment horizontal="center" vertical="center"/>
    </xf>
    <xf numFmtId="10" fontId="54" fillId="7" borderId="136" xfId="11" applyNumberFormat="1" applyFont="1" applyFill="1" applyBorder="1" applyAlignment="1">
      <alignment horizontal="right" vertical="center"/>
    </xf>
    <xf numFmtId="49" fontId="100" fillId="0" borderId="136" xfId="11" applyNumberFormat="1" applyFont="1" applyBorder="1" applyAlignment="1">
      <alignment horizontal="center" vertical="center"/>
    </xf>
    <xf numFmtId="3" fontId="100" fillId="0" borderId="136" xfId="11" applyNumberFormat="1" applyFont="1" applyBorder="1" applyAlignment="1">
      <alignment horizontal="right" vertical="center"/>
    </xf>
    <xf numFmtId="164" fontId="111" fillId="0" borderId="136" xfId="54" applyNumberFormat="1" applyFont="1" applyFill="1" applyBorder="1" applyAlignment="1">
      <alignment horizontal="center" vertical="center"/>
    </xf>
    <xf numFmtId="10" fontId="54" fillId="0" borderId="136" xfId="11" applyNumberFormat="1" applyFont="1" applyBorder="1" applyAlignment="1">
      <alignment horizontal="right" vertical="center"/>
    </xf>
    <xf numFmtId="0" fontId="59" fillId="0" borderId="136" xfId="11" applyFont="1" applyBorder="1" applyAlignment="1">
      <alignment horizontal="left" vertical="center"/>
    </xf>
    <xf numFmtId="49" fontId="111" fillId="0" borderId="136" xfId="11" applyNumberFormat="1" applyFont="1" applyBorder="1" applyAlignment="1">
      <alignment horizontal="center" vertical="center"/>
    </xf>
    <xf numFmtId="3" fontId="111" fillId="0" borderId="136" xfId="11" applyNumberFormat="1" applyFont="1" applyBorder="1" applyAlignment="1">
      <alignment horizontal="right" vertical="center"/>
    </xf>
    <xf numFmtId="10" fontId="59" fillId="0" borderId="136" xfId="11" applyNumberFormat="1" applyFont="1" applyBorder="1" applyAlignment="1">
      <alignment horizontal="right" vertical="center"/>
    </xf>
    <xf numFmtId="49" fontId="142" fillId="0" borderId="136" xfId="11" applyNumberFormat="1" applyFont="1" applyBorder="1" applyAlignment="1">
      <alignment horizontal="center" vertical="center"/>
    </xf>
    <xf numFmtId="3" fontId="142" fillId="0" borderId="136" xfId="11" applyNumberFormat="1" applyFont="1" applyBorder="1" applyAlignment="1">
      <alignment horizontal="right" vertical="center"/>
    </xf>
    <xf numFmtId="10" fontId="79" fillId="0" borderId="136" xfId="11" applyNumberFormat="1" applyFont="1" applyBorder="1" applyAlignment="1">
      <alignment horizontal="right" vertical="center"/>
    </xf>
    <xf numFmtId="164" fontId="142" fillId="0" borderId="136" xfId="54" applyNumberFormat="1" applyFont="1" applyFill="1" applyBorder="1" applyAlignment="1">
      <alignment horizontal="center" vertical="center"/>
    </xf>
    <xf numFmtId="0" fontId="59" fillId="0" borderId="136" xfId="11" applyFont="1" applyBorder="1" applyAlignment="1">
      <alignment horizontal="left" vertical="center" wrapText="1"/>
    </xf>
    <xf numFmtId="164" fontId="111" fillId="0" borderId="136" xfId="11" applyNumberFormat="1" applyFont="1" applyBorder="1" applyAlignment="1">
      <alignment horizontal="center" vertical="center"/>
    </xf>
    <xf numFmtId="0" fontId="54" fillId="0" borderId="136" xfId="11" applyFont="1" applyBorder="1" applyAlignment="1">
      <alignment horizontal="left" vertical="center"/>
    </xf>
    <xf numFmtId="164" fontId="100" fillId="0" borderId="136" xfId="11" applyNumberFormat="1" applyFont="1" applyBorder="1" applyAlignment="1">
      <alignment horizontal="center" vertical="center"/>
    </xf>
    <xf numFmtId="10" fontId="88" fillId="0" borderId="136" xfId="11" applyNumberFormat="1" applyFont="1" applyBorder="1" applyAlignment="1">
      <alignment vertical="center"/>
    </xf>
    <xf numFmtId="3" fontId="111" fillId="0" borderId="136" xfId="11" applyNumberFormat="1" applyFont="1" applyBorder="1" applyAlignment="1">
      <alignment vertical="center"/>
    </xf>
    <xf numFmtId="10" fontId="107" fillId="0" borderId="136" xfId="11" applyNumberFormat="1" applyFont="1" applyBorder="1" applyAlignment="1">
      <alignment vertical="center"/>
    </xf>
    <xf numFmtId="164" fontId="100" fillId="0" borderId="136" xfId="54" applyNumberFormat="1" applyFont="1" applyFill="1" applyBorder="1" applyAlignment="1">
      <alignment horizontal="center" vertical="center"/>
    </xf>
    <xf numFmtId="3" fontId="111" fillId="0" borderId="136" xfId="11" applyNumberFormat="1" applyFont="1" applyBorder="1" applyAlignment="1">
      <alignment vertical="center" wrapText="1"/>
    </xf>
    <xf numFmtId="10" fontId="88" fillId="0" borderId="136" xfId="11" applyNumberFormat="1" applyFont="1" applyBorder="1" applyAlignment="1">
      <alignment vertical="center" wrapText="1"/>
    </xf>
    <xf numFmtId="3" fontId="142" fillId="0" borderId="136" xfId="11" applyNumberFormat="1" applyFont="1" applyBorder="1" applyAlignment="1">
      <alignment vertical="center" wrapText="1"/>
    </xf>
    <xf numFmtId="10" fontId="107" fillId="0" borderId="136" xfId="11" applyNumberFormat="1" applyFont="1" applyBorder="1" applyAlignment="1">
      <alignment vertical="center" wrapText="1"/>
    </xf>
    <xf numFmtId="3" fontId="142" fillId="0" borderId="136" xfId="53" applyNumberFormat="1" applyFont="1" applyBorder="1" applyAlignment="1">
      <alignment vertical="center"/>
    </xf>
    <xf numFmtId="3" fontId="100" fillId="0" borderId="136" xfId="11" applyNumberFormat="1" applyFont="1" applyBorder="1" applyAlignment="1">
      <alignment vertical="center"/>
    </xf>
    <xf numFmtId="49" fontId="54" fillId="6" borderId="165" xfId="11" applyNumberFormat="1" applyFont="1" applyFill="1" applyBorder="1" applyAlignment="1">
      <alignment horizontal="center" vertical="center"/>
    </xf>
    <xf numFmtId="49" fontId="54" fillId="6" borderId="136" xfId="11" applyNumberFormat="1" applyFont="1" applyFill="1" applyBorder="1" applyAlignment="1">
      <alignment horizontal="center" vertical="center"/>
    </xf>
    <xf numFmtId="49" fontId="54" fillId="6" borderId="136" xfId="11" applyNumberFormat="1" applyFont="1" applyFill="1" applyBorder="1" applyAlignment="1">
      <alignment vertical="center" wrapText="1"/>
    </xf>
    <xf numFmtId="49" fontId="100" fillId="6" borderId="136" xfId="11" applyNumberFormat="1" applyFont="1" applyFill="1" applyBorder="1" applyAlignment="1">
      <alignment horizontal="center" vertical="center"/>
    </xf>
    <xf numFmtId="3" fontId="137" fillId="6" borderId="136" xfId="11" applyNumberFormat="1" applyFont="1" applyFill="1" applyBorder="1" applyAlignment="1">
      <alignment vertical="center"/>
    </xf>
    <xf numFmtId="164" fontId="137" fillId="6" borderId="136" xfId="11" applyNumberFormat="1" applyFont="1" applyFill="1" applyBorder="1" applyAlignment="1">
      <alignment horizontal="center" vertical="center"/>
    </xf>
    <xf numFmtId="0" fontId="96" fillId="6" borderId="170" xfId="11" applyFont="1" applyFill="1" applyBorder="1"/>
    <xf numFmtId="1" fontId="111" fillId="0" borderId="160" xfId="11" applyNumberFormat="1" applyFont="1" applyBorder="1" applyAlignment="1">
      <alignment horizontal="center" vertical="center"/>
    </xf>
    <xf numFmtId="3" fontId="141" fillId="0" borderId="160" xfId="11" applyNumberFormat="1" applyFont="1" applyBorder="1" applyAlignment="1">
      <alignment vertical="center"/>
    </xf>
    <xf numFmtId="3" fontId="141" fillId="0" borderId="160" xfId="11" applyNumberFormat="1" applyFont="1" applyBorder="1" applyAlignment="1">
      <alignment horizontal="right" vertical="center"/>
    </xf>
    <xf numFmtId="164" fontId="137" fillId="0" borderId="160" xfId="54" applyNumberFormat="1" applyFont="1" applyFill="1" applyBorder="1" applyAlignment="1">
      <alignment horizontal="center" vertical="center"/>
    </xf>
    <xf numFmtId="3" fontId="137" fillId="0" borderId="160" xfId="11" applyNumberFormat="1" applyFont="1" applyBorder="1" applyAlignment="1">
      <alignment horizontal="right" vertical="center"/>
    </xf>
    <xf numFmtId="3" fontId="137" fillId="0" borderId="31" xfId="11" applyNumberFormat="1" applyFont="1" applyBorder="1" applyAlignment="1">
      <alignment horizontal="right" vertical="center"/>
    </xf>
    <xf numFmtId="10" fontId="85" fillId="0" borderId="31" xfId="11" applyNumberFormat="1" applyFont="1" applyBorder="1" applyAlignment="1">
      <alignment horizontal="right" vertical="center"/>
    </xf>
    <xf numFmtId="164" fontId="137" fillId="6" borderId="128" xfId="54" applyNumberFormat="1" applyFont="1" applyFill="1" applyBorder="1" applyAlignment="1">
      <alignment horizontal="center" vertical="center"/>
    </xf>
    <xf numFmtId="10" fontId="85" fillId="6" borderId="128" xfId="11" applyNumberFormat="1" applyFont="1" applyFill="1" applyBorder="1" applyAlignment="1">
      <alignment vertical="center"/>
    </xf>
    <xf numFmtId="0" fontId="96" fillId="6" borderId="129" xfId="11" applyFont="1" applyFill="1" applyBorder="1"/>
    <xf numFmtId="10" fontId="85" fillId="0" borderId="111" xfId="11" applyNumberFormat="1" applyFont="1" applyBorder="1" applyAlignment="1">
      <alignment horizontal="right" vertical="center"/>
    </xf>
    <xf numFmtId="0" fontId="100" fillId="6" borderId="60" xfId="53" applyFont="1" applyFill="1" applyBorder="1" applyAlignment="1">
      <alignment horizontal="center" vertical="center"/>
    </xf>
    <xf numFmtId="3" fontId="137" fillId="6" borderId="60" xfId="53" applyNumberFormat="1" applyFont="1" applyFill="1" applyBorder="1" applyAlignment="1">
      <alignment horizontal="right" vertical="center"/>
    </xf>
    <xf numFmtId="164" fontId="137" fillId="6" borderId="60" xfId="53" applyNumberFormat="1" applyFont="1" applyFill="1" applyBorder="1" applyAlignment="1">
      <alignment horizontal="right" vertical="center"/>
    </xf>
    <xf numFmtId="10" fontId="85" fillId="6" borderId="56" xfId="53" applyNumberFormat="1" applyFont="1" applyFill="1" applyBorder="1" applyAlignment="1">
      <alignment horizontal="right" vertical="center"/>
    </xf>
    <xf numFmtId="0" fontId="47" fillId="6" borderId="44" xfId="53" applyFont="1" applyFill="1" applyBorder="1" applyAlignment="1">
      <alignment horizontal="left" vertical="center" wrapText="1"/>
    </xf>
    <xf numFmtId="10" fontId="13" fillId="0" borderId="0" xfId="53" applyNumberFormat="1"/>
    <xf numFmtId="49" fontId="54" fillId="0" borderId="175" xfId="11" applyNumberFormat="1" applyFont="1" applyBorder="1" applyAlignment="1">
      <alignment horizontal="left" vertical="center"/>
    </xf>
    <xf numFmtId="1" fontId="54" fillId="0" borderId="175" xfId="11" applyNumberFormat="1" applyFont="1" applyBorder="1" applyAlignment="1">
      <alignment horizontal="center" vertical="center"/>
    </xf>
    <xf numFmtId="3" fontId="54" fillId="0" borderId="175" xfId="11" applyNumberFormat="1" applyFont="1" applyBorder="1" applyAlignment="1">
      <alignment horizontal="right" vertical="center"/>
    </xf>
    <xf numFmtId="0" fontId="59" fillId="0" borderId="175" xfId="11" applyFont="1" applyBorder="1" applyAlignment="1">
      <alignment vertical="center"/>
    </xf>
    <xf numFmtId="1" fontId="59" fillId="0" borderId="175" xfId="11" applyNumberFormat="1" applyFont="1" applyBorder="1" applyAlignment="1">
      <alignment horizontal="center" vertical="center"/>
    </xf>
    <xf numFmtId="3" fontId="59" fillId="0" borderId="175" xfId="11" applyNumberFormat="1" applyFont="1" applyBorder="1" applyAlignment="1">
      <alignment horizontal="right" vertical="center"/>
    </xf>
    <xf numFmtId="3" fontId="59" fillId="0" borderId="175" xfId="11" applyNumberFormat="1" applyFont="1" applyBorder="1" applyAlignment="1">
      <alignment vertical="center"/>
    </xf>
    <xf numFmtId="1" fontId="59" fillId="0" borderId="175" xfId="11" applyNumberFormat="1" applyFont="1" applyBorder="1" applyAlignment="1">
      <alignment horizontal="center" vertical="center" wrapText="1"/>
    </xf>
    <xf numFmtId="3" fontId="59" fillId="0" borderId="175" xfId="11" applyNumberFormat="1" applyFont="1" applyBorder="1" applyAlignment="1">
      <alignment vertical="center" wrapText="1"/>
    </xf>
    <xf numFmtId="0" fontId="59" fillId="0" borderId="175" xfId="11" applyFont="1" applyBorder="1" applyAlignment="1">
      <alignment vertical="center" wrapText="1"/>
    </xf>
    <xf numFmtId="0" fontId="54" fillId="0" borderId="175" xfId="11" applyFont="1" applyBorder="1" applyAlignment="1">
      <alignment vertical="center"/>
    </xf>
    <xf numFmtId="3" fontId="54" fillId="0" borderId="175" xfId="11" applyNumberFormat="1" applyFont="1" applyBorder="1" applyAlignment="1">
      <alignment vertical="center"/>
    </xf>
    <xf numFmtId="164" fontId="54" fillId="0" borderId="175" xfId="54" applyNumberFormat="1" applyFont="1" applyFill="1" applyBorder="1" applyAlignment="1">
      <alignment horizontal="right" vertical="center"/>
    </xf>
    <xf numFmtId="0" fontId="103" fillId="0" borderId="0" xfId="11" applyFont="1" applyAlignment="1">
      <alignment horizontal="center" vertical="center"/>
    </xf>
    <xf numFmtId="0" fontId="85" fillId="0" borderId="0" xfId="11" applyFont="1" applyAlignment="1">
      <alignment horizontal="right" vertical="center"/>
    </xf>
    <xf numFmtId="0" fontId="93" fillId="0" borderId="20" xfId="53" applyFont="1" applyBorder="1" applyAlignment="1">
      <alignment horizontal="center" vertical="center" wrapText="1"/>
    </xf>
    <xf numFmtId="0" fontId="93" fillId="0" borderId="22" xfId="53" applyFont="1" applyBorder="1" applyAlignment="1">
      <alignment horizontal="center" vertical="center"/>
    </xf>
    <xf numFmtId="49" fontId="100" fillId="6" borderId="127" xfId="11" applyNumberFormat="1" applyFont="1" applyFill="1" applyBorder="1" applyAlignment="1">
      <alignment horizontal="center" vertical="center"/>
    </xf>
    <xf numFmtId="49" fontId="100" fillId="6" borderId="176" xfId="11" applyNumberFormat="1" applyFont="1" applyFill="1" applyBorder="1" applyAlignment="1">
      <alignment horizontal="center" vertical="center"/>
    </xf>
    <xf numFmtId="49" fontId="54" fillId="6" borderId="176" xfId="11" applyNumberFormat="1" applyFont="1" applyFill="1" applyBorder="1" applyAlignment="1">
      <alignment horizontal="left" vertical="center"/>
    </xf>
    <xf numFmtId="49" fontId="100" fillId="6" borderId="176" xfId="11" applyNumberFormat="1" applyFont="1" applyFill="1" applyBorder="1" applyAlignment="1">
      <alignment horizontal="left" vertical="center"/>
    </xf>
    <xf numFmtId="3" fontId="100" fillId="6" borderId="128" xfId="11" applyNumberFormat="1" applyFont="1" applyFill="1" applyBorder="1" applyAlignment="1">
      <alignment horizontal="right" vertical="center"/>
    </xf>
    <xf numFmtId="10" fontId="100" fillId="6" borderId="128" xfId="1" applyNumberFormat="1" applyFont="1" applyFill="1" applyBorder="1" applyAlignment="1">
      <alignment horizontal="right" vertical="center"/>
    </xf>
    <xf numFmtId="0" fontId="151" fillId="6" borderId="124" xfId="11" applyFont="1" applyFill="1" applyBorder="1" applyAlignment="1">
      <alignment horizontal="left"/>
    </xf>
    <xf numFmtId="49" fontId="100" fillId="0" borderId="53" xfId="11" applyNumberFormat="1" applyFont="1" applyBorder="1" applyAlignment="1">
      <alignment vertical="center"/>
    </xf>
    <xf numFmtId="3" fontId="50" fillId="8" borderId="0" xfId="11" applyNumberFormat="1" applyFill="1"/>
    <xf numFmtId="49" fontId="100" fillId="0" borderId="29" xfId="11" applyNumberFormat="1" applyFont="1" applyBorder="1" applyAlignment="1">
      <alignment vertical="center"/>
    </xf>
    <xf numFmtId="10" fontId="100" fillId="0" borderId="136" xfId="1" applyNumberFormat="1" applyFont="1" applyFill="1" applyBorder="1" applyAlignment="1">
      <alignment horizontal="right" vertical="center"/>
    </xf>
    <xf numFmtId="0" fontId="111" fillId="0" borderId="136" xfId="11" applyFont="1" applyBorder="1" applyAlignment="1">
      <alignment horizontal="center" vertical="center"/>
    </xf>
    <xf numFmtId="10" fontId="111" fillId="0" borderId="136" xfId="1" applyNumberFormat="1" applyFont="1" applyFill="1" applyBorder="1" applyAlignment="1">
      <alignment horizontal="right" vertical="center"/>
    </xf>
    <xf numFmtId="3" fontId="111" fillId="0" borderId="174" xfId="11" applyNumberFormat="1" applyFont="1" applyBorder="1" applyAlignment="1">
      <alignment horizontal="right" vertical="center"/>
    </xf>
    <xf numFmtId="0" fontId="111" fillId="0" borderId="136" xfId="11" applyFont="1" applyBorder="1" applyAlignment="1">
      <alignment horizontal="center" vertical="center" wrapText="1"/>
    </xf>
    <xf numFmtId="0" fontId="142" fillId="0" borderId="136" xfId="11" applyFont="1" applyBorder="1" applyAlignment="1">
      <alignment horizontal="center" vertical="center" wrapText="1"/>
    </xf>
    <xf numFmtId="3" fontId="142" fillId="0" borderId="174" xfId="11" applyNumberFormat="1" applyFont="1" applyBorder="1" applyAlignment="1">
      <alignment horizontal="right" vertical="center"/>
    </xf>
    <xf numFmtId="10" fontId="142" fillId="0" borderId="136" xfId="1" applyNumberFormat="1" applyFont="1" applyFill="1" applyBorder="1" applyAlignment="1">
      <alignment horizontal="right" vertical="center"/>
    </xf>
    <xf numFmtId="0" fontId="142" fillId="0" borderId="136" xfId="11" applyFont="1" applyBorder="1" applyAlignment="1">
      <alignment horizontal="center" vertical="center"/>
    </xf>
    <xf numFmtId="3" fontId="111" fillId="0" borderId="174" xfId="11" applyNumberFormat="1" applyFont="1" applyBorder="1" applyAlignment="1">
      <alignment horizontal="right" vertical="center" wrapText="1"/>
    </xf>
    <xf numFmtId="0" fontId="100" fillId="0" borderId="136" xfId="11" applyFont="1" applyBorder="1" applyAlignment="1">
      <alignment horizontal="center" vertical="center"/>
    </xf>
    <xf numFmtId="49" fontId="100" fillId="0" borderId="36" xfId="11" applyNumberFormat="1" applyFont="1" applyBorder="1" applyAlignment="1">
      <alignment vertical="center"/>
    </xf>
    <xf numFmtId="0" fontId="111" fillId="0" borderId="160" xfId="11" applyFont="1" applyBorder="1" applyAlignment="1">
      <alignment horizontal="center" vertical="center"/>
    </xf>
    <xf numFmtId="3" fontId="111" fillId="0" borderId="160" xfId="11" applyNumberFormat="1" applyFont="1" applyBorder="1" applyAlignment="1">
      <alignment horizontal="right" vertical="center"/>
    </xf>
    <xf numFmtId="3" fontId="111" fillId="0" borderId="161" xfId="11" applyNumberFormat="1" applyFont="1" applyBorder="1" applyAlignment="1">
      <alignment horizontal="right" vertical="center"/>
    </xf>
    <xf numFmtId="10" fontId="111" fillId="0" borderId="160" xfId="1" applyNumberFormat="1" applyFont="1" applyFill="1" applyBorder="1" applyAlignment="1">
      <alignment horizontal="right" vertical="center"/>
    </xf>
    <xf numFmtId="49" fontId="100" fillId="0" borderId="114" xfId="11" applyNumberFormat="1" applyFont="1" applyBorder="1" applyAlignment="1">
      <alignment vertical="center"/>
    </xf>
    <xf numFmtId="49" fontId="54" fillId="7" borderId="128" xfId="11" applyNumberFormat="1" applyFont="1" applyFill="1" applyBorder="1" applyAlignment="1">
      <alignment vertical="center"/>
    </xf>
    <xf numFmtId="49" fontId="100" fillId="7" borderId="128" xfId="11" applyNumberFormat="1" applyFont="1" applyFill="1" applyBorder="1" applyAlignment="1">
      <alignment horizontal="center" vertical="center"/>
    </xf>
    <xf numFmtId="3" fontId="100" fillId="7" borderId="176" xfId="11" applyNumberFormat="1" applyFont="1" applyFill="1" applyBorder="1" applyAlignment="1">
      <alignment horizontal="right" vertical="center"/>
    </xf>
    <xf numFmtId="10" fontId="100" fillId="7" borderId="128" xfId="1" applyNumberFormat="1" applyFont="1" applyFill="1" applyBorder="1" applyAlignment="1">
      <alignment horizontal="right" vertical="center"/>
    </xf>
    <xf numFmtId="3" fontId="100" fillId="0" borderId="174" xfId="11" applyNumberFormat="1" applyFont="1" applyBorder="1" applyAlignment="1">
      <alignment horizontal="right" vertical="center"/>
    </xf>
    <xf numFmtId="3" fontId="111" fillId="0" borderId="174" xfId="11" applyNumberFormat="1" applyFont="1" applyBorder="1" applyAlignment="1">
      <alignment vertical="center" wrapText="1"/>
    </xf>
    <xf numFmtId="0" fontId="50" fillId="9" borderId="0" xfId="11" applyFill="1"/>
    <xf numFmtId="0" fontId="54" fillId="7" borderId="154" xfId="11" applyFont="1" applyFill="1" applyBorder="1" applyAlignment="1">
      <alignment vertical="center"/>
    </xf>
    <xf numFmtId="0" fontId="100" fillId="7" borderId="154" xfId="11" applyFont="1" applyFill="1" applyBorder="1" applyAlignment="1">
      <alignment horizontal="center" vertical="center"/>
    </xf>
    <xf numFmtId="3" fontId="100" fillId="7" borderId="154" xfId="11" applyNumberFormat="1" applyFont="1" applyFill="1" applyBorder="1" applyAlignment="1">
      <alignment horizontal="right" vertical="center"/>
    </xf>
    <xf numFmtId="0" fontId="111" fillId="0" borderId="31" xfId="11" applyFont="1" applyBorder="1" applyAlignment="1">
      <alignment horizontal="center" vertical="center"/>
    </xf>
    <xf numFmtId="3" fontId="111" fillId="0" borderId="31" xfId="11" applyNumberFormat="1" applyFont="1" applyBorder="1" applyAlignment="1">
      <alignment horizontal="right" vertical="center"/>
    </xf>
    <xf numFmtId="0" fontId="100" fillId="0" borderId="119" xfId="11" applyFont="1" applyBorder="1" applyAlignment="1">
      <alignment vertical="center"/>
    </xf>
    <xf numFmtId="10" fontId="111" fillId="0" borderId="136" xfId="11" applyNumberFormat="1" applyFont="1" applyBorder="1" applyAlignment="1">
      <alignment horizontal="right" vertical="center"/>
    </xf>
    <xf numFmtId="10" fontId="142" fillId="0" borderId="136" xfId="11" applyNumberFormat="1" applyFont="1" applyBorder="1" applyAlignment="1">
      <alignment horizontal="right" vertical="center"/>
    </xf>
    <xf numFmtId="164" fontId="142" fillId="0" borderId="31" xfId="54" applyNumberFormat="1" applyFont="1" applyFill="1" applyBorder="1" applyAlignment="1">
      <alignment horizontal="center" vertical="center"/>
    </xf>
    <xf numFmtId="0" fontId="50" fillId="0" borderId="45" xfId="11" applyBorder="1"/>
    <xf numFmtId="3" fontId="154" fillId="0" borderId="45" xfId="96" applyNumberFormat="1" applyFont="1" applyBorder="1" applyAlignment="1">
      <alignment vertical="center"/>
    </xf>
    <xf numFmtId="3" fontId="134" fillId="0" borderId="0" xfId="96" applyNumberFormat="1" applyFont="1" applyAlignment="1">
      <alignment vertical="center"/>
    </xf>
    <xf numFmtId="3" fontId="50" fillId="9" borderId="0" xfId="11" applyNumberFormat="1" applyFill="1"/>
    <xf numFmtId="49" fontId="100" fillId="0" borderId="29" xfId="11" applyNumberFormat="1" applyFont="1" applyBorder="1" applyAlignment="1">
      <alignment horizontal="center" vertical="center"/>
    </xf>
    <xf numFmtId="164" fontId="100" fillId="9" borderId="136" xfId="54" applyNumberFormat="1" applyFont="1" applyFill="1" applyBorder="1" applyAlignment="1">
      <alignment horizontal="center" vertical="center"/>
    </xf>
    <xf numFmtId="0" fontId="59" fillId="9" borderId="31" xfId="11" applyFont="1" applyFill="1" applyBorder="1" applyAlignment="1">
      <alignment horizontal="left" vertical="center" wrapText="1"/>
    </xf>
    <xf numFmtId="0" fontId="59" fillId="9" borderId="31" xfId="11" applyFont="1" applyFill="1" applyBorder="1" applyAlignment="1">
      <alignment horizontal="left" vertical="center"/>
    </xf>
    <xf numFmtId="49" fontId="100" fillId="6" borderId="147" xfId="11" applyNumberFormat="1" applyFont="1" applyFill="1" applyBorder="1" applyAlignment="1">
      <alignment horizontal="center" vertical="center"/>
    </xf>
    <xf numFmtId="0" fontId="100" fillId="6" borderId="154" xfId="11" applyFont="1" applyFill="1" applyBorder="1" applyAlignment="1">
      <alignment horizontal="center" vertical="center"/>
    </xf>
    <xf numFmtId="10" fontId="100" fillId="6" borderId="154" xfId="1" applyNumberFormat="1" applyFont="1" applyFill="1" applyBorder="1" applyAlignment="1">
      <alignment horizontal="right" vertical="center"/>
    </xf>
    <xf numFmtId="3" fontId="151" fillId="6" borderId="148" xfId="11" applyNumberFormat="1" applyFont="1" applyFill="1" applyBorder="1" applyAlignment="1">
      <alignment vertical="center" wrapText="1"/>
    </xf>
    <xf numFmtId="0" fontId="59" fillId="0" borderId="154" xfId="11" applyFont="1" applyBorder="1" applyAlignment="1">
      <alignment horizontal="left" vertical="center"/>
    </xf>
    <xf numFmtId="164" fontId="111" fillId="0" borderId="160" xfId="54" applyNumberFormat="1" applyFont="1" applyFill="1" applyBorder="1" applyAlignment="1">
      <alignment horizontal="center" vertical="center"/>
    </xf>
    <xf numFmtId="0" fontId="146" fillId="0" borderId="136" xfId="11" applyFont="1" applyBorder="1" applyAlignment="1">
      <alignment horizontal="center"/>
    </xf>
    <xf numFmtId="3" fontId="142" fillId="0" borderId="0" xfId="11" applyNumberFormat="1" applyFont="1" applyAlignment="1">
      <alignment horizontal="right" vertical="center"/>
    </xf>
    <xf numFmtId="0" fontId="146" fillId="0" borderId="0" xfId="11" applyFont="1"/>
    <xf numFmtId="3" fontId="155" fillId="0" borderId="136" xfId="11" applyNumberFormat="1" applyFont="1" applyBorder="1" applyAlignment="1">
      <alignment horizontal="right" vertical="center"/>
    </xf>
    <xf numFmtId="0" fontId="146" fillId="0" borderId="0" xfId="11" applyFont="1" applyAlignment="1">
      <alignment horizontal="center"/>
    </xf>
    <xf numFmtId="3" fontId="100" fillId="0" borderId="31" xfId="11" applyNumberFormat="1" applyFont="1" applyBorder="1" applyAlignment="1">
      <alignment horizontal="right" vertical="center"/>
    </xf>
    <xf numFmtId="10" fontId="111" fillId="0" borderId="31" xfId="1" applyNumberFormat="1" applyFont="1" applyFill="1" applyBorder="1" applyAlignment="1">
      <alignment horizontal="right" vertical="center"/>
    </xf>
    <xf numFmtId="0" fontId="100" fillId="6" borderId="60" xfId="11" applyFont="1" applyFill="1" applyBorder="1" applyAlignment="1">
      <alignment horizontal="center" vertical="center"/>
    </xf>
    <xf numFmtId="3" fontId="100" fillId="6" borderId="60" xfId="11" applyNumberFormat="1" applyFont="1" applyFill="1" applyBorder="1" applyAlignment="1">
      <alignment horizontal="right" vertical="center"/>
    </xf>
    <xf numFmtId="164" fontId="100" fillId="6" borderId="60" xfId="54" applyNumberFormat="1" applyFont="1" applyFill="1" applyBorder="1" applyAlignment="1">
      <alignment horizontal="center" vertical="center"/>
    </xf>
    <xf numFmtId="10" fontId="100" fillId="6" borderId="60" xfId="1" applyNumberFormat="1" applyFont="1" applyFill="1" applyBorder="1" applyAlignment="1">
      <alignment horizontal="right" vertical="center"/>
    </xf>
    <xf numFmtId="3" fontId="151" fillId="6" borderId="41" xfId="11" applyNumberFormat="1" applyFont="1" applyFill="1" applyBorder="1" applyAlignment="1">
      <alignment vertical="center" wrapText="1"/>
    </xf>
    <xf numFmtId="0" fontId="69" fillId="0" borderId="0" xfId="11" applyFont="1" applyAlignment="1">
      <alignment horizontal="left" vertical="center"/>
    </xf>
    <xf numFmtId="0" fontId="151" fillId="0" borderId="38" xfId="11" applyFont="1" applyBorder="1"/>
    <xf numFmtId="3" fontId="43" fillId="0" borderId="136" xfId="11" applyNumberFormat="1" applyFont="1" applyBorder="1"/>
    <xf numFmtId="0" fontId="51" fillId="0" borderId="0" xfId="11" applyFont="1" applyAlignment="1">
      <alignment vertical="center"/>
    </xf>
    <xf numFmtId="0" fontId="138" fillId="0" borderId="0" xfId="11" applyFont="1"/>
    <xf numFmtId="0" fontId="85" fillId="0" borderId="0" xfId="53" applyFont="1" applyAlignment="1">
      <alignment horizontal="right" vertical="center"/>
    </xf>
    <xf numFmtId="0" fontId="101" fillId="0" borderId="19" xfId="18" applyFont="1" applyBorder="1" applyAlignment="1">
      <alignment horizontal="center" vertical="center"/>
    </xf>
    <xf numFmtId="0" fontId="135" fillId="0" borderId="20" xfId="18" applyFont="1" applyBorder="1" applyAlignment="1">
      <alignment horizontal="center" vertical="center"/>
    </xf>
    <xf numFmtId="0" fontId="101" fillId="0" borderId="20" xfId="11" applyFont="1" applyBorder="1" applyAlignment="1">
      <alignment horizontal="center" vertical="center" wrapText="1"/>
    </xf>
    <xf numFmtId="0" fontId="101" fillId="0" borderId="23" xfId="11" applyFont="1" applyBorder="1" applyAlignment="1">
      <alignment horizontal="center" vertical="center" wrapText="1"/>
    </xf>
    <xf numFmtId="0" fontId="101" fillId="0" borderId="23" xfId="95" applyFont="1" applyBorder="1" applyAlignment="1">
      <alignment horizontal="center" vertical="center" wrapText="1"/>
    </xf>
    <xf numFmtId="10" fontId="101" fillId="0" borderId="23" xfId="11" applyNumberFormat="1" applyFont="1" applyBorder="1" applyAlignment="1">
      <alignment horizontal="center" vertical="center" wrapText="1"/>
    </xf>
    <xf numFmtId="0" fontId="93" fillId="0" borderId="20" xfId="11" applyFont="1" applyBorder="1" applyAlignment="1">
      <alignment horizontal="center" vertical="center" wrapText="1"/>
    </xf>
    <xf numFmtId="49" fontId="55" fillId="0" borderId="23" xfId="18" applyNumberFormat="1" applyFont="1" applyBorder="1" applyAlignment="1">
      <alignment horizontal="center" vertical="center"/>
    </xf>
    <xf numFmtId="0" fontId="55" fillId="0" borderId="23" xfId="11" applyFont="1" applyBorder="1" applyAlignment="1">
      <alignment horizontal="center" vertical="center"/>
    </xf>
    <xf numFmtId="0" fontId="56" fillId="0" borderId="23" xfId="18" applyFont="1" applyBorder="1" applyAlignment="1">
      <alignment horizontal="center" vertical="center"/>
    </xf>
    <xf numFmtId="0" fontId="59" fillId="0" borderId="23" xfId="95" applyFont="1" applyBorder="1" applyAlignment="1">
      <alignment horizontal="center" vertical="center" wrapText="1"/>
    </xf>
    <xf numFmtId="10" fontId="55" fillId="0" borderId="23" xfId="11" applyNumberFormat="1" applyFont="1" applyBorder="1" applyAlignment="1">
      <alignment horizontal="center" vertical="center"/>
    </xf>
    <xf numFmtId="0" fontId="58" fillId="0" borderId="0" xfId="11" applyFont="1" applyAlignment="1">
      <alignment vertical="center"/>
    </xf>
    <xf numFmtId="49" fontId="54" fillId="6" borderId="154" xfId="11" applyNumberFormat="1" applyFont="1" applyFill="1" applyBorder="1" applyAlignment="1">
      <alignment vertical="center" wrapText="1"/>
    </xf>
    <xf numFmtId="49" fontId="100" fillId="6" borderId="154" xfId="11" applyNumberFormat="1" applyFont="1" applyFill="1" applyBorder="1" applyAlignment="1">
      <alignment horizontal="center" vertical="center"/>
    </xf>
    <xf numFmtId="3" fontId="100" fillId="6" borderId="154" xfId="11" applyNumberFormat="1" applyFont="1" applyFill="1" applyBorder="1" applyAlignment="1">
      <alignment horizontal="right" vertical="center"/>
    </xf>
    <xf numFmtId="164" fontId="137" fillId="6" borderId="154" xfId="54" applyNumberFormat="1" applyFont="1" applyFill="1" applyBorder="1" applyAlignment="1">
      <alignment horizontal="center" vertical="center"/>
    </xf>
    <xf numFmtId="10" fontId="54" fillId="6" borderId="154" xfId="11" applyNumberFormat="1" applyFont="1" applyFill="1" applyBorder="1" applyAlignment="1">
      <alignment horizontal="right" vertical="center"/>
    </xf>
    <xf numFmtId="164" fontId="137" fillId="9" borderId="136" xfId="54" applyNumberFormat="1" applyFont="1" applyFill="1" applyBorder="1" applyAlignment="1">
      <alignment horizontal="center" vertical="center"/>
    </xf>
    <xf numFmtId="49" fontId="85" fillId="6" borderId="165" xfId="11" applyNumberFormat="1" applyFont="1" applyFill="1" applyBorder="1" applyAlignment="1">
      <alignment horizontal="center" vertical="center"/>
    </xf>
    <xf numFmtId="49" fontId="85" fillId="6" borderId="136" xfId="11" applyNumberFormat="1" applyFont="1" applyFill="1" applyBorder="1" applyAlignment="1">
      <alignment vertical="center"/>
    </xf>
    <xf numFmtId="49" fontId="137" fillId="6" borderId="136" xfId="11" applyNumberFormat="1" applyFont="1" applyFill="1" applyBorder="1" applyAlignment="1">
      <alignment horizontal="center" vertical="center"/>
    </xf>
    <xf numFmtId="3" fontId="137" fillId="6" borderId="136" xfId="11" applyNumberFormat="1" applyFont="1" applyFill="1" applyBorder="1" applyAlignment="1">
      <alignment horizontal="right" vertical="center"/>
    </xf>
    <xf numFmtId="10" fontId="85" fillId="6" borderId="136" xfId="11" applyNumberFormat="1" applyFont="1" applyFill="1" applyBorder="1" applyAlignment="1">
      <alignment horizontal="right" vertical="center"/>
    </xf>
    <xf numFmtId="0" fontId="144" fillId="6" borderId="170" xfId="11" applyFont="1" applyFill="1" applyBorder="1" applyAlignment="1">
      <alignment vertical="center" wrapText="1"/>
    </xf>
    <xf numFmtId="0" fontId="50" fillId="0" borderId="0" xfId="11" applyAlignment="1">
      <alignment vertical="top"/>
    </xf>
    <xf numFmtId="49" fontId="137" fillId="7" borderId="136" xfId="11" applyNumberFormat="1" applyFont="1" applyFill="1" applyBorder="1" applyAlignment="1">
      <alignment horizontal="center" vertical="center"/>
    </xf>
    <xf numFmtId="164" fontId="137" fillId="7" borderId="136" xfId="11" applyNumberFormat="1" applyFont="1" applyFill="1" applyBorder="1" applyAlignment="1">
      <alignment horizontal="center" vertical="center"/>
    </xf>
    <xf numFmtId="0" fontId="50" fillId="6" borderId="59" xfId="11" applyFill="1" applyBorder="1"/>
    <xf numFmtId="49" fontId="137" fillId="0" borderId="136" xfId="11" applyNumberFormat="1" applyFont="1" applyBorder="1" applyAlignment="1">
      <alignment horizontal="center" vertical="center"/>
    </xf>
    <xf numFmtId="164" fontId="137" fillId="0" borderId="136" xfId="11" applyNumberFormat="1" applyFont="1" applyBorder="1" applyAlignment="1">
      <alignment horizontal="center" vertical="center"/>
    </xf>
    <xf numFmtId="0" fontId="141" fillId="0" borderId="136" xfId="11" applyFont="1" applyBorder="1" applyAlignment="1">
      <alignment horizontal="center" vertical="center"/>
    </xf>
    <xf numFmtId="164" fontId="143" fillId="0" borderId="136" xfId="11" applyNumberFormat="1" applyFont="1" applyBorder="1" applyAlignment="1">
      <alignment horizontal="center" vertical="center"/>
    </xf>
    <xf numFmtId="0" fontId="51" fillId="6" borderId="59" xfId="11" applyFont="1" applyFill="1" applyBorder="1"/>
    <xf numFmtId="0" fontId="141" fillId="0" borderId="136" xfId="11" applyFont="1" applyBorder="1" applyAlignment="1">
      <alignment horizontal="center" vertical="center" wrapText="1"/>
    </xf>
    <xf numFmtId="164" fontId="141" fillId="0" borderId="136" xfId="11" applyNumberFormat="1" applyFont="1" applyBorder="1" applyAlignment="1">
      <alignment horizontal="center" vertical="center"/>
    </xf>
    <xf numFmtId="0" fontId="143" fillId="0" borderId="136" xfId="11" applyFont="1" applyBorder="1" applyAlignment="1">
      <alignment horizontal="center" vertical="center"/>
    </xf>
    <xf numFmtId="0" fontId="137" fillId="0" borderId="136" xfId="11" applyFont="1" applyBorder="1" applyAlignment="1">
      <alignment horizontal="center" vertical="center"/>
    </xf>
    <xf numFmtId="49" fontId="85" fillId="7" borderId="136" xfId="11" applyNumberFormat="1" applyFont="1" applyFill="1" applyBorder="1" applyAlignment="1">
      <alignment vertical="center"/>
    </xf>
    <xf numFmtId="0" fontId="143" fillId="0" borderId="136" xfId="11" applyFont="1" applyBorder="1" applyAlignment="1">
      <alignment horizontal="center" vertical="center" wrapText="1"/>
    </xf>
    <xf numFmtId="3" fontId="157" fillId="0" borderId="136" xfId="11" applyNumberFormat="1" applyFont="1" applyBorder="1" applyAlignment="1">
      <alignment horizontal="right" vertical="center"/>
    </xf>
    <xf numFmtId="1" fontId="143" fillId="0" borderId="136" xfId="11" applyNumberFormat="1" applyFont="1" applyBorder="1" applyAlignment="1">
      <alignment horizontal="center" vertical="center"/>
    </xf>
    <xf numFmtId="164" fontId="157" fillId="0" borderId="136" xfId="54" applyNumberFormat="1" applyFont="1" applyFill="1" applyBorder="1" applyAlignment="1">
      <alignment horizontal="center" vertical="center"/>
    </xf>
    <xf numFmtId="0" fontId="141" fillId="0" borderId="31" xfId="11" applyFont="1" applyBorder="1" applyAlignment="1">
      <alignment horizontal="center" vertical="center"/>
    </xf>
    <xf numFmtId="164" fontId="137" fillId="0" borderId="31" xfId="54" applyNumberFormat="1" applyFont="1" applyFill="1" applyBorder="1" applyAlignment="1">
      <alignment horizontal="center" vertical="center"/>
    </xf>
    <xf numFmtId="10" fontId="88" fillId="0" borderId="31" xfId="11" applyNumberFormat="1" applyFont="1" applyBorder="1" applyAlignment="1">
      <alignment horizontal="right" vertical="center"/>
    </xf>
    <xf numFmtId="0" fontId="88" fillId="0" borderId="160" xfId="11" applyFont="1" applyBorder="1" applyAlignment="1">
      <alignment vertical="center"/>
    </xf>
    <xf numFmtId="0" fontId="141" fillId="0" borderId="160" xfId="11" applyFont="1" applyBorder="1" applyAlignment="1">
      <alignment horizontal="center" vertical="center"/>
    </xf>
    <xf numFmtId="10" fontId="88" fillId="0" borderId="160" xfId="11" applyNumberFormat="1" applyFont="1" applyBorder="1" applyAlignment="1">
      <alignment horizontal="right" vertical="center"/>
    </xf>
    <xf numFmtId="0" fontId="137" fillId="6" borderId="40" xfId="53" applyFont="1" applyFill="1" applyBorder="1" applyAlignment="1">
      <alignment horizontal="center" vertical="center"/>
    </xf>
    <xf numFmtId="0" fontId="138" fillId="6" borderId="44" xfId="53" applyFont="1" applyFill="1" applyBorder="1" applyAlignment="1">
      <alignment vertical="center" wrapText="1"/>
    </xf>
    <xf numFmtId="0" fontId="50" fillId="6" borderId="0" xfId="11" applyFill="1"/>
    <xf numFmtId="0" fontId="137" fillId="0" borderId="0" xfId="53" applyFont="1" applyAlignment="1">
      <alignment horizontal="left" vertical="center"/>
    </xf>
    <xf numFmtId="0" fontId="137" fillId="0" borderId="0" xfId="53" applyFont="1" applyAlignment="1">
      <alignment horizontal="center" vertical="center"/>
    </xf>
    <xf numFmtId="3" fontId="137" fillId="0" borderId="0" xfId="53" applyNumberFormat="1" applyFont="1" applyAlignment="1">
      <alignment horizontal="right" vertical="center"/>
    </xf>
    <xf numFmtId="164" fontId="137" fillId="0" borderId="0" xfId="53" applyNumberFormat="1" applyFont="1" applyAlignment="1">
      <alignment horizontal="right" vertical="center"/>
    </xf>
    <xf numFmtId="10" fontId="137" fillId="0" borderId="0" xfId="53" applyNumberFormat="1" applyFont="1" applyAlignment="1">
      <alignment horizontal="right" vertical="center"/>
    </xf>
    <xf numFmtId="3" fontId="159" fillId="0" borderId="0" xfId="53" applyNumberFormat="1" applyFont="1" applyAlignment="1">
      <alignment horizontal="right" vertical="center"/>
    </xf>
    <xf numFmtId="3" fontId="160" fillId="0" borderId="0" xfId="53" applyNumberFormat="1" applyFont="1" applyAlignment="1">
      <alignment horizontal="right" vertical="center"/>
    </xf>
    <xf numFmtId="3" fontId="161" fillId="0" borderId="0" xfId="53" applyNumberFormat="1" applyFont="1" applyAlignment="1">
      <alignment vertical="center"/>
    </xf>
    <xf numFmtId="0" fontId="162" fillId="0" borderId="0" xfId="53" applyFont="1" applyAlignment="1">
      <alignment vertical="center"/>
    </xf>
    <xf numFmtId="10" fontId="50" fillId="0" borderId="0" xfId="11" applyNumberFormat="1" applyAlignment="1">
      <alignment vertical="center"/>
    </xf>
    <xf numFmtId="0" fontId="144" fillId="0" borderId="0" xfId="11" applyFont="1" applyAlignment="1">
      <alignment vertical="center"/>
    </xf>
    <xf numFmtId="10" fontId="51" fillId="0" borderId="136" xfId="11" applyNumberFormat="1" applyFont="1" applyBorder="1" applyAlignment="1">
      <alignment vertical="center"/>
    </xf>
    <xf numFmtId="164" fontId="50" fillId="0" borderId="0" xfId="11" applyNumberFormat="1" applyAlignment="1">
      <alignment vertical="center"/>
    </xf>
    <xf numFmtId="0" fontId="101" fillId="0" borderId="0" xfId="53" applyFont="1" applyAlignment="1">
      <alignment horizontal="center" vertical="center"/>
    </xf>
    <xf numFmtId="0" fontId="93" fillId="0" borderId="0" xfId="53" applyFont="1" applyAlignment="1">
      <alignment horizontal="center" vertical="center"/>
    </xf>
    <xf numFmtId="164" fontId="101" fillId="0" borderId="0" xfId="53" applyNumberFormat="1" applyFont="1" applyAlignment="1">
      <alignment horizontal="center" vertical="center"/>
    </xf>
    <xf numFmtId="10" fontId="101" fillId="0" borderId="0" xfId="53" applyNumberFormat="1" applyFont="1" applyAlignment="1">
      <alignment horizontal="center" vertical="center"/>
    </xf>
    <xf numFmtId="0" fontId="54" fillId="0" borderId="19" xfId="18" applyFont="1" applyBorder="1" applyAlignment="1">
      <alignment horizontal="center" vertical="center"/>
    </xf>
    <xf numFmtId="0" fontId="54" fillId="0" borderId="20" xfId="11" applyFont="1" applyBorder="1" applyAlignment="1">
      <alignment horizontal="center" vertical="center" wrapText="1"/>
    </xf>
    <xf numFmtId="0" fontId="54" fillId="0" borderId="20" xfId="95" applyFont="1" applyBorder="1" applyAlignment="1">
      <alignment horizontal="center" vertical="center" wrapText="1"/>
    </xf>
    <xf numFmtId="10" fontId="54" fillId="0" borderId="20" xfId="11" applyNumberFormat="1" applyFont="1" applyBorder="1" applyAlignment="1">
      <alignment horizontal="center" vertical="center" wrapText="1"/>
    </xf>
    <xf numFmtId="49" fontId="55" fillId="0" borderId="23" xfId="18" applyNumberFormat="1" applyFont="1" applyBorder="1" applyAlignment="1">
      <alignment horizontal="center"/>
    </xf>
    <xf numFmtId="0" fontId="56" fillId="0" borderId="0" xfId="11" applyFont="1"/>
    <xf numFmtId="49" fontId="54" fillId="6" borderId="128" xfId="11" applyNumberFormat="1" applyFont="1" applyFill="1" applyBorder="1" applyAlignment="1">
      <alignment vertical="center" wrapText="1"/>
    </xf>
    <xf numFmtId="49" fontId="100" fillId="6" borderId="128" xfId="11" applyNumberFormat="1" applyFont="1" applyFill="1" applyBorder="1" applyAlignment="1">
      <alignment horizontal="center" vertical="center" wrapText="1"/>
    </xf>
    <xf numFmtId="3" fontId="137" fillId="6" borderId="128" xfId="11" applyNumberFormat="1" applyFont="1" applyFill="1" applyBorder="1" applyAlignment="1">
      <alignment horizontal="right" vertical="center"/>
    </xf>
    <xf numFmtId="10" fontId="93" fillId="6" borderId="128" xfId="11" applyNumberFormat="1" applyFont="1" applyFill="1" applyBorder="1" applyAlignment="1">
      <alignment horizontal="right" vertical="center"/>
    </xf>
    <xf numFmtId="0" fontId="144" fillId="6" borderId="129" xfId="11" applyFont="1" applyFill="1" applyBorder="1" applyAlignment="1">
      <alignment horizontal="left" vertical="center"/>
    </xf>
    <xf numFmtId="10" fontId="93" fillId="7" borderId="136" xfId="11" applyNumberFormat="1" applyFont="1" applyFill="1" applyBorder="1" applyAlignment="1">
      <alignment horizontal="right" vertical="center"/>
    </xf>
    <xf numFmtId="10" fontId="93" fillId="0" borderId="136" xfId="11" applyNumberFormat="1" applyFont="1" applyBorder="1" applyAlignment="1">
      <alignment horizontal="right" vertical="center"/>
    </xf>
    <xf numFmtId="10" fontId="163" fillId="0" borderId="136" xfId="11" applyNumberFormat="1" applyFont="1" applyBorder="1" applyAlignment="1">
      <alignment horizontal="right" vertical="center"/>
    </xf>
    <xf numFmtId="10" fontId="164" fillId="0" borderId="136" xfId="11" applyNumberFormat="1" applyFont="1" applyBorder="1" applyAlignment="1">
      <alignment horizontal="right" vertical="center"/>
    </xf>
    <xf numFmtId="0" fontId="146" fillId="6" borderId="59" xfId="11" applyFont="1" applyFill="1" applyBorder="1"/>
    <xf numFmtId="10" fontId="93" fillId="6" borderId="136" xfId="11" applyNumberFormat="1" applyFont="1" applyFill="1" applyBorder="1" applyAlignment="1">
      <alignment horizontal="right" vertical="center"/>
    </xf>
    <xf numFmtId="0" fontId="144" fillId="6" borderId="170" xfId="11" applyFont="1" applyFill="1" applyBorder="1" applyAlignment="1">
      <alignment horizontal="left" vertical="center"/>
    </xf>
    <xf numFmtId="0" fontId="50" fillId="6" borderId="122" xfId="11" applyFill="1" applyBorder="1"/>
    <xf numFmtId="0" fontId="50" fillId="6" borderId="23" xfId="11" applyFill="1" applyBorder="1"/>
    <xf numFmtId="0" fontId="50" fillId="0" borderId="136" xfId="11" applyBorder="1"/>
    <xf numFmtId="0" fontId="84" fillId="0" borderId="136" xfId="11" applyFont="1" applyBorder="1"/>
    <xf numFmtId="10" fontId="58" fillId="0" borderId="136" xfId="11" applyNumberFormat="1" applyFont="1" applyBorder="1"/>
    <xf numFmtId="49" fontId="59" fillId="0" borderId="136" xfId="11" applyNumberFormat="1" applyFont="1" applyBorder="1" applyAlignment="1">
      <alignment horizontal="left" vertical="center"/>
    </xf>
    <xf numFmtId="0" fontId="146" fillId="0" borderId="0" xfId="11" applyFont="1" applyAlignment="1">
      <alignment vertical="center"/>
    </xf>
    <xf numFmtId="0" fontId="50" fillId="8" borderId="0" xfId="11" applyFill="1" applyAlignment="1">
      <alignment vertical="center"/>
    </xf>
    <xf numFmtId="10" fontId="101" fillId="7" borderId="136" xfId="11" applyNumberFormat="1" applyFont="1" applyFill="1" applyBorder="1" applyAlignment="1">
      <alignment horizontal="right" vertical="center"/>
    </xf>
    <xf numFmtId="10" fontId="101" fillId="0" borderId="136" xfId="11" applyNumberFormat="1" applyFont="1" applyBorder="1" applyAlignment="1">
      <alignment horizontal="right" vertical="center"/>
    </xf>
    <xf numFmtId="10" fontId="133" fillId="0" borderId="136" xfId="11" applyNumberFormat="1" applyFont="1" applyBorder="1" applyAlignment="1">
      <alignment horizontal="right" vertical="center"/>
    </xf>
    <xf numFmtId="164" fontId="100" fillId="0" borderId="154" xfId="11" applyNumberFormat="1" applyFont="1" applyBorder="1" applyAlignment="1">
      <alignment horizontal="center" vertical="center"/>
    </xf>
    <xf numFmtId="164" fontId="111" fillId="0" borderId="154" xfId="11" applyNumberFormat="1" applyFont="1" applyBorder="1" applyAlignment="1">
      <alignment horizontal="center" vertical="center"/>
    </xf>
    <xf numFmtId="10" fontId="133" fillId="0" borderId="113" xfId="11" applyNumberFormat="1" applyFont="1" applyBorder="1" applyAlignment="1">
      <alignment horizontal="right" vertical="center"/>
    </xf>
    <xf numFmtId="164" fontId="137" fillId="6" borderId="60" xfId="11" applyNumberFormat="1" applyFont="1" applyFill="1" applyBorder="1" applyAlignment="1">
      <alignment horizontal="center" vertical="center"/>
    </xf>
    <xf numFmtId="10" fontId="93" fillId="6" borderId="56" xfId="53" applyNumberFormat="1" applyFont="1" applyFill="1" applyBorder="1" applyAlignment="1">
      <alignment horizontal="right" vertical="center"/>
    </xf>
    <xf numFmtId="0" fontId="139" fillId="6" borderId="44" xfId="53" applyFont="1" applyFill="1" applyBorder="1" applyAlignment="1">
      <alignment horizontal="left" vertical="center" wrapText="1"/>
    </xf>
    <xf numFmtId="0" fontId="50" fillId="0" borderId="38" xfId="11" applyBorder="1"/>
    <xf numFmtId="0" fontId="58" fillId="0" borderId="38" xfId="11" applyFont="1" applyBorder="1"/>
    <xf numFmtId="0" fontId="58" fillId="0" borderId="38" xfId="11" applyFont="1" applyBorder="1" applyAlignment="1">
      <alignment horizontal="right"/>
    </xf>
    <xf numFmtId="0" fontId="105" fillId="0" borderId="38" xfId="11" applyFont="1" applyBorder="1" applyAlignment="1">
      <alignment horizontal="right"/>
    </xf>
    <xf numFmtId="164" fontId="58" fillId="0" borderId="38" xfId="11" applyNumberFormat="1" applyFont="1" applyBorder="1" applyAlignment="1">
      <alignment horizontal="right"/>
    </xf>
    <xf numFmtId="10" fontId="58" fillId="0" borderId="38" xfId="11" applyNumberFormat="1" applyFont="1" applyBorder="1" applyAlignment="1">
      <alignment horizontal="right"/>
    </xf>
    <xf numFmtId="0" fontId="144" fillId="0" borderId="38" xfId="11" applyFont="1" applyBorder="1"/>
    <xf numFmtId="10" fontId="58" fillId="0" borderId="0" xfId="11" applyNumberFormat="1" applyFont="1"/>
    <xf numFmtId="0" fontId="144" fillId="0" borderId="0" xfId="11" applyFont="1"/>
    <xf numFmtId="0" fontId="115" fillId="0" borderId="0" xfId="53" applyFont="1" applyAlignment="1">
      <alignment vertical="center"/>
    </xf>
    <xf numFmtId="0" fontId="101" fillId="0" borderId="0" xfId="53" applyFont="1" applyAlignment="1">
      <alignment vertical="center"/>
    </xf>
    <xf numFmtId="3" fontId="166" fillId="0" borderId="0" xfId="53" applyNumberFormat="1" applyFont="1" applyAlignment="1">
      <alignment horizontal="right" vertical="center"/>
    </xf>
    <xf numFmtId="164" fontId="166" fillId="0" borderId="0" xfId="53" applyNumberFormat="1" applyFont="1" applyAlignment="1">
      <alignment horizontal="right" vertical="center"/>
    </xf>
    <xf numFmtId="10" fontId="166" fillId="0" borderId="0" xfId="53" applyNumberFormat="1" applyFont="1" applyAlignment="1">
      <alignment horizontal="right" vertical="center"/>
    </xf>
    <xf numFmtId="3" fontId="165" fillId="0" borderId="0" xfId="53" applyNumberFormat="1" applyFont="1" applyAlignment="1">
      <alignment horizontal="right" vertical="center"/>
    </xf>
    <xf numFmtId="0" fontId="94" fillId="0" borderId="0" xfId="53" applyFont="1" applyAlignment="1">
      <alignment vertical="center"/>
    </xf>
    <xf numFmtId="0" fontId="133" fillId="0" borderId="0" xfId="53" applyFont="1" applyAlignment="1">
      <alignment vertical="center"/>
    </xf>
    <xf numFmtId="0" fontId="163" fillId="0" borderId="0" xfId="53" applyFont="1" applyAlignment="1">
      <alignment vertical="center"/>
    </xf>
    <xf numFmtId="0" fontId="167" fillId="0" borderId="0" xfId="53" applyFont="1" applyAlignment="1">
      <alignment vertical="center"/>
    </xf>
    <xf numFmtId="164" fontId="167" fillId="0" borderId="0" xfId="53" applyNumberFormat="1" applyFont="1" applyAlignment="1">
      <alignment vertical="center"/>
    </xf>
    <xf numFmtId="0" fontId="167" fillId="0" borderId="0" xfId="53" applyFont="1" applyAlignment="1">
      <alignment horizontal="right" vertical="center"/>
    </xf>
    <xf numFmtId="10" fontId="167" fillId="0" borderId="0" xfId="53" applyNumberFormat="1" applyFont="1" applyAlignment="1">
      <alignment horizontal="right" vertical="center"/>
    </xf>
    <xf numFmtId="0" fontId="139" fillId="0" borderId="0" xfId="53" applyFont="1" applyAlignment="1">
      <alignment vertical="center"/>
    </xf>
    <xf numFmtId="0" fontId="54" fillId="0" borderId="0" xfId="53" applyFont="1" applyAlignment="1">
      <alignment horizontal="right" vertical="center"/>
    </xf>
    <xf numFmtId="0" fontId="54" fillId="0" borderId="23" xfId="11" applyFont="1" applyBorder="1" applyAlignment="1">
      <alignment horizontal="center" vertical="center"/>
    </xf>
    <xf numFmtId="0" fontId="54" fillId="0" borderId="39" xfId="11" applyFont="1" applyBorder="1" applyAlignment="1">
      <alignment horizontal="center" vertical="center"/>
    </xf>
    <xf numFmtId="0" fontId="64" fillId="0" borderId="23" xfId="11" applyFont="1" applyBorder="1" applyAlignment="1">
      <alignment horizontal="center" vertical="center"/>
    </xf>
    <xf numFmtId="0" fontId="54" fillId="0" borderId="23" xfId="53" applyFont="1" applyBorder="1" applyAlignment="1">
      <alignment horizontal="center" vertical="center" wrapText="1"/>
    </xf>
    <xf numFmtId="0" fontId="58" fillId="0" borderId="0" xfId="3" applyFont="1"/>
    <xf numFmtId="49" fontId="55" fillId="0" borderId="61" xfId="3" applyNumberFormat="1" applyFont="1" applyBorder="1" applyAlignment="1">
      <alignment horizontal="center"/>
    </xf>
    <xf numFmtId="49" fontId="55" fillId="0" borderId="1" xfId="3" applyNumberFormat="1" applyFont="1" applyBorder="1" applyAlignment="1">
      <alignment horizontal="center" vertical="center"/>
    </xf>
    <xf numFmtId="0" fontId="55" fillId="0" borderId="1" xfId="2" applyFont="1" applyBorder="1" applyAlignment="1">
      <alignment horizontal="center"/>
    </xf>
    <xf numFmtId="0" fontId="56" fillId="0" borderId="1" xfId="3" applyFont="1" applyBorder="1" applyAlignment="1">
      <alignment horizontal="center"/>
    </xf>
    <xf numFmtId="0" fontId="55" fillId="0" borderId="2" xfId="2" applyFont="1" applyBorder="1" applyAlignment="1">
      <alignment horizontal="center"/>
    </xf>
    <xf numFmtId="0" fontId="55" fillId="0" borderId="62" xfId="2" applyFont="1" applyBorder="1" applyAlignment="1">
      <alignment horizontal="center" vertical="center" wrapText="1"/>
    </xf>
    <xf numFmtId="0" fontId="56" fillId="2" borderId="0" xfId="3" applyFont="1" applyFill="1"/>
    <xf numFmtId="0" fontId="57" fillId="6" borderId="178" xfId="11" applyFont="1" applyFill="1" applyBorder="1" applyAlignment="1">
      <alignment horizontal="left" vertical="top" wrapText="1"/>
    </xf>
    <xf numFmtId="164" fontId="54" fillId="7" borderId="154" xfId="11" applyNumberFormat="1" applyFont="1" applyFill="1" applyBorder="1" applyAlignment="1">
      <alignment horizontal="center" vertical="center"/>
    </xf>
    <xf numFmtId="3" fontId="54" fillId="7" borderId="174" xfId="11" applyNumberFormat="1" applyFont="1" applyFill="1" applyBorder="1" applyAlignment="1">
      <alignment horizontal="right" vertical="center"/>
    </xf>
    <xf numFmtId="3" fontId="54" fillId="0" borderId="174" xfId="11" applyNumberFormat="1" applyFont="1" applyBorder="1" applyAlignment="1">
      <alignment horizontal="right" vertical="center"/>
    </xf>
    <xf numFmtId="3" fontId="59" fillId="0" borderId="174" xfId="11" applyNumberFormat="1" applyFont="1" applyBorder="1" applyAlignment="1">
      <alignment horizontal="right" vertical="center"/>
    </xf>
    <xf numFmtId="164" fontId="79" fillId="0" borderId="154" xfId="11" applyNumberFormat="1" applyFont="1" applyBorder="1" applyAlignment="1">
      <alignment horizontal="center" vertical="center"/>
    </xf>
    <xf numFmtId="3" fontId="79" fillId="0" borderId="174" xfId="11" applyNumberFormat="1" applyFont="1" applyBorder="1" applyAlignment="1">
      <alignment horizontal="right" vertical="center"/>
    </xf>
    <xf numFmtId="49" fontId="79" fillId="0" borderId="136" xfId="97" applyNumberFormat="1" applyFont="1" applyBorder="1" applyAlignment="1">
      <alignment horizontal="center" vertical="center"/>
    </xf>
    <xf numFmtId="164" fontId="59" fillId="0" borderId="37" xfId="11" applyNumberFormat="1" applyFont="1" applyBorder="1" applyAlignment="1">
      <alignment horizontal="center" vertical="center"/>
    </xf>
    <xf numFmtId="164" fontId="54" fillId="7" borderId="128" xfId="11" applyNumberFormat="1" applyFont="1" applyFill="1" applyBorder="1" applyAlignment="1">
      <alignment horizontal="center" vertical="center"/>
    </xf>
    <xf numFmtId="3" fontId="54" fillId="7" borderId="176" xfId="11" applyNumberFormat="1" applyFont="1" applyFill="1" applyBorder="1" applyAlignment="1">
      <alignment horizontal="right" vertical="center"/>
    </xf>
    <xf numFmtId="0" fontId="78" fillId="0" borderId="0" xfId="11" applyFont="1"/>
    <xf numFmtId="164" fontId="54" fillId="6" borderId="154" xfId="11" applyNumberFormat="1" applyFont="1" applyFill="1" applyBorder="1" applyAlignment="1">
      <alignment horizontal="center" vertical="center"/>
    </xf>
    <xf numFmtId="3" fontId="54" fillId="6" borderId="174" xfId="11" applyNumberFormat="1" applyFont="1" applyFill="1" applyBorder="1" applyAlignment="1">
      <alignment horizontal="right" vertical="center"/>
    </xf>
    <xf numFmtId="10" fontId="54" fillId="6" borderId="136" xfId="11" applyNumberFormat="1" applyFont="1" applyFill="1" applyBorder="1" applyAlignment="1">
      <alignment horizontal="right" vertical="center"/>
    </xf>
    <xf numFmtId="0" fontId="57" fillId="6" borderId="170" xfId="11" applyFont="1" applyFill="1" applyBorder="1" applyAlignment="1">
      <alignment horizontal="left" vertical="top" wrapText="1"/>
    </xf>
    <xf numFmtId="164" fontId="59" fillId="0" borderId="136" xfId="11" applyNumberFormat="1" applyFont="1" applyBorder="1" applyAlignment="1">
      <alignment horizontal="center" vertical="center"/>
    </xf>
    <xf numFmtId="0" fontId="78" fillId="0" borderId="0" xfId="11" applyFont="1" applyAlignment="1">
      <alignment vertical="center"/>
    </xf>
    <xf numFmtId="3" fontId="54" fillId="6" borderId="176" xfId="11" applyNumberFormat="1" applyFont="1" applyFill="1" applyBorder="1" applyAlignment="1">
      <alignment horizontal="right" vertical="center"/>
    </xf>
    <xf numFmtId="0" fontId="57" fillId="6" borderId="129" xfId="11" applyFont="1" applyFill="1" applyBorder="1" applyAlignment="1">
      <alignment horizontal="left" vertical="top" wrapText="1"/>
    </xf>
    <xf numFmtId="164" fontId="54" fillId="0" borderId="37" xfId="11" applyNumberFormat="1" applyFont="1" applyBorder="1" applyAlignment="1">
      <alignment horizontal="center" vertical="center"/>
    </xf>
    <xf numFmtId="49" fontId="54" fillId="0" borderId="114" xfId="11" applyNumberFormat="1" applyFont="1" applyBorder="1" applyAlignment="1">
      <alignment vertical="center"/>
    </xf>
    <xf numFmtId="1" fontId="54" fillId="7" borderId="128" xfId="11" applyNumberFormat="1" applyFont="1" applyFill="1" applyBorder="1" applyAlignment="1">
      <alignment horizontal="center" vertical="center"/>
    </xf>
    <xf numFmtId="3" fontId="54" fillId="7" borderId="128" xfId="11" applyNumberFormat="1" applyFont="1" applyFill="1" applyBorder="1" applyAlignment="1">
      <alignment vertical="center"/>
    </xf>
    <xf numFmtId="164" fontId="54" fillId="7" borderId="128" xfId="54" applyNumberFormat="1" applyFont="1" applyFill="1" applyBorder="1" applyAlignment="1">
      <alignment horizontal="center" vertical="center"/>
    </xf>
    <xf numFmtId="3" fontId="54" fillId="7" borderId="176" xfId="11" applyNumberFormat="1" applyFont="1" applyFill="1" applyBorder="1" applyAlignment="1">
      <alignment vertical="center"/>
    </xf>
    <xf numFmtId="49" fontId="54" fillId="0" borderId="29" xfId="11" applyNumberFormat="1" applyFont="1" applyBorder="1" applyAlignment="1">
      <alignment vertical="center"/>
    </xf>
    <xf numFmtId="1" fontId="54" fillId="0" borderId="136" xfId="11" applyNumberFormat="1" applyFont="1" applyBorder="1" applyAlignment="1">
      <alignment horizontal="center" vertical="center"/>
    </xf>
    <xf numFmtId="164" fontId="54" fillId="0" borderId="136" xfId="54" applyNumberFormat="1" applyFont="1" applyFill="1" applyBorder="1" applyAlignment="1">
      <alignment horizontal="center" vertical="center"/>
    </xf>
    <xf numFmtId="1" fontId="59" fillId="0" borderId="136" xfId="11" applyNumberFormat="1" applyFont="1" applyBorder="1" applyAlignment="1">
      <alignment horizontal="center" vertical="center"/>
    </xf>
    <xf numFmtId="3" fontId="59" fillId="0" borderId="136" xfId="11" applyNumberFormat="1" applyFont="1" applyBorder="1" applyAlignment="1">
      <alignment vertical="center"/>
    </xf>
    <xf numFmtId="164" fontId="59" fillId="0" borderId="136" xfId="54" applyNumberFormat="1" applyFont="1" applyFill="1" applyBorder="1" applyAlignment="1">
      <alignment horizontal="center" vertical="center"/>
    </xf>
    <xf numFmtId="3" fontId="59" fillId="0" borderId="174" xfId="11" applyNumberFormat="1" applyFont="1" applyBorder="1" applyAlignment="1">
      <alignment vertical="center"/>
    </xf>
    <xf numFmtId="1" fontId="79" fillId="0" borderId="136" xfId="11" applyNumberFormat="1" applyFont="1" applyBorder="1" applyAlignment="1">
      <alignment horizontal="center" vertical="center"/>
    </xf>
    <xf numFmtId="3" fontId="79" fillId="0" borderId="136" xfId="11" applyNumberFormat="1" applyFont="1" applyBorder="1" applyAlignment="1">
      <alignment vertical="center"/>
    </xf>
    <xf numFmtId="1" fontId="59" fillId="0" borderId="136" xfId="11" applyNumberFormat="1" applyFont="1" applyBorder="1" applyAlignment="1">
      <alignment horizontal="center" vertical="center" wrapText="1"/>
    </xf>
    <xf numFmtId="3" fontId="59" fillId="0" borderId="136" xfId="11" applyNumberFormat="1" applyFont="1" applyBorder="1" applyAlignment="1">
      <alignment vertical="center" wrapText="1"/>
    </xf>
    <xf numFmtId="3" fontId="59" fillId="0" borderId="174" xfId="11" applyNumberFormat="1" applyFont="1" applyBorder="1" applyAlignment="1">
      <alignment vertical="center" wrapText="1"/>
    </xf>
    <xf numFmtId="1" fontId="79" fillId="0" borderId="136" xfId="11" applyNumberFormat="1" applyFont="1" applyBorder="1" applyAlignment="1">
      <alignment horizontal="center" vertical="center" wrapText="1"/>
    </xf>
    <xf numFmtId="3" fontId="79" fillId="0" borderId="136" xfId="11" applyNumberFormat="1" applyFont="1" applyBorder="1" applyAlignment="1">
      <alignment vertical="center" wrapText="1"/>
    </xf>
    <xf numFmtId="3" fontId="79" fillId="0" borderId="174" xfId="11" applyNumberFormat="1" applyFont="1" applyBorder="1" applyAlignment="1">
      <alignment vertical="center" wrapText="1"/>
    </xf>
    <xf numFmtId="49" fontId="54" fillId="0" borderId="36" xfId="11" applyNumberFormat="1" applyFont="1" applyBorder="1" applyAlignment="1">
      <alignment vertical="center"/>
    </xf>
    <xf numFmtId="1" fontId="79" fillId="0" borderId="160" xfId="11" applyNumberFormat="1" applyFont="1" applyBorder="1" applyAlignment="1">
      <alignment horizontal="center" vertical="center" wrapText="1"/>
    </xf>
    <xf numFmtId="3" fontId="79" fillId="0" borderId="160" xfId="11" applyNumberFormat="1" applyFont="1" applyBorder="1" applyAlignment="1">
      <alignment horizontal="right" vertical="center"/>
    </xf>
    <xf numFmtId="3" fontId="79" fillId="0" borderId="160" xfId="11" applyNumberFormat="1" applyFont="1" applyBorder="1" applyAlignment="1">
      <alignment vertical="center" wrapText="1"/>
    </xf>
    <xf numFmtId="164" fontId="59" fillId="0" borderId="160" xfId="54" applyNumberFormat="1" applyFont="1" applyFill="1" applyBorder="1" applyAlignment="1">
      <alignment horizontal="center" vertical="center"/>
    </xf>
    <xf numFmtId="3" fontId="79" fillId="0" borderId="161" xfId="11" applyNumberFormat="1" applyFont="1" applyBorder="1" applyAlignment="1">
      <alignment vertical="center" wrapText="1"/>
    </xf>
    <xf numFmtId="0" fontId="59" fillId="0" borderId="128" xfId="11" applyFont="1" applyBorder="1" applyAlignment="1">
      <alignment vertical="center"/>
    </xf>
    <xf numFmtId="1" fontId="59" fillId="0" borderId="128" xfId="11" applyNumberFormat="1" applyFont="1" applyBorder="1" applyAlignment="1">
      <alignment horizontal="center" vertical="center"/>
    </xf>
    <xf numFmtId="3" fontId="59" fillId="0" borderId="128" xfId="11" applyNumberFormat="1" applyFont="1" applyBorder="1" applyAlignment="1">
      <alignment vertical="center"/>
    </xf>
    <xf numFmtId="3" fontId="59" fillId="0" borderId="128" xfId="11" applyNumberFormat="1" applyFont="1" applyBorder="1" applyAlignment="1">
      <alignment horizontal="right" vertical="center"/>
    </xf>
    <xf numFmtId="164" fontId="59" fillId="0" borderId="128" xfId="54" applyNumberFormat="1" applyFont="1" applyFill="1" applyBorder="1" applyAlignment="1">
      <alignment horizontal="center" vertical="center"/>
    </xf>
    <xf numFmtId="3" fontId="79" fillId="0" borderId="176" xfId="11" applyNumberFormat="1" applyFont="1" applyBorder="1" applyAlignment="1">
      <alignment horizontal="right" vertical="center"/>
    </xf>
    <xf numFmtId="49" fontId="54" fillId="0" borderId="32" xfId="11" applyNumberFormat="1" applyFont="1" applyBorder="1" applyAlignment="1">
      <alignment vertical="center"/>
    </xf>
    <xf numFmtId="3" fontId="54" fillId="0" borderId="136" xfId="11" applyNumberFormat="1" applyFont="1" applyBorder="1" applyAlignment="1">
      <alignment vertical="center"/>
    </xf>
    <xf numFmtId="3" fontId="54" fillId="0" borderId="174" xfId="11" applyNumberFormat="1" applyFont="1" applyBorder="1" applyAlignment="1">
      <alignment vertical="center"/>
    </xf>
    <xf numFmtId="3" fontId="59" fillId="0" borderId="31" xfId="11" applyNumberFormat="1" applyFont="1" applyBorder="1" applyAlignment="1">
      <alignment vertical="center" wrapText="1"/>
    </xf>
    <xf numFmtId="10" fontId="59" fillId="0" borderId="31" xfId="11" applyNumberFormat="1" applyFont="1" applyBorder="1" applyAlignment="1">
      <alignment horizontal="right" vertical="center"/>
    </xf>
    <xf numFmtId="3" fontId="60" fillId="6" borderId="60" xfId="11" applyNumberFormat="1" applyFont="1" applyFill="1" applyBorder="1" applyAlignment="1">
      <alignment horizontal="right" vertical="center"/>
    </xf>
    <xf numFmtId="3" fontId="60" fillId="6" borderId="56" xfId="11" applyNumberFormat="1" applyFont="1" applyFill="1" applyBorder="1" applyAlignment="1">
      <alignment horizontal="right" vertical="center"/>
    </xf>
    <xf numFmtId="164" fontId="101" fillId="6" borderId="60" xfId="54" applyNumberFormat="1" applyFont="1" applyFill="1" applyBorder="1" applyAlignment="1">
      <alignment horizontal="center" vertical="center"/>
    </xf>
    <xf numFmtId="10" fontId="54" fillId="6" borderId="60" xfId="11" applyNumberFormat="1" applyFont="1" applyFill="1" applyBorder="1" applyAlignment="1">
      <alignment horizontal="right" vertical="center"/>
    </xf>
    <xf numFmtId="0" fontId="91" fillId="6" borderId="41" xfId="11" applyFont="1" applyFill="1" applyBorder="1" applyAlignment="1">
      <alignment horizontal="center" vertical="center"/>
    </xf>
    <xf numFmtId="0" fontId="51" fillId="0" borderId="0" xfId="11" applyFont="1" applyAlignment="1">
      <alignment horizontal="center" vertical="center"/>
    </xf>
    <xf numFmtId="0" fontId="43" fillId="0" borderId="0" xfId="11" applyFont="1" applyAlignment="1">
      <alignment horizontal="center"/>
    </xf>
    <xf numFmtId="0" fontId="50" fillId="0" borderId="0" xfId="11" applyAlignment="1">
      <alignment horizontal="center"/>
    </xf>
    <xf numFmtId="0" fontId="43" fillId="0" borderId="136" xfId="11" applyFont="1" applyBorder="1"/>
    <xf numFmtId="0" fontId="50" fillId="6" borderId="178" xfId="11" applyFill="1" applyBorder="1" applyAlignment="1">
      <alignment vertical="center"/>
    </xf>
    <xf numFmtId="0" fontId="50" fillId="6" borderId="148" xfId="11" applyFill="1" applyBorder="1" applyAlignment="1">
      <alignment vertical="center"/>
    </xf>
    <xf numFmtId="0" fontId="50" fillId="6" borderId="129" xfId="11" applyFill="1" applyBorder="1" applyAlignment="1">
      <alignment vertical="center"/>
    </xf>
    <xf numFmtId="164" fontId="48" fillId="7" borderId="154" xfId="11" applyNumberFormat="1" applyFont="1" applyFill="1" applyBorder="1" applyAlignment="1">
      <alignment horizontal="center" vertical="center"/>
    </xf>
    <xf numFmtId="164" fontId="48" fillId="0" borderId="154" xfId="11" applyNumberFormat="1" applyFont="1" applyBorder="1" applyAlignment="1">
      <alignment horizontal="center" vertical="center"/>
    </xf>
    <xf numFmtId="0" fontId="47" fillId="0" borderId="31" xfId="11" applyFont="1" applyBorder="1" applyAlignment="1">
      <alignment horizontal="left" vertical="center"/>
    </xf>
    <xf numFmtId="164" fontId="47" fillId="0" borderId="154" xfId="11" applyNumberFormat="1" applyFont="1" applyBorder="1" applyAlignment="1">
      <alignment horizontal="center" vertical="center"/>
    </xf>
    <xf numFmtId="0" fontId="47" fillId="0" borderId="31" xfId="11" applyFont="1" applyBorder="1" applyAlignment="1">
      <alignment vertical="center" wrapText="1"/>
    </xf>
    <xf numFmtId="164" fontId="54" fillId="7" borderId="136" xfId="11" applyNumberFormat="1" applyFont="1" applyFill="1" applyBorder="1" applyAlignment="1">
      <alignment horizontal="center" vertical="center"/>
    </xf>
    <xf numFmtId="3" fontId="59" fillId="0" borderId="160" xfId="11" applyNumberFormat="1" applyFont="1" applyBorder="1" applyAlignment="1">
      <alignment horizontal="center" vertical="center"/>
    </xf>
    <xf numFmtId="164" fontId="54" fillId="6" borderId="128" xfId="54" applyNumberFormat="1" applyFont="1" applyFill="1" applyBorder="1" applyAlignment="1">
      <alignment horizontal="center" vertical="center"/>
    </xf>
    <xf numFmtId="164" fontId="54" fillId="0" borderId="154" xfId="54" applyNumberFormat="1" applyFont="1" applyFill="1" applyBorder="1" applyAlignment="1">
      <alignment horizontal="center" vertical="center"/>
    </xf>
    <xf numFmtId="164" fontId="59" fillId="0" borderId="154" xfId="54" applyNumberFormat="1" applyFont="1" applyFill="1" applyBorder="1" applyAlignment="1">
      <alignment horizontal="center" vertical="center"/>
    </xf>
    <xf numFmtId="164" fontId="79" fillId="0" borderId="154" xfId="54" applyNumberFormat="1" applyFont="1" applyFill="1" applyBorder="1" applyAlignment="1">
      <alignment horizontal="center" vertical="center"/>
    </xf>
    <xf numFmtId="164" fontId="79" fillId="0" borderId="37" xfId="54" applyNumberFormat="1" applyFont="1" applyFill="1" applyBorder="1" applyAlignment="1">
      <alignment horizontal="center" vertical="center"/>
    </xf>
    <xf numFmtId="49" fontId="54" fillId="0" borderId="53" xfId="11" applyNumberFormat="1" applyFont="1" applyBorder="1" applyAlignment="1">
      <alignment vertical="center"/>
    </xf>
    <xf numFmtId="164" fontId="54" fillId="0" borderId="37" xfId="54" applyNumberFormat="1" applyFont="1" applyFill="1" applyBorder="1" applyAlignment="1">
      <alignment horizontal="center" vertical="center"/>
    </xf>
    <xf numFmtId="0" fontId="54" fillId="0" borderId="154" xfId="11" applyFont="1" applyBorder="1" applyAlignment="1">
      <alignment vertical="center"/>
    </xf>
    <xf numFmtId="0" fontId="54" fillId="0" borderId="154" xfId="11" applyFont="1" applyBorder="1" applyAlignment="1">
      <alignment horizontal="center" vertical="center"/>
    </xf>
    <xf numFmtId="0" fontId="50" fillId="0" borderId="173" xfId="11" applyBorder="1" applyAlignment="1">
      <alignment vertical="top"/>
    </xf>
    <xf numFmtId="0" fontId="50" fillId="0" borderId="148" xfId="11" applyBorder="1" applyAlignment="1">
      <alignment vertical="top"/>
    </xf>
    <xf numFmtId="164" fontId="54" fillId="7" borderId="154" xfId="54" applyNumberFormat="1" applyFont="1" applyFill="1" applyBorder="1" applyAlignment="1">
      <alignment horizontal="center" vertical="center"/>
    </xf>
    <xf numFmtId="49" fontId="54" fillId="0" borderId="147" xfId="11" applyNumberFormat="1" applyFont="1" applyBorder="1" applyAlignment="1">
      <alignment vertical="center"/>
    </xf>
    <xf numFmtId="164" fontId="60" fillId="6" borderId="60" xfId="11" applyNumberFormat="1" applyFont="1" applyFill="1" applyBorder="1" applyAlignment="1">
      <alignment horizontal="right" vertical="center"/>
    </xf>
    <xf numFmtId="0" fontId="60" fillId="6" borderId="44" xfId="11" applyFont="1" applyFill="1" applyBorder="1" applyAlignment="1">
      <alignment horizontal="center" vertical="center"/>
    </xf>
    <xf numFmtId="0" fontId="60" fillId="0" borderId="0" xfId="11" applyFont="1" applyAlignment="1">
      <alignment horizontal="center"/>
    </xf>
    <xf numFmtId="3" fontId="50" fillId="0" borderId="0" xfId="11" applyNumberFormat="1" applyAlignment="1">
      <alignment horizontal="center"/>
    </xf>
    <xf numFmtId="0" fontId="57" fillId="6" borderId="178" xfId="11" applyFont="1" applyFill="1" applyBorder="1" applyAlignment="1">
      <alignment vertical="center"/>
    </xf>
    <xf numFmtId="0" fontId="50" fillId="6" borderId="0" xfId="11" applyFill="1" applyAlignment="1">
      <alignment vertical="center"/>
    </xf>
    <xf numFmtId="0" fontId="43" fillId="6" borderId="0" xfId="11" applyFont="1" applyFill="1" applyAlignment="1">
      <alignment vertical="center"/>
    </xf>
    <xf numFmtId="10" fontId="54" fillId="7" borderId="154" xfId="11" applyNumberFormat="1" applyFont="1" applyFill="1" applyBorder="1" applyAlignment="1">
      <alignment horizontal="right" vertical="center"/>
    </xf>
    <xf numFmtId="0" fontId="43" fillId="8" borderId="0" xfId="11" applyFont="1" applyFill="1" applyAlignment="1">
      <alignment vertical="center"/>
    </xf>
    <xf numFmtId="10" fontId="54" fillId="0" borderId="154" xfId="11" applyNumberFormat="1" applyFont="1" applyBorder="1" applyAlignment="1">
      <alignment horizontal="right" vertical="center"/>
    </xf>
    <xf numFmtId="10" fontId="59" fillId="0" borderId="154" xfId="11" applyNumberFormat="1" applyFont="1" applyBorder="1" applyAlignment="1">
      <alignment horizontal="right" vertical="center"/>
    </xf>
    <xf numFmtId="164" fontId="54" fillId="6" borderId="128" xfId="11" applyNumberFormat="1" applyFont="1" applyFill="1" applyBorder="1" applyAlignment="1">
      <alignment vertical="center"/>
    </xf>
    <xf numFmtId="0" fontId="91" fillId="6" borderId="129" xfId="11" applyFont="1" applyFill="1" applyBorder="1" applyAlignment="1">
      <alignment horizontal="left" vertical="top" wrapText="1"/>
    </xf>
    <xf numFmtId="0" fontId="77" fillId="0" borderId="0" xfId="11" applyFont="1" applyAlignment="1">
      <alignment vertical="center"/>
    </xf>
    <xf numFmtId="164" fontId="54" fillId="7" borderId="136" xfId="11" applyNumberFormat="1" applyFont="1" applyFill="1" applyBorder="1" applyAlignment="1">
      <alignment vertical="center"/>
    </xf>
    <xf numFmtId="164" fontId="54" fillId="0" borderId="136" xfId="11" applyNumberFormat="1" applyFont="1" applyBorder="1" applyAlignment="1">
      <alignment vertical="center"/>
    </xf>
    <xf numFmtId="164" fontId="54" fillId="0" borderId="136" xfId="11" applyNumberFormat="1" applyFont="1" applyBorder="1" applyAlignment="1">
      <alignment horizontal="center" vertical="center"/>
    </xf>
    <xf numFmtId="164" fontId="59" fillId="0" borderId="32" xfId="11" applyNumberFormat="1" applyFont="1" applyBorder="1" applyAlignment="1">
      <alignment horizontal="center" vertical="center"/>
    </xf>
    <xf numFmtId="10" fontId="59" fillId="0" borderId="32" xfId="11" applyNumberFormat="1" applyFont="1" applyBorder="1" applyAlignment="1">
      <alignment horizontal="right" vertical="center"/>
    </xf>
    <xf numFmtId="1" fontId="59" fillId="0" borderId="160" xfId="11" applyNumberFormat="1" applyFont="1" applyBorder="1" applyAlignment="1">
      <alignment horizontal="center" vertical="center"/>
    </xf>
    <xf numFmtId="3" fontId="59" fillId="0" borderId="160" xfId="11" applyNumberFormat="1" applyFont="1" applyBorder="1" applyAlignment="1">
      <alignment vertical="center"/>
    </xf>
    <xf numFmtId="0" fontId="111" fillId="0" borderId="173" xfId="11" applyFont="1" applyBorder="1" applyAlignment="1">
      <alignment vertical="top" wrapText="1"/>
    </xf>
    <xf numFmtId="49" fontId="54" fillId="0" borderId="37" xfId="11" applyNumberFormat="1" applyFont="1" applyBorder="1" applyAlignment="1">
      <alignment vertical="center"/>
    </xf>
    <xf numFmtId="0" fontId="111" fillId="0" borderId="35" xfId="11" applyFont="1" applyBorder="1" applyAlignment="1">
      <alignment vertical="top" wrapText="1"/>
    </xf>
    <xf numFmtId="49" fontId="54" fillId="6" borderId="128" xfId="11" applyNumberFormat="1" applyFont="1" applyFill="1" applyBorder="1" applyAlignment="1">
      <alignment horizontal="center" vertical="center" wrapText="1"/>
    </xf>
    <xf numFmtId="49" fontId="54" fillId="7" borderId="154" xfId="11" applyNumberFormat="1" applyFont="1" applyFill="1" applyBorder="1" applyAlignment="1">
      <alignment horizontal="left" vertical="center"/>
    </xf>
    <xf numFmtId="49" fontId="54" fillId="7" borderId="154" xfId="11" applyNumberFormat="1" applyFont="1" applyFill="1" applyBorder="1" applyAlignment="1">
      <alignment horizontal="center" vertical="center"/>
    </xf>
    <xf numFmtId="10" fontId="54" fillId="0" borderId="32" xfId="11" applyNumberFormat="1" applyFont="1" applyBorder="1" applyAlignment="1">
      <alignment horizontal="right" vertical="center"/>
    </xf>
    <xf numFmtId="164" fontId="101" fillId="6" borderId="60" xfId="11" applyNumberFormat="1" applyFont="1" applyFill="1" applyBorder="1" applyAlignment="1">
      <alignment horizontal="center" vertical="center"/>
    </xf>
    <xf numFmtId="0" fontId="91" fillId="6" borderId="44" xfId="11" applyFont="1" applyFill="1" applyBorder="1" applyAlignment="1">
      <alignment horizontal="center" vertical="center"/>
    </xf>
    <xf numFmtId="0" fontId="52" fillId="0" borderId="0" xfId="2" applyFont="1" applyAlignment="1">
      <alignment horizontal="center" vertical="center" wrapText="1"/>
    </xf>
    <xf numFmtId="0" fontId="53" fillId="0" borderId="0" xfId="2" applyFont="1" applyAlignment="1">
      <alignment horizontal="center" vertical="center"/>
    </xf>
    <xf numFmtId="0" fontId="54" fillId="0" borderId="0" xfId="2" applyFont="1" applyAlignment="1">
      <alignment horizontal="right" vertical="center"/>
    </xf>
    <xf numFmtId="49" fontId="54" fillId="3" borderId="3" xfId="3" applyNumberFormat="1" applyFont="1" applyFill="1" applyBorder="1" applyAlignment="1">
      <alignment horizontal="center" vertical="center"/>
    </xf>
    <xf numFmtId="49" fontId="54" fillId="3" borderId="4" xfId="3" applyNumberFormat="1" applyFont="1" applyFill="1" applyBorder="1" applyAlignment="1">
      <alignment horizontal="center" vertical="center"/>
    </xf>
    <xf numFmtId="49" fontId="54" fillId="3" borderId="4" xfId="3" applyNumberFormat="1" applyFont="1" applyFill="1" applyBorder="1" applyAlignment="1">
      <alignment vertical="center"/>
    </xf>
    <xf numFmtId="3" fontId="54" fillId="3" borderId="4" xfId="3" applyNumberFormat="1" applyFont="1" applyFill="1" applyBorder="1" applyAlignment="1">
      <alignment horizontal="right" vertical="center"/>
    </xf>
    <xf numFmtId="164" fontId="54" fillId="3" borderId="4" xfId="3" applyNumberFormat="1" applyFont="1" applyFill="1" applyBorder="1" applyAlignment="1">
      <alignment horizontal="right" vertical="center"/>
    </xf>
    <xf numFmtId="10" fontId="54" fillId="3" borderId="179" xfId="3" applyNumberFormat="1" applyFont="1" applyFill="1" applyBorder="1" applyAlignment="1">
      <alignment horizontal="right" vertical="center"/>
    </xf>
    <xf numFmtId="0" fontId="50" fillId="3" borderId="180" xfId="3" applyFont="1" applyFill="1" applyBorder="1"/>
    <xf numFmtId="49" fontId="54" fillId="4" borderId="8" xfId="3" applyNumberFormat="1" applyFont="1" applyFill="1" applyBorder="1" applyAlignment="1">
      <alignment vertical="center"/>
    </xf>
    <xf numFmtId="49" fontId="54" fillId="4" borderId="8" xfId="3" applyNumberFormat="1" applyFont="1" applyFill="1" applyBorder="1" applyAlignment="1">
      <alignment horizontal="center" vertical="center"/>
    </xf>
    <xf numFmtId="3" fontId="54" fillId="4" borderId="8" xfId="3" applyNumberFormat="1" applyFont="1" applyFill="1" applyBorder="1" applyAlignment="1">
      <alignment horizontal="right" vertical="center"/>
    </xf>
    <xf numFmtId="164" fontId="54" fillId="4" borderId="4" xfId="3" applyNumberFormat="1" applyFont="1" applyFill="1" applyBorder="1" applyAlignment="1">
      <alignment horizontal="right" vertical="center"/>
    </xf>
    <xf numFmtId="10" fontId="54" fillId="16" borderId="179" xfId="3" applyNumberFormat="1" applyFont="1" applyFill="1" applyBorder="1" applyAlignment="1">
      <alignment horizontal="right" vertical="center"/>
    </xf>
    <xf numFmtId="49" fontId="54" fillId="0" borderId="8" xfId="3" applyNumberFormat="1" applyFont="1" applyBorder="1" applyAlignment="1">
      <alignment horizontal="left" vertical="center"/>
    </xf>
    <xf numFmtId="49" fontId="54" fillId="0" borderId="8" xfId="3" applyNumberFormat="1" applyFont="1" applyBorder="1" applyAlignment="1">
      <alignment horizontal="center" vertical="center"/>
    </xf>
    <xf numFmtId="3" fontId="54" fillId="0" borderId="8" xfId="3" applyNumberFormat="1" applyFont="1" applyBorder="1" applyAlignment="1">
      <alignment horizontal="right" vertical="center"/>
    </xf>
    <xf numFmtId="164" fontId="54" fillId="0" borderId="4" xfId="3" applyNumberFormat="1" applyFont="1" applyBorder="1" applyAlignment="1">
      <alignment horizontal="right" vertical="center"/>
    </xf>
    <xf numFmtId="10" fontId="54" fillId="0" borderId="179" xfId="3" applyNumberFormat="1" applyFont="1" applyBorder="1" applyAlignment="1">
      <alignment horizontal="right" vertical="center"/>
    </xf>
    <xf numFmtId="0" fontId="59" fillId="0" borderId="8" xfId="3" applyFont="1" applyBorder="1"/>
    <xf numFmtId="0" fontId="59" fillId="0" borderId="8" xfId="3" applyFont="1" applyBorder="1" applyAlignment="1">
      <alignment horizontal="center" vertical="center"/>
    </xf>
    <xf numFmtId="3" fontId="59" fillId="0" borderId="8" xfId="3" applyNumberFormat="1" applyFont="1" applyBorder="1" applyAlignment="1">
      <alignment horizontal="right" vertical="center"/>
    </xf>
    <xf numFmtId="0" fontId="59" fillId="0" borderId="8" xfId="3" applyFont="1" applyBorder="1" applyAlignment="1">
      <alignment horizontal="left" vertical="center" wrapText="1"/>
    </xf>
    <xf numFmtId="164" fontId="59" fillId="0" borderId="4" xfId="3" applyNumberFormat="1" applyFont="1" applyBorder="1" applyAlignment="1">
      <alignment horizontal="right" vertical="center"/>
    </xf>
    <xf numFmtId="10" fontId="59" fillId="0" borderId="179" xfId="3" applyNumberFormat="1" applyFont="1" applyBorder="1" applyAlignment="1">
      <alignment horizontal="right" vertical="center"/>
    </xf>
    <xf numFmtId="0" fontId="59" fillId="0" borderId="8" xfId="3" applyFont="1" applyBorder="1" applyAlignment="1">
      <alignment horizontal="center" vertical="center" wrapText="1"/>
    </xf>
    <xf numFmtId="0" fontId="54" fillId="0" borderId="8" xfId="3" applyFont="1" applyBorder="1"/>
    <xf numFmtId="0" fontId="54" fillId="0" borderId="8" xfId="3" applyFont="1" applyBorder="1" applyAlignment="1">
      <alignment horizontal="center" vertical="center"/>
    </xf>
    <xf numFmtId="0" fontId="59" fillId="0" borderId="10" xfId="3" applyFont="1" applyBorder="1" applyAlignment="1">
      <alignment horizontal="left" vertical="center"/>
    </xf>
    <xf numFmtId="0" fontId="59" fillId="0" borderId="10" xfId="3" applyFont="1" applyBorder="1" applyAlignment="1">
      <alignment horizontal="left" vertical="center" wrapText="1"/>
    </xf>
    <xf numFmtId="0" fontId="59" fillId="0" borderId="10" xfId="3" applyFont="1" applyBorder="1"/>
    <xf numFmtId="0" fontId="59" fillId="0" borderId="10" xfId="3" applyFont="1" applyBorder="1" applyAlignment="1">
      <alignment horizontal="center" vertical="center"/>
    </xf>
    <xf numFmtId="3" fontId="54" fillId="0" borderId="10" xfId="3" applyNumberFormat="1" applyFont="1" applyBorder="1" applyAlignment="1">
      <alignment horizontal="right" vertical="center"/>
    </xf>
    <xf numFmtId="164" fontId="59" fillId="0" borderId="11" xfId="3" applyNumberFormat="1" applyFont="1" applyBorder="1" applyAlignment="1">
      <alignment horizontal="right" vertical="center"/>
    </xf>
    <xf numFmtId="3" fontId="59" fillId="0" borderId="10" xfId="3" applyNumberFormat="1" applyFont="1" applyBorder="1" applyAlignment="1">
      <alignment horizontal="right" vertical="center"/>
    </xf>
    <xf numFmtId="10" fontId="54" fillId="0" borderId="182" xfId="3" applyNumberFormat="1" applyFont="1" applyBorder="1" applyAlignment="1">
      <alignment horizontal="right" vertical="center"/>
    </xf>
    <xf numFmtId="0" fontId="60" fillId="3" borderId="186" xfId="3" applyFont="1" applyFill="1" applyBorder="1" applyAlignment="1">
      <alignment horizontal="center" vertical="center"/>
    </xf>
    <xf numFmtId="3" fontId="60" fillId="3" borderId="187" xfId="3" applyNumberFormat="1" applyFont="1" applyFill="1" applyBorder="1" applyAlignment="1">
      <alignment horizontal="right" vertical="center"/>
    </xf>
    <xf numFmtId="164" fontId="60" fillId="3" borderId="187" xfId="3" applyNumberFormat="1" applyFont="1" applyFill="1" applyBorder="1" applyAlignment="1">
      <alignment horizontal="right" vertical="center"/>
    </xf>
    <xf numFmtId="10" fontId="54" fillId="3" borderId="188" xfId="3" applyNumberFormat="1" applyFont="1" applyFill="1" applyBorder="1" applyAlignment="1">
      <alignment horizontal="right" vertical="center"/>
    </xf>
    <xf numFmtId="0" fontId="60" fillId="3" borderId="44" xfId="3" applyFont="1" applyFill="1" applyBorder="1" applyAlignment="1">
      <alignment horizontal="center" vertical="center"/>
    </xf>
    <xf numFmtId="0" fontId="77" fillId="0" borderId="0" xfId="3" applyFont="1" applyAlignment="1">
      <alignment horizontal="center"/>
    </xf>
    <xf numFmtId="0" fontId="50" fillId="0" borderId="0" xfId="3" applyFont="1" applyAlignment="1">
      <alignment horizontal="center" vertical="center"/>
    </xf>
    <xf numFmtId="49" fontId="54" fillId="3" borderId="63" xfId="3" applyNumberFormat="1" applyFont="1" applyFill="1" applyBorder="1" applyAlignment="1">
      <alignment horizontal="center" vertical="center"/>
    </xf>
    <xf numFmtId="0" fontId="50" fillId="3" borderId="64" xfId="3" applyFont="1" applyFill="1" applyBorder="1"/>
    <xf numFmtId="3" fontId="54" fillId="17" borderId="8" xfId="3" applyNumberFormat="1" applyFont="1" applyFill="1" applyBorder="1" applyAlignment="1">
      <alignment horizontal="right" vertical="center"/>
    </xf>
    <xf numFmtId="164" fontId="54" fillId="18" borderId="4" xfId="3" applyNumberFormat="1" applyFont="1" applyFill="1" applyBorder="1" applyAlignment="1">
      <alignment horizontal="right" vertical="center"/>
    </xf>
    <xf numFmtId="0" fontId="43" fillId="0" borderId="0" xfId="3" applyFont="1" applyBorder="1"/>
    <xf numFmtId="3" fontId="47" fillId="0" borderId="0" xfId="3" applyNumberFormat="1" applyFont="1" applyBorder="1" applyAlignment="1">
      <alignment horizontal="right" vertical="center"/>
    </xf>
    <xf numFmtId="3" fontId="43" fillId="0" borderId="0" xfId="3" applyNumberFormat="1" applyFont="1" applyBorder="1"/>
    <xf numFmtId="0" fontId="43" fillId="2" borderId="0" xfId="3" applyFont="1" applyFill="1" applyBorder="1"/>
    <xf numFmtId="164" fontId="54" fillId="0" borderId="11" xfId="3" applyNumberFormat="1" applyFont="1" applyBorder="1" applyAlignment="1">
      <alignment horizontal="right" vertical="center"/>
    </xf>
    <xf numFmtId="164" fontId="54" fillId="3" borderId="187" xfId="3" applyNumberFormat="1" applyFont="1" applyFill="1" applyBorder="1" applyAlignment="1">
      <alignment horizontal="right" vertical="center"/>
    </xf>
    <xf numFmtId="0" fontId="60" fillId="3" borderId="189" xfId="3" applyFont="1" applyFill="1" applyBorder="1" applyAlignment="1">
      <alignment horizontal="center" vertical="center"/>
    </xf>
    <xf numFmtId="0" fontId="85" fillId="0" borderId="175" xfId="11" applyFont="1" applyBorder="1" applyAlignment="1">
      <alignment vertical="center"/>
    </xf>
    <xf numFmtId="3" fontId="110" fillId="0" borderId="175" xfId="11" applyNumberFormat="1" applyFont="1" applyBorder="1" applyAlignment="1">
      <alignment horizontal="center" vertical="center"/>
    </xf>
    <xf numFmtId="3" fontId="90" fillId="0" borderId="175" xfId="11" applyNumberFormat="1" applyFont="1" applyBorder="1" applyAlignment="1">
      <alignment vertical="center"/>
    </xf>
    <xf numFmtId="3" fontId="117" fillId="0" borderId="175" xfId="11" applyNumberFormat="1" applyFont="1" applyBorder="1" applyAlignment="1">
      <alignment vertical="center"/>
    </xf>
    <xf numFmtId="164" fontId="59" fillId="0" borderId="175" xfId="62" applyNumberFormat="1" applyFont="1" applyFill="1" applyBorder="1" applyAlignment="1">
      <alignment horizontal="center" vertical="center"/>
    </xf>
    <xf numFmtId="3" fontId="91" fillId="0" borderId="175" xfId="11" applyNumberFormat="1" applyFont="1" applyBorder="1" applyAlignment="1">
      <alignment vertical="center"/>
    </xf>
    <xf numFmtId="164" fontId="91" fillId="0" borderId="175" xfId="11" applyNumberFormat="1" applyFont="1" applyBorder="1" applyAlignment="1">
      <alignment vertical="center"/>
    </xf>
    <xf numFmtId="0" fontId="85" fillId="0" borderId="175" xfId="11" applyFont="1" applyBorder="1" applyAlignment="1">
      <alignment horizontal="center" vertical="center"/>
    </xf>
    <xf numFmtId="164" fontId="79" fillId="0" borderId="136" xfId="54" applyNumberFormat="1" applyFont="1" applyFill="1" applyBorder="1" applyAlignment="1">
      <alignment horizontal="center" vertical="center"/>
    </xf>
    <xf numFmtId="164" fontId="131" fillId="0" borderId="154" xfId="11" applyNumberFormat="1" applyFont="1" applyBorder="1" applyAlignment="1">
      <alignment horizontal="center" vertical="center"/>
    </xf>
    <xf numFmtId="10" fontId="54" fillId="6" borderId="175" xfId="11" applyNumberFormat="1" applyFont="1" applyFill="1" applyBorder="1" applyAlignment="1">
      <alignment horizontal="right" vertical="center"/>
    </xf>
    <xf numFmtId="49" fontId="54" fillId="7" borderId="175" xfId="11" applyNumberFormat="1" applyFont="1" applyFill="1" applyBorder="1" applyAlignment="1">
      <alignment horizontal="left" vertical="center"/>
    </xf>
    <xf numFmtId="49" fontId="54" fillId="7" borderId="175" xfId="11" applyNumberFormat="1" applyFont="1" applyFill="1" applyBorder="1" applyAlignment="1">
      <alignment horizontal="center" vertical="center"/>
    </xf>
    <xf numFmtId="3" fontId="54" fillId="7" borderId="175" xfId="11" applyNumberFormat="1" applyFont="1" applyFill="1" applyBorder="1" applyAlignment="1">
      <alignment horizontal="right" vertical="center"/>
    </xf>
    <xf numFmtId="10" fontId="54" fillId="7" borderId="175" xfId="11" applyNumberFormat="1" applyFont="1" applyFill="1" applyBorder="1" applyAlignment="1">
      <alignment horizontal="right" vertical="center"/>
    </xf>
    <xf numFmtId="49" fontId="54" fillId="0" borderId="175" xfId="11" applyNumberFormat="1" applyFont="1" applyBorder="1" applyAlignment="1">
      <alignment horizontal="center" vertical="center"/>
    </xf>
    <xf numFmtId="10" fontId="54" fillId="0" borderId="175" xfId="11" applyNumberFormat="1" applyFont="1" applyBorder="1" applyAlignment="1">
      <alignment horizontal="right" vertical="center"/>
    </xf>
    <xf numFmtId="0" fontId="59" fillId="0" borderId="175" xfId="11" applyFont="1" applyBorder="1" applyAlignment="1">
      <alignment horizontal="center" vertical="center"/>
    </xf>
    <xf numFmtId="10" fontId="59" fillId="0" borderId="175" xfId="11" applyNumberFormat="1" applyFont="1" applyBorder="1" applyAlignment="1">
      <alignment horizontal="right" vertical="center"/>
    </xf>
    <xf numFmtId="0" fontId="59" fillId="0" borderId="175" xfId="11" applyFont="1" applyBorder="1" applyAlignment="1">
      <alignment horizontal="center" vertical="center" wrapText="1"/>
    </xf>
    <xf numFmtId="0" fontId="79" fillId="0" borderId="175" xfId="11" applyFont="1" applyBorder="1" applyAlignment="1">
      <alignment horizontal="center" vertical="center"/>
    </xf>
    <xf numFmtId="3" fontId="79" fillId="0" borderId="175" xfId="11" applyNumberFormat="1" applyFont="1" applyBorder="1" applyAlignment="1">
      <alignment horizontal="right" vertical="center"/>
    </xf>
    <xf numFmtId="0" fontId="54" fillId="0" borderId="175" xfId="11" applyFont="1" applyBorder="1" applyAlignment="1">
      <alignment horizontal="center" vertical="center"/>
    </xf>
    <xf numFmtId="49" fontId="54" fillId="6" borderId="175" xfId="11" applyNumberFormat="1" applyFont="1" applyFill="1" applyBorder="1" applyAlignment="1">
      <alignment vertical="center"/>
    </xf>
    <xf numFmtId="10" fontId="59" fillId="6" borderId="175" xfId="11" applyNumberFormat="1" applyFont="1" applyFill="1" applyBorder="1" applyAlignment="1">
      <alignment horizontal="right" vertical="center"/>
    </xf>
    <xf numFmtId="10" fontId="59" fillId="7" borderId="175" xfId="11" applyNumberFormat="1" applyFont="1" applyFill="1" applyBorder="1" applyAlignment="1">
      <alignment horizontal="right" vertical="center"/>
    </xf>
    <xf numFmtId="49" fontId="48" fillId="7" borderId="175" xfId="11" applyNumberFormat="1" applyFont="1" applyFill="1" applyBorder="1" applyAlignment="1">
      <alignment horizontal="left" vertical="center"/>
    </xf>
    <xf numFmtId="49" fontId="48" fillId="7" borderId="175" xfId="11" applyNumberFormat="1" applyFont="1" applyFill="1" applyBorder="1" applyAlignment="1">
      <alignment horizontal="center" vertical="center"/>
    </xf>
    <xf numFmtId="3" fontId="48" fillId="7" borderId="175" xfId="11" applyNumberFormat="1" applyFont="1" applyFill="1" applyBorder="1" applyAlignment="1">
      <alignment horizontal="right" vertical="center"/>
    </xf>
    <xf numFmtId="3" fontId="48" fillId="7" borderId="58" xfId="11" applyNumberFormat="1" applyFont="1" applyFill="1" applyBorder="1" applyAlignment="1">
      <alignment horizontal="right" vertical="center"/>
    </xf>
    <xf numFmtId="10" fontId="47" fillId="6" borderId="175" xfId="11" applyNumberFormat="1" applyFont="1" applyFill="1" applyBorder="1" applyAlignment="1">
      <alignment horizontal="right" vertical="center"/>
    </xf>
    <xf numFmtId="49" fontId="48" fillId="0" borderId="175" xfId="11" applyNumberFormat="1" applyFont="1" applyBorder="1" applyAlignment="1">
      <alignment horizontal="left" vertical="center"/>
    </xf>
    <xf numFmtId="49" fontId="48" fillId="0" borderId="175" xfId="11" applyNumberFormat="1" applyFont="1" applyBorder="1" applyAlignment="1">
      <alignment horizontal="center" vertical="center"/>
    </xf>
    <xf numFmtId="3" fontId="48" fillId="0" borderId="175" xfId="11" applyNumberFormat="1" applyFont="1" applyBorder="1" applyAlignment="1">
      <alignment horizontal="right" vertical="center"/>
    </xf>
    <xf numFmtId="3" fontId="48" fillId="0" borderId="58" xfId="11" applyNumberFormat="1" applyFont="1" applyBorder="1" applyAlignment="1">
      <alignment horizontal="right" vertical="center"/>
    </xf>
    <xf numFmtId="0" fontId="47" fillId="0" borderId="175" xfId="11" applyFont="1" applyBorder="1" applyAlignment="1">
      <alignment vertical="center"/>
    </xf>
    <xf numFmtId="0" fontId="47" fillId="0" borderId="175" xfId="11" applyFont="1" applyBorder="1" applyAlignment="1">
      <alignment horizontal="center" vertical="center"/>
    </xf>
    <xf numFmtId="3" fontId="47" fillId="0" borderId="175" xfId="11" applyNumberFormat="1" applyFont="1" applyBorder="1" applyAlignment="1">
      <alignment horizontal="right" vertical="center"/>
    </xf>
    <xf numFmtId="3" fontId="47" fillId="0" borderId="58" xfId="11" applyNumberFormat="1" applyFont="1" applyBorder="1" applyAlignment="1">
      <alignment horizontal="right" vertical="center"/>
    </xf>
    <xf numFmtId="0" fontId="47" fillId="0" borderId="175" xfId="11" applyFont="1" applyBorder="1" applyAlignment="1">
      <alignment vertical="center" wrapText="1"/>
    </xf>
    <xf numFmtId="0" fontId="47" fillId="0" borderId="175" xfId="11" applyFont="1" applyBorder="1" applyAlignment="1">
      <alignment horizontal="center" vertical="center" wrapText="1"/>
    </xf>
    <xf numFmtId="0" fontId="48" fillId="0" borderId="175" xfId="11" applyFont="1" applyBorder="1" applyAlignment="1">
      <alignment vertical="center"/>
    </xf>
    <xf numFmtId="0" fontId="48" fillId="0" borderId="175" xfId="11" applyFont="1" applyBorder="1" applyAlignment="1">
      <alignment horizontal="center" vertical="center"/>
    </xf>
    <xf numFmtId="164" fontId="54" fillId="7" borderId="175" xfId="11" applyNumberFormat="1" applyFont="1" applyFill="1" applyBorder="1" applyAlignment="1">
      <alignment horizontal="center" vertical="center"/>
    </xf>
    <xf numFmtId="164" fontId="59" fillId="0" borderId="175" xfId="54" applyNumberFormat="1" applyFont="1" applyFill="1" applyBorder="1" applyAlignment="1">
      <alignment horizontal="center" vertical="center"/>
    </xf>
    <xf numFmtId="3" fontId="59" fillId="0" borderId="175" xfId="11" applyNumberFormat="1" applyFont="1" applyBorder="1" applyAlignment="1">
      <alignment horizontal="center" vertical="center"/>
    </xf>
    <xf numFmtId="3" fontId="79" fillId="0" borderId="175" xfId="11" applyNumberFormat="1" applyFont="1" applyBorder="1" applyAlignment="1">
      <alignment vertical="center"/>
    </xf>
    <xf numFmtId="3" fontId="79" fillId="0" borderId="0" xfId="11" applyNumberFormat="1" applyFont="1" applyAlignment="1">
      <alignment vertical="center"/>
    </xf>
    <xf numFmtId="3" fontId="59" fillId="0" borderId="175" xfId="11" applyNumberFormat="1" applyFont="1" applyBorder="1" applyAlignment="1">
      <alignment horizontal="center" vertical="center" wrapText="1"/>
    </xf>
    <xf numFmtId="164" fontId="54" fillId="7" borderId="175" xfId="54" applyNumberFormat="1" applyFont="1" applyFill="1" applyBorder="1" applyAlignment="1">
      <alignment horizontal="center" vertical="center"/>
    </xf>
    <xf numFmtId="164" fontId="54" fillId="0" borderId="175" xfId="54" applyNumberFormat="1" applyFont="1" applyFill="1" applyBorder="1" applyAlignment="1">
      <alignment horizontal="center" vertical="center"/>
    </xf>
    <xf numFmtId="0" fontId="79" fillId="0" borderId="175" xfId="11" applyFont="1" applyBorder="1" applyAlignment="1">
      <alignment horizontal="center" vertical="center" wrapText="1"/>
    </xf>
    <xf numFmtId="164" fontId="79" fillId="0" borderId="175" xfId="54" applyNumberFormat="1" applyFont="1" applyFill="1" applyBorder="1" applyAlignment="1">
      <alignment horizontal="center" vertical="center"/>
    </xf>
    <xf numFmtId="49" fontId="48" fillId="6" borderId="165" xfId="11" applyNumberFormat="1" applyFont="1" applyFill="1" applyBorder="1" applyAlignment="1">
      <alignment horizontal="center" vertical="center"/>
    </xf>
    <xf numFmtId="49" fontId="48" fillId="6" borderId="175" xfId="11" applyNumberFormat="1" applyFont="1" applyFill="1" applyBorder="1" applyAlignment="1">
      <alignment horizontal="center" vertical="center"/>
    </xf>
    <xf numFmtId="49" fontId="48" fillId="6" borderId="175" xfId="11" applyNumberFormat="1" applyFont="1" applyFill="1" applyBorder="1" applyAlignment="1">
      <alignment vertical="center"/>
    </xf>
    <xf numFmtId="3" fontId="48" fillId="6" borderId="175" xfId="11" applyNumberFormat="1" applyFont="1" applyFill="1" applyBorder="1" applyAlignment="1">
      <alignment horizontal="right" vertical="center"/>
    </xf>
    <xf numFmtId="3" fontId="48" fillId="6" borderId="58" xfId="11" applyNumberFormat="1" applyFont="1" applyFill="1" applyBorder="1" applyAlignment="1">
      <alignment horizontal="right" vertical="center"/>
    </xf>
    <xf numFmtId="0" fontId="43" fillId="6" borderId="170" xfId="11" applyFont="1" applyFill="1" applyBorder="1" applyAlignment="1">
      <alignment vertical="center"/>
    </xf>
    <xf numFmtId="164" fontId="47" fillId="0" borderId="175" xfId="11" applyNumberFormat="1" applyFont="1" applyBorder="1" applyAlignment="1">
      <alignment horizontal="center" vertical="center"/>
    </xf>
    <xf numFmtId="49" fontId="54" fillId="6" borderId="175" xfId="11" applyNumberFormat="1" applyFont="1" applyFill="1" applyBorder="1" applyAlignment="1">
      <alignment horizontal="center" vertical="center"/>
    </xf>
    <xf numFmtId="3" fontId="54" fillId="6" borderId="175" xfId="11" applyNumberFormat="1" applyFont="1" applyFill="1" applyBorder="1" applyAlignment="1">
      <alignment horizontal="right" vertical="center"/>
    </xf>
    <xf numFmtId="0" fontId="50" fillId="6" borderId="170" xfId="11" applyFill="1" applyBorder="1" applyAlignment="1">
      <alignment vertical="center"/>
    </xf>
    <xf numFmtId="164" fontId="59" fillId="0" borderId="175" xfId="11" applyNumberFormat="1" applyFont="1" applyBorder="1" applyAlignment="1">
      <alignment horizontal="center" vertical="center"/>
    </xf>
    <xf numFmtId="0" fontId="54" fillId="0" borderId="108" xfId="91" applyFont="1" applyBorder="1" applyAlignment="1">
      <alignment horizontal="right" vertical="center"/>
    </xf>
    <xf numFmtId="0" fontId="54" fillId="0" borderId="0" xfId="61" applyFont="1" applyAlignment="1">
      <alignment horizontal="right" vertical="center"/>
    </xf>
    <xf numFmtId="0" fontId="79" fillId="0" borderId="31" xfId="11" applyFont="1" applyBorder="1" applyAlignment="1">
      <alignment horizontal="center" vertical="center"/>
    </xf>
    <xf numFmtId="3" fontId="79" fillId="0" borderId="31" xfId="11" applyNumberFormat="1" applyFont="1" applyBorder="1" applyAlignment="1">
      <alignment horizontal="right" vertical="center"/>
    </xf>
    <xf numFmtId="164" fontId="79" fillId="0" borderId="32" xfId="11" applyNumberFormat="1" applyFont="1" applyBorder="1" applyAlignment="1">
      <alignment horizontal="center" vertical="center"/>
    </xf>
    <xf numFmtId="164" fontId="79" fillId="0" borderId="175" xfId="11" applyNumberFormat="1" applyFont="1" applyBorder="1" applyAlignment="1">
      <alignment horizontal="center" vertical="center"/>
    </xf>
    <xf numFmtId="0" fontId="34" fillId="0" borderId="0" xfId="2" applyFont="1" applyAlignment="1">
      <alignment horizontal="right" vertical="center"/>
    </xf>
    <xf numFmtId="0" fontId="111" fillId="6" borderId="148" xfId="53" applyFont="1" applyFill="1" applyBorder="1" applyAlignment="1">
      <alignment horizontal="left" vertical="center" wrapText="1"/>
    </xf>
    <xf numFmtId="0" fontId="54" fillId="15" borderId="175" xfId="11" applyFont="1" applyFill="1" applyBorder="1" applyAlignment="1">
      <alignment vertical="center" wrapText="1"/>
    </xf>
    <xf numFmtId="0" fontId="85" fillId="15" borderId="175" xfId="11" applyFont="1" applyFill="1" applyBorder="1" applyAlignment="1">
      <alignment horizontal="center" vertical="center" wrapText="1"/>
    </xf>
    <xf numFmtId="3" fontId="54" fillId="15" borderId="175" xfId="53" applyNumberFormat="1" applyFont="1" applyFill="1" applyBorder="1" applyAlignment="1">
      <alignment horizontal="right" vertical="center"/>
    </xf>
    <xf numFmtId="164" fontId="54" fillId="15" borderId="175" xfId="53" applyNumberFormat="1" applyFont="1" applyFill="1" applyBorder="1" applyAlignment="1">
      <alignment horizontal="right" vertical="center"/>
    </xf>
    <xf numFmtId="3" fontId="85" fillId="15" borderId="175" xfId="53" applyNumberFormat="1" applyFont="1" applyFill="1" applyBorder="1" applyAlignment="1">
      <alignment horizontal="right" vertical="center"/>
    </xf>
    <xf numFmtId="164" fontId="85" fillId="15" borderId="175" xfId="53" applyNumberFormat="1" applyFont="1" applyFill="1" applyBorder="1" applyAlignment="1">
      <alignment horizontal="right" vertical="center"/>
    </xf>
    <xf numFmtId="49" fontId="85" fillId="0" borderId="175" xfId="11" applyNumberFormat="1" applyFont="1" applyBorder="1" applyAlignment="1">
      <alignment horizontal="center" vertical="center"/>
    </xf>
    <xf numFmtId="3" fontId="54" fillId="0" borderId="175" xfId="53" applyNumberFormat="1" applyFont="1" applyBorder="1" applyAlignment="1">
      <alignment horizontal="right" vertical="center"/>
    </xf>
    <xf numFmtId="164" fontId="54" fillId="0" borderId="175" xfId="53" applyNumberFormat="1" applyFont="1" applyBorder="1" applyAlignment="1">
      <alignment horizontal="right" vertical="center"/>
    </xf>
    <xf numFmtId="3" fontId="85" fillId="0" borderId="175" xfId="53" applyNumberFormat="1" applyFont="1" applyBorder="1" applyAlignment="1">
      <alignment horizontal="right" vertical="center"/>
    </xf>
    <xf numFmtId="164" fontId="85" fillId="0" borderId="175" xfId="53" applyNumberFormat="1" applyFont="1" applyBorder="1" applyAlignment="1">
      <alignment horizontal="right" vertical="center"/>
    </xf>
    <xf numFmtId="0" fontId="88" fillId="0" borderId="175" xfId="11" applyFont="1" applyBorder="1" applyAlignment="1">
      <alignment horizontal="center" vertical="center"/>
    </xf>
    <xf numFmtId="3" fontId="59" fillId="0" borderId="175" xfId="53" applyNumberFormat="1" applyFont="1" applyBorder="1" applyAlignment="1">
      <alignment horizontal="right" vertical="center"/>
    </xf>
    <xf numFmtId="3" fontId="88" fillId="0" borderId="175" xfId="53" applyNumberFormat="1" applyFont="1" applyBorder="1" applyAlignment="1">
      <alignment horizontal="right" vertical="center"/>
    </xf>
    <xf numFmtId="164" fontId="88" fillId="0" borderId="175" xfId="53" applyNumberFormat="1" applyFont="1" applyBorder="1" applyAlignment="1">
      <alignment horizontal="right" vertical="center"/>
    </xf>
    <xf numFmtId="0" fontId="59" fillId="0" borderId="175" xfId="11" applyFont="1" applyBorder="1" applyAlignment="1">
      <alignment horizontal="left" vertical="center" wrapText="1"/>
    </xf>
    <xf numFmtId="0" fontId="88" fillId="0" borderId="175" xfId="11" applyFont="1" applyBorder="1" applyAlignment="1">
      <alignment horizontal="center" vertical="center" wrapText="1"/>
    </xf>
    <xf numFmtId="164" fontId="59" fillId="0" borderId="175" xfId="53" applyNumberFormat="1" applyFont="1" applyBorder="1" applyAlignment="1">
      <alignment horizontal="right" vertical="center"/>
    </xf>
    <xf numFmtId="0" fontId="107" fillId="0" borderId="175" xfId="11" applyFont="1" applyBorder="1" applyAlignment="1">
      <alignment horizontal="center" vertical="center" wrapText="1"/>
    </xf>
    <xf numFmtId="0" fontId="107" fillId="0" borderId="175" xfId="11" applyFont="1" applyBorder="1" applyAlignment="1">
      <alignment horizontal="center" vertical="center"/>
    </xf>
    <xf numFmtId="3" fontId="79" fillId="0" borderId="175" xfId="53" applyNumberFormat="1" applyFont="1" applyBorder="1" applyAlignment="1">
      <alignment horizontal="right" vertical="center"/>
    </xf>
    <xf numFmtId="164" fontId="131" fillId="0" borderId="175" xfId="54" applyNumberFormat="1" applyFont="1" applyFill="1" applyBorder="1" applyAlignment="1">
      <alignment horizontal="center" vertical="center"/>
    </xf>
    <xf numFmtId="3" fontId="107" fillId="0" borderId="175" xfId="53" applyNumberFormat="1" applyFont="1" applyBorder="1" applyAlignment="1">
      <alignment horizontal="right" vertical="center"/>
    </xf>
    <xf numFmtId="0" fontId="85" fillId="6" borderId="175" xfId="11" applyFont="1" applyFill="1" applyBorder="1" applyAlignment="1">
      <alignment horizontal="center" vertical="center"/>
    </xf>
    <xf numFmtId="3" fontId="54" fillId="6" borderId="175" xfId="53" applyNumberFormat="1" applyFont="1" applyFill="1" applyBorder="1" applyAlignment="1">
      <alignment horizontal="right" vertical="center"/>
    </xf>
    <xf numFmtId="164" fontId="54" fillId="6" borderId="175" xfId="53" applyNumberFormat="1" applyFont="1" applyFill="1" applyBorder="1" applyAlignment="1">
      <alignment horizontal="right" vertical="center"/>
    </xf>
    <xf numFmtId="3" fontId="85" fillId="6" borderId="175" xfId="53" applyNumberFormat="1" applyFont="1" applyFill="1" applyBorder="1" applyAlignment="1">
      <alignment horizontal="right" vertical="center"/>
    </xf>
    <xf numFmtId="164" fontId="85" fillId="6" borderId="175" xfId="53" applyNumberFormat="1" applyFont="1" applyFill="1" applyBorder="1" applyAlignment="1">
      <alignment horizontal="right" vertical="center"/>
    </xf>
    <xf numFmtId="164" fontId="107" fillId="0" borderId="175" xfId="53" applyNumberFormat="1" applyFont="1" applyBorder="1" applyAlignment="1">
      <alignment horizontal="right" vertical="center"/>
    </xf>
    <xf numFmtId="0" fontId="54" fillId="6" borderId="175" xfId="11" applyFont="1" applyFill="1" applyBorder="1" applyAlignment="1">
      <alignment vertical="center" wrapText="1"/>
    </xf>
    <xf numFmtId="0" fontId="88" fillId="6" borderId="175" xfId="11" applyFont="1" applyFill="1" applyBorder="1" applyAlignment="1">
      <alignment horizontal="center" vertical="center"/>
    </xf>
    <xf numFmtId="0" fontId="50" fillId="6" borderId="170" xfId="11" applyFill="1" applyBorder="1" applyAlignment="1">
      <alignment vertical="top"/>
    </xf>
    <xf numFmtId="0" fontId="85" fillId="15" borderId="175" xfId="11" applyFont="1" applyFill="1" applyBorder="1" applyAlignment="1">
      <alignment vertical="center"/>
    </xf>
    <xf numFmtId="3" fontId="90" fillId="15" borderId="175" xfId="11" applyNumberFormat="1" applyFont="1" applyFill="1" applyBorder="1" applyAlignment="1">
      <alignment horizontal="center" vertical="center"/>
    </xf>
    <xf numFmtId="3" fontId="91" fillId="15" borderId="175" xfId="11" applyNumberFormat="1" applyFont="1" applyFill="1" applyBorder="1" applyAlignment="1">
      <alignment vertical="center"/>
    </xf>
    <xf numFmtId="164" fontId="91" fillId="15" borderId="175" xfId="11" applyNumberFormat="1" applyFont="1" applyFill="1" applyBorder="1" applyAlignment="1">
      <alignment horizontal="center" vertical="center"/>
    </xf>
    <xf numFmtId="3" fontId="90" fillId="15" borderId="175" xfId="11" applyNumberFormat="1" applyFont="1" applyFill="1" applyBorder="1" applyAlignment="1">
      <alignment vertical="center"/>
    </xf>
    <xf numFmtId="164" fontId="90" fillId="15" borderId="175" xfId="11" applyNumberFormat="1" applyFont="1" applyFill="1" applyBorder="1" applyAlignment="1">
      <alignment vertical="center"/>
    </xf>
    <xf numFmtId="49" fontId="85" fillId="0" borderId="175" xfId="11" applyNumberFormat="1" applyFont="1" applyBorder="1" applyAlignment="1">
      <alignment horizontal="left" vertical="center"/>
    </xf>
    <xf numFmtId="3" fontId="90" fillId="0" borderId="175" xfId="11" applyNumberFormat="1" applyFont="1" applyBorder="1" applyAlignment="1">
      <alignment horizontal="center" vertical="center"/>
    </xf>
    <xf numFmtId="164" fontId="91" fillId="0" borderId="175" xfId="11" applyNumberFormat="1" applyFont="1" applyBorder="1" applyAlignment="1">
      <alignment horizontal="center" vertical="center"/>
    </xf>
    <xf numFmtId="164" fontId="90" fillId="0" borderId="175" xfId="11" applyNumberFormat="1" applyFont="1" applyBorder="1" applyAlignment="1">
      <alignment vertical="center"/>
    </xf>
    <xf numFmtId="0" fontId="88" fillId="0" borderId="175" xfId="11" applyFont="1" applyBorder="1" applyAlignment="1">
      <alignment vertical="center"/>
    </xf>
    <xf numFmtId="3" fontId="57" fillId="0" borderId="175" xfId="11" applyNumberFormat="1" applyFont="1" applyBorder="1" applyAlignment="1">
      <alignment vertical="center"/>
    </xf>
    <xf numFmtId="164" fontId="57" fillId="0" borderId="175" xfId="11" applyNumberFormat="1" applyFont="1" applyBorder="1" applyAlignment="1">
      <alignment horizontal="center" vertical="center"/>
    </xf>
    <xf numFmtId="3" fontId="110" fillId="0" borderId="175" xfId="11" applyNumberFormat="1" applyFont="1" applyBorder="1" applyAlignment="1">
      <alignment vertical="center"/>
    </xf>
    <xf numFmtId="164" fontId="110" fillId="0" borderId="175" xfId="11" applyNumberFormat="1" applyFont="1" applyBorder="1" applyAlignment="1">
      <alignment vertical="center"/>
    </xf>
    <xf numFmtId="164" fontId="59" fillId="0" borderId="175" xfId="67" applyNumberFormat="1" applyFont="1" applyFill="1" applyBorder="1" applyAlignment="1">
      <alignment horizontal="right" vertical="center"/>
    </xf>
    <xf numFmtId="0" fontId="88" fillId="0" borderId="175" xfId="11" applyFont="1" applyBorder="1" applyAlignment="1">
      <alignment vertical="center" wrapText="1"/>
    </xf>
    <xf numFmtId="1" fontId="110" fillId="0" borderId="175" xfId="11" applyNumberFormat="1" applyFont="1" applyBorder="1" applyAlignment="1">
      <alignment horizontal="center" vertical="center"/>
    </xf>
    <xf numFmtId="164" fontId="59" fillId="0" borderId="175" xfId="67" applyNumberFormat="1" applyFont="1" applyFill="1" applyBorder="1" applyAlignment="1">
      <alignment horizontal="center" vertical="center"/>
    </xf>
    <xf numFmtId="164" fontId="54" fillId="0" borderId="175" xfId="67" applyNumberFormat="1" applyFont="1" applyFill="1" applyBorder="1" applyAlignment="1">
      <alignment horizontal="center" vertical="center"/>
    </xf>
    <xf numFmtId="0" fontId="85" fillId="15" borderId="175" xfId="11" applyFont="1" applyFill="1" applyBorder="1" applyAlignment="1">
      <alignment vertical="center" wrapText="1"/>
    </xf>
    <xf numFmtId="164" fontId="91" fillId="15" borderId="175" xfId="11" applyNumberFormat="1" applyFont="1" applyFill="1" applyBorder="1" applyAlignment="1">
      <alignment horizontal="right" vertical="center"/>
    </xf>
    <xf numFmtId="164" fontId="91" fillId="0" borderId="175" xfId="11" applyNumberFormat="1" applyFont="1" applyBorder="1" applyAlignment="1">
      <alignment horizontal="right" vertical="center"/>
    </xf>
    <xf numFmtId="164" fontId="57" fillId="0" borderId="175" xfId="11" applyNumberFormat="1" applyFont="1" applyBorder="1" applyAlignment="1">
      <alignment horizontal="right" vertical="center"/>
    </xf>
    <xf numFmtId="0" fontId="90" fillId="9" borderId="175" xfId="11" applyFont="1" applyFill="1" applyBorder="1" applyAlignment="1">
      <alignment horizontal="center" vertical="center"/>
    </xf>
    <xf numFmtId="0" fontId="88" fillId="6" borderId="175" xfId="11" applyFont="1" applyFill="1" applyBorder="1" applyAlignment="1">
      <alignment vertical="center"/>
    </xf>
    <xf numFmtId="3" fontId="110" fillId="6" borderId="175" xfId="11" applyNumberFormat="1" applyFont="1" applyFill="1" applyBorder="1" applyAlignment="1">
      <alignment horizontal="center" vertical="center"/>
    </xf>
    <xf numFmtId="3" fontId="57" fillId="6" borderId="175" xfId="11" applyNumberFormat="1" applyFont="1" applyFill="1" applyBorder="1" applyAlignment="1">
      <alignment vertical="center"/>
    </xf>
    <xf numFmtId="164" fontId="59" fillId="6" borderId="175" xfId="67" applyNumberFormat="1" applyFont="1" applyFill="1" applyBorder="1" applyAlignment="1">
      <alignment horizontal="right" vertical="center"/>
    </xf>
    <xf numFmtId="164" fontId="54" fillId="6" borderId="175" xfId="67" applyNumberFormat="1" applyFont="1" applyFill="1" applyBorder="1" applyAlignment="1">
      <alignment horizontal="center" vertical="center"/>
    </xf>
    <xf numFmtId="3" fontId="110" fillId="6" borderId="175" xfId="11" applyNumberFormat="1" applyFont="1" applyFill="1" applyBorder="1" applyAlignment="1">
      <alignment vertical="center"/>
    </xf>
    <xf numFmtId="164" fontId="110" fillId="6" borderId="175" xfId="11" applyNumberFormat="1" applyFont="1" applyFill="1" applyBorder="1" applyAlignment="1">
      <alignment vertical="center"/>
    </xf>
    <xf numFmtId="0" fontId="111" fillId="0" borderId="170" xfId="11" applyFont="1" applyBorder="1" applyAlignment="1">
      <alignment horizontal="left" vertical="top" wrapText="1"/>
    </xf>
    <xf numFmtId="49" fontId="85" fillId="6" borderId="175" xfId="11" applyNumberFormat="1" applyFont="1" applyFill="1" applyBorder="1" applyAlignment="1">
      <alignment horizontal="center" vertical="center"/>
    </xf>
    <xf numFmtId="0" fontId="85" fillId="6" borderId="175" xfId="11" applyFont="1" applyFill="1" applyBorder="1" applyAlignment="1">
      <alignment vertical="center"/>
    </xf>
    <xf numFmtId="0" fontId="85" fillId="7" borderId="175" xfId="11" applyFont="1" applyFill="1" applyBorder="1" applyAlignment="1">
      <alignment vertical="center" wrapText="1"/>
    </xf>
    <xf numFmtId="0" fontId="85" fillId="7" borderId="175" xfId="11" applyFont="1" applyFill="1" applyBorder="1" applyAlignment="1">
      <alignment horizontal="center" vertical="center"/>
    </xf>
    <xf numFmtId="3" fontId="85" fillId="7" borderId="175" xfId="11" applyNumberFormat="1" applyFont="1" applyFill="1" applyBorder="1" applyAlignment="1">
      <alignment horizontal="right" vertical="center"/>
    </xf>
    <xf numFmtId="164" fontId="85" fillId="7" borderId="175" xfId="11" applyNumberFormat="1" applyFont="1" applyFill="1" applyBorder="1" applyAlignment="1">
      <alignment horizontal="right" vertical="center"/>
    </xf>
    <xf numFmtId="0" fontId="85" fillId="0" borderId="175" xfId="11" applyFont="1" applyBorder="1" applyAlignment="1">
      <alignment horizontal="center" vertical="center" wrapText="1"/>
    </xf>
    <xf numFmtId="3" fontId="85" fillId="0" borderId="175" xfId="11" applyNumberFormat="1" applyFont="1" applyBorder="1" applyAlignment="1">
      <alignment horizontal="right" vertical="center"/>
    </xf>
    <xf numFmtId="164" fontId="85" fillId="0" borderId="175" xfId="11" applyNumberFormat="1" applyFont="1" applyBorder="1" applyAlignment="1">
      <alignment horizontal="right" vertical="center"/>
    </xf>
    <xf numFmtId="3" fontId="88" fillId="0" borderId="175" xfId="11" applyNumberFormat="1" applyFont="1" applyBorder="1" applyAlignment="1">
      <alignment horizontal="right" vertical="center"/>
    </xf>
    <xf numFmtId="164" fontId="88" fillId="0" borderId="175" xfId="11" applyNumberFormat="1" applyFont="1" applyBorder="1" applyAlignment="1">
      <alignment horizontal="right" vertical="center"/>
    </xf>
    <xf numFmtId="3" fontId="57" fillId="0" borderId="175" xfId="11" applyNumberFormat="1" applyFont="1" applyBorder="1" applyAlignment="1">
      <alignment horizontal="right" vertical="center"/>
    </xf>
    <xf numFmtId="3" fontId="110" fillId="0" borderId="175" xfId="11" applyNumberFormat="1" applyFont="1" applyBorder="1" applyAlignment="1">
      <alignment horizontal="right" vertical="center"/>
    </xf>
    <xf numFmtId="164" fontId="91" fillId="0" borderId="175" xfId="54" applyNumberFormat="1" applyFont="1" applyBorder="1" applyAlignment="1">
      <alignment horizontal="center" vertical="center"/>
    </xf>
    <xf numFmtId="0" fontId="88" fillId="0" borderId="175" xfId="11" applyFont="1" applyBorder="1" applyAlignment="1">
      <alignment horizontal="left" vertical="center"/>
    </xf>
    <xf numFmtId="164" fontId="57" fillId="0" borderId="175" xfId="54" applyNumberFormat="1" applyFont="1" applyBorder="1" applyAlignment="1">
      <alignment horizontal="center" vertical="center"/>
    </xf>
    <xf numFmtId="0" fontId="88" fillId="0" borderId="175" xfId="11" quotePrefix="1" applyFont="1" applyBorder="1" applyAlignment="1">
      <alignment vertical="center" wrapText="1"/>
    </xf>
    <xf numFmtId="0" fontId="88" fillId="7" borderId="175" xfId="11" applyFont="1" applyFill="1" applyBorder="1" applyAlignment="1">
      <alignment horizontal="center" vertical="center"/>
    </xf>
    <xf numFmtId="3" fontId="91" fillId="7" borderId="175" xfId="11" applyNumberFormat="1" applyFont="1" applyFill="1" applyBorder="1" applyAlignment="1">
      <alignment vertical="center"/>
    </xf>
    <xf numFmtId="3" fontId="90" fillId="7" borderId="175" xfId="11" applyNumberFormat="1" applyFont="1" applyFill="1" applyBorder="1" applyAlignment="1">
      <alignment vertical="center"/>
    </xf>
    <xf numFmtId="164" fontId="90" fillId="7" borderId="175" xfId="11" applyNumberFormat="1" applyFont="1" applyFill="1" applyBorder="1" applyAlignment="1">
      <alignment vertical="center"/>
    </xf>
    <xf numFmtId="0" fontId="90" fillId="7" borderId="175" xfId="11" applyFont="1" applyFill="1" applyBorder="1" applyAlignment="1">
      <alignment vertical="center"/>
    </xf>
    <xf numFmtId="3" fontId="57" fillId="9" borderId="175" xfId="11" applyNumberFormat="1" applyFont="1" applyFill="1" applyBorder="1" applyAlignment="1">
      <alignment vertical="center"/>
    </xf>
    <xf numFmtId="0" fontId="90" fillId="7" borderId="175" xfId="11" applyFont="1" applyFill="1" applyBorder="1" applyAlignment="1">
      <alignment horizontal="left" vertical="center" wrapText="1"/>
    </xf>
    <xf numFmtId="0" fontId="90" fillId="0" borderId="175" xfId="11" applyFont="1" applyBorder="1" applyAlignment="1">
      <alignment horizontal="center" vertical="center" wrapText="1"/>
    </xf>
    <xf numFmtId="0" fontId="110" fillId="0" borderId="165" xfId="11" applyFont="1" applyBorder="1" applyAlignment="1">
      <alignment vertical="center"/>
    </xf>
    <xf numFmtId="49" fontId="85" fillId="7" borderId="175" xfId="11" applyNumberFormat="1" applyFont="1" applyFill="1" applyBorder="1" applyAlignment="1">
      <alignment horizontal="left" vertical="center"/>
    </xf>
    <xf numFmtId="49" fontId="88" fillId="0" borderId="175" xfId="11" applyNumberFormat="1" applyFont="1" applyBorder="1" applyAlignment="1">
      <alignment horizontal="center" vertical="center"/>
    </xf>
    <xf numFmtId="3" fontId="88" fillId="0" borderId="175" xfId="11" applyNumberFormat="1" applyFont="1" applyBorder="1" applyAlignment="1">
      <alignment vertical="center"/>
    </xf>
    <xf numFmtId="3" fontId="120" fillId="0" borderId="175" xfId="11" applyNumberFormat="1" applyFont="1" applyBorder="1" applyAlignment="1">
      <alignment vertical="center"/>
    </xf>
    <xf numFmtId="3" fontId="119" fillId="0" borderId="175" xfId="11" applyNumberFormat="1" applyFont="1" applyBorder="1" applyAlignment="1">
      <alignment vertical="center"/>
    </xf>
    <xf numFmtId="3" fontId="107" fillId="0" borderId="175" xfId="11" applyNumberFormat="1" applyFont="1" applyBorder="1" applyAlignment="1">
      <alignment vertical="center"/>
    </xf>
    <xf numFmtId="164" fontId="88" fillId="0" borderId="175" xfId="11" applyNumberFormat="1" applyFont="1" applyBorder="1" applyAlignment="1">
      <alignment vertical="center"/>
    </xf>
    <xf numFmtId="164" fontId="91" fillId="7" borderId="175" xfId="11" applyNumberFormat="1" applyFont="1" applyFill="1" applyBorder="1" applyAlignment="1">
      <alignment horizontal="center" vertical="center"/>
    </xf>
    <xf numFmtId="0" fontId="88" fillId="9" borderId="175" xfId="11" applyFont="1" applyFill="1" applyBorder="1" applyAlignment="1">
      <alignment horizontal="center" vertical="center"/>
    </xf>
    <xf numFmtId="164" fontId="59" fillId="9" borderId="175" xfId="54" applyNumberFormat="1" applyFont="1" applyFill="1" applyBorder="1" applyAlignment="1">
      <alignment horizontal="center" vertical="center"/>
    </xf>
    <xf numFmtId="3" fontId="110" fillId="9" borderId="175" xfId="11" applyNumberFormat="1" applyFont="1" applyFill="1" applyBorder="1" applyAlignment="1">
      <alignment vertical="center"/>
    </xf>
    <xf numFmtId="0" fontId="107" fillId="9" borderId="175" xfId="11" applyFont="1" applyFill="1" applyBorder="1" applyAlignment="1">
      <alignment horizontal="center" vertical="center"/>
    </xf>
    <xf numFmtId="3" fontId="120" fillId="9" borderId="175" xfId="11" applyNumberFormat="1" applyFont="1" applyFill="1" applyBorder="1" applyAlignment="1">
      <alignment vertical="center"/>
    </xf>
    <xf numFmtId="164" fontId="79" fillId="9" borderId="175" xfId="54" applyNumberFormat="1" applyFont="1" applyFill="1" applyBorder="1" applyAlignment="1">
      <alignment horizontal="center" vertical="center"/>
    </xf>
    <xf numFmtId="0" fontId="107" fillId="9" borderId="175" xfId="11" applyFont="1" applyFill="1" applyBorder="1" applyAlignment="1">
      <alignment horizontal="center" vertical="center" wrapText="1"/>
    </xf>
    <xf numFmtId="3" fontId="119" fillId="9" borderId="175" xfId="11" applyNumberFormat="1" applyFont="1" applyFill="1" applyBorder="1" applyAlignment="1">
      <alignment vertical="center"/>
    </xf>
    <xf numFmtId="164" fontId="119" fillId="9" borderId="175" xfId="11" applyNumberFormat="1" applyFont="1" applyFill="1" applyBorder="1" applyAlignment="1">
      <alignment vertical="center"/>
    </xf>
    <xf numFmtId="164" fontId="119" fillId="0" borderId="175" xfId="11" applyNumberFormat="1" applyFont="1" applyBorder="1" applyAlignment="1">
      <alignment vertical="center"/>
    </xf>
    <xf numFmtId="0" fontId="88" fillId="9" borderId="175" xfId="11" applyFont="1" applyFill="1" applyBorder="1" applyAlignment="1">
      <alignment vertical="center"/>
    </xf>
    <xf numFmtId="0" fontId="88" fillId="9" borderId="175" xfId="11" applyFont="1" applyFill="1" applyBorder="1" applyAlignment="1">
      <alignment horizontal="center" vertical="center" wrapText="1"/>
    </xf>
    <xf numFmtId="164" fontId="110" fillId="9" borderId="175" xfId="11" applyNumberFormat="1" applyFont="1" applyFill="1" applyBorder="1" applyAlignment="1">
      <alignment vertical="center"/>
    </xf>
    <xf numFmtId="0" fontId="85" fillId="9" borderId="175" xfId="11" applyFont="1" applyFill="1" applyBorder="1" applyAlignment="1">
      <alignment vertical="center"/>
    </xf>
    <xf numFmtId="3" fontId="91" fillId="9" borderId="175" xfId="11" applyNumberFormat="1" applyFont="1" applyFill="1" applyBorder="1" applyAlignment="1">
      <alignment vertical="center"/>
    </xf>
    <xf numFmtId="3" fontId="90" fillId="9" borderId="175" xfId="11" applyNumberFormat="1" applyFont="1" applyFill="1" applyBorder="1" applyAlignment="1">
      <alignment vertical="center"/>
    </xf>
    <xf numFmtId="164" fontId="90" fillId="9" borderId="175" xfId="11" applyNumberFormat="1" applyFont="1" applyFill="1" applyBorder="1" applyAlignment="1">
      <alignment vertical="center"/>
    </xf>
    <xf numFmtId="0" fontId="88" fillId="9" borderId="175" xfId="11" applyFont="1" applyFill="1" applyBorder="1" applyAlignment="1">
      <alignment vertical="center" wrapText="1"/>
    </xf>
    <xf numFmtId="164" fontId="54" fillId="6" borderId="175" xfId="11" applyNumberFormat="1" applyFont="1" applyFill="1" applyBorder="1" applyAlignment="1">
      <alignment horizontal="right" vertical="center"/>
    </xf>
    <xf numFmtId="3" fontId="85" fillId="6" borderId="175" xfId="11" applyNumberFormat="1" applyFont="1" applyFill="1" applyBorder="1" applyAlignment="1">
      <alignment horizontal="right" vertical="center"/>
    </xf>
    <xf numFmtId="0" fontId="111" fillId="6" borderId="170" xfId="11" applyFont="1" applyFill="1" applyBorder="1" applyAlignment="1">
      <alignment vertical="top" wrapText="1"/>
    </xf>
    <xf numFmtId="164" fontId="54" fillId="7" borderId="175" xfId="54" applyNumberFormat="1" applyFont="1" applyFill="1" applyBorder="1" applyAlignment="1">
      <alignment horizontal="right" vertical="center"/>
    </xf>
    <xf numFmtId="164" fontId="59" fillId="0" borderId="175" xfId="54" applyNumberFormat="1" applyFont="1" applyFill="1" applyBorder="1" applyAlignment="1">
      <alignment horizontal="right" vertical="center"/>
    </xf>
    <xf numFmtId="0" fontId="87" fillId="0" borderId="175" xfId="11" applyFont="1" applyBorder="1" applyAlignment="1">
      <alignment vertical="center"/>
    </xf>
    <xf numFmtId="0" fontId="88" fillId="0" borderId="175" xfId="11" applyFont="1" applyBorder="1" applyAlignment="1">
      <alignment horizontal="left" vertical="center" wrapText="1"/>
    </xf>
    <xf numFmtId="0" fontId="88" fillId="0" borderId="32" xfId="11" applyFont="1" applyBorder="1" applyAlignment="1">
      <alignment vertical="center" wrapText="1"/>
    </xf>
    <xf numFmtId="0" fontId="90" fillId="6" borderId="175" xfId="11" applyFont="1" applyFill="1" applyBorder="1" applyAlignment="1">
      <alignment horizontal="center" vertical="center"/>
    </xf>
    <xf numFmtId="3" fontId="91" fillId="6" borderId="175" xfId="11" applyNumberFormat="1" applyFont="1" applyFill="1" applyBorder="1" applyAlignment="1">
      <alignment vertical="center"/>
    </xf>
    <xf numFmtId="3" fontId="90" fillId="6" borderId="175" xfId="11" applyNumberFormat="1" applyFont="1" applyFill="1" applyBorder="1" applyAlignment="1">
      <alignment vertical="center"/>
    </xf>
    <xf numFmtId="0" fontId="111" fillId="6" borderId="170" xfId="11" applyFont="1" applyFill="1" applyBorder="1" applyAlignment="1">
      <alignment vertical="top"/>
    </xf>
    <xf numFmtId="0" fontId="90" fillId="7" borderId="175" xfId="11" applyFont="1" applyFill="1" applyBorder="1" applyAlignment="1">
      <alignment horizontal="center" vertical="center" wrapText="1"/>
    </xf>
    <xf numFmtId="164" fontId="91" fillId="6" borderId="175" xfId="11" applyNumberFormat="1" applyFont="1" applyFill="1" applyBorder="1" applyAlignment="1">
      <alignment horizontal="center" vertical="center"/>
    </xf>
    <xf numFmtId="164" fontId="120" fillId="0" borderId="175" xfId="11" applyNumberFormat="1" applyFont="1" applyBorder="1" applyAlignment="1">
      <alignment horizontal="center" vertical="center"/>
    </xf>
    <xf numFmtId="0" fontId="85" fillId="7" borderId="175" xfId="11" applyFont="1" applyFill="1" applyBorder="1" applyAlignment="1">
      <alignment vertical="center"/>
    </xf>
    <xf numFmtId="164" fontId="91" fillId="7" borderId="175" xfId="11" applyNumberFormat="1" applyFont="1" applyFill="1" applyBorder="1" applyAlignment="1">
      <alignment vertical="center"/>
    </xf>
    <xf numFmtId="164" fontId="57" fillId="9" borderId="175" xfId="11" applyNumberFormat="1" applyFont="1" applyFill="1" applyBorder="1" applyAlignment="1">
      <alignment vertical="center"/>
    </xf>
    <xf numFmtId="164" fontId="57" fillId="0" borderId="175" xfId="11" applyNumberFormat="1" applyFont="1" applyBorder="1" applyAlignment="1">
      <alignment vertical="center"/>
    </xf>
    <xf numFmtId="164" fontId="120" fillId="0" borderId="175" xfId="11" applyNumberFormat="1" applyFont="1" applyBorder="1" applyAlignment="1">
      <alignment vertical="center"/>
    </xf>
    <xf numFmtId="164" fontId="91" fillId="0" borderId="175" xfId="54" applyNumberFormat="1" applyFont="1" applyFill="1" applyBorder="1" applyAlignment="1">
      <alignment horizontal="center" vertical="center"/>
    </xf>
    <xf numFmtId="164" fontId="57" fillId="0" borderId="175" xfId="8" applyNumberFormat="1" applyFont="1" applyBorder="1" applyAlignment="1">
      <alignment horizontal="center" vertical="center"/>
    </xf>
    <xf numFmtId="0" fontId="34" fillId="0" borderId="0" xfId="7" applyFont="1" applyAlignment="1">
      <alignment horizontal="right" vertical="center"/>
    </xf>
    <xf numFmtId="0" fontId="54" fillId="0" borderId="0" xfId="7" applyFont="1" applyAlignment="1">
      <alignment horizontal="right" vertical="center"/>
    </xf>
    <xf numFmtId="0" fontId="86" fillId="0" borderId="23" xfId="11" applyFont="1" applyBorder="1" applyAlignment="1">
      <alignment horizontal="center" vertical="center" wrapText="1"/>
    </xf>
    <xf numFmtId="0" fontId="79" fillId="0" borderId="8" xfId="3" applyFont="1" applyBorder="1" applyAlignment="1">
      <alignment horizontal="center" vertical="center"/>
    </xf>
    <xf numFmtId="3" fontId="79" fillId="0" borderId="8" xfId="3" applyNumberFormat="1" applyFont="1" applyBorder="1" applyAlignment="1">
      <alignment horizontal="right" vertical="center"/>
    </xf>
    <xf numFmtId="164" fontId="79" fillId="0" borderId="4" xfId="3" applyNumberFormat="1" applyFont="1" applyBorder="1" applyAlignment="1">
      <alignment horizontal="right" vertical="center"/>
    </xf>
    <xf numFmtId="0" fontId="79" fillId="0" borderId="8" xfId="3" applyFont="1" applyBorder="1" applyAlignment="1">
      <alignment horizontal="center" vertical="center" wrapText="1"/>
    </xf>
    <xf numFmtId="0" fontId="54" fillId="0" borderId="0" xfId="21" applyFont="1" applyAlignment="1">
      <alignment horizontal="right" vertical="center"/>
    </xf>
    <xf numFmtId="0" fontId="59" fillId="0" borderId="175" xfId="11" applyFont="1" applyBorder="1" applyAlignment="1">
      <alignment horizontal="left" vertical="center"/>
    </xf>
    <xf numFmtId="49" fontId="54" fillId="7" borderId="175" xfId="11" applyNumberFormat="1" applyFont="1" applyFill="1" applyBorder="1" applyAlignment="1">
      <alignment vertical="center"/>
    </xf>
    <xf numFmtId="49" fontId="100" fillId="7" borderId="175" xfId="11" applyNumberFormat="1" applyFont="1" applyFill="1" applyBorder="1" applyAlignment="1">
      <alignment horizontal="center" vertical="center"/>
    </xf>
    <xf numFmtId="3" fontId="100" fillId="7" borderId="175" xfId="11" applyNumberFormat="1" applyFont="1" applyFill="1" applyBorder="1" applyAlignment="1">
      <alignment horizontal="right" vertical="center"/>
    </xf>
    <xf numFmtId="10" fontId="100" fillId="7" borderId="175" xfId="1" applyNumberFormat="1" applyFont="1" applyFill="1" applyBorder="1" applyAlignment="1">
      <alignment horizontal="right" vertical="center"/>
    </xf>
    <xf numFmtId="49" fontId="100" fillId="0" borderId="175" xfId="11" applyNumberFormat="1" applyFont="1" applyBorder="1" applyAlignment="1">
      <alignment horizontal="center" vertical="center"/>
    </xf>
    <xf numFmtId="3" fontId="100" fillId="0" borderId="175" xfId="11" applyNumberFormat="1" applyFont="1" applyBorder="1" applyAlignment="1">
      <alignment horizontal="right" vertical="center"/>
    </xf>
    <xf numFmtId="10" fontId="100" fillId="0" borderId="175" xfId="1" applyNumberFormat="1" applyFont="1" applyFill="1" applyBorder="1" applyAlignment="1">
      <alignment horizontal="right" vertical="center"/>
    </xf>
    <xf numFmtId="0" fontId="111" fillId="0" borderId="175" xfId="11" applyFont="1" applyBorder="1" applyAlignment="1">
      <alignment horizontal="center" vertical="center"/>
    </xf>
    <xf numFmtId="3" fontId="111" fillId="0" borderId="175" xfId="11" applyNumberFormat="1" applyFont="1" applyBorder="1" applyAlignment="1">
      <alignment horizontal="right" vertical="center"/>
    </xf>
    <xf numFmtId="10" fontId="111" fillId="0" borderId="175" xfId="1" applyNumberFormat="1" applyFont="1" applyFill="1" applyBorder="1" applyAlignment="1">
      <alignment horizontal="right" vertical="center"/>
    </xf>
    <xf numFmtId="0" fontId="111" fillId="0" borderId="175" xfId="11" applyFont="1" applyBorder="1" applyAlignment="1">
      <alignment horizontal="center" vertical="center" wrapText="1"/>
    </xf>
    <xf numFmtId="3" fontId="111" fillId="0" borderId="175" xfId="11" applyNumberFormat="1" applyFont="1" applyBorder="1" applyAlignment="1">
      <alignment horizontal="right" vertical="center" wrapText="1"/>
    </xf>
    <xf numFmtId="0" fontId="142" fillId="0" borderId="175" xfId="11" applyFont="1" applyBorder="1" applyAlignment="1">
      <alignment horizontal="center" vertical="center" wrapText="1"/>
    </xf>
    <xf numFmtId="3" fontId="142" fillId="0" borderId="175" xfId="11" applyNumberFormat="1" applyFont="1" applyBorder="1" applyAlignment="1">
      <alignment horizontal="right" vertical="center"/>
    </xf>
    <xf numFmtId="10" fontId="142" fillId="0" borderId="175" xfId="1" applyNumberFormat="1" applyFont="1" applyFill="1" applyBorder="1" applyAlignment="1">
      <alignment horizontal="right" vertical="center"/>
    </xf>
    <xf numFmtId="0" fontId="142" fillId="0" borderId="175" xfId="11" applyFont="1" applyBorder="1" applyAlignment="1">
      <alignment horizontal="center" vertical="center"/>
    </xf>
    <xf numFmtId="0" fontId="100" fillId="0" borderId="175" xfId="11" applyFont="1" applyBorder="1" applyAlignment="1">
      <alignment horizontal="center" vertical="center"/>
    </xf>
    <xf numFmtId="0" fontId="152" fillId="0" borderId="173" xfId="11" applyFont="1" applyBorder="1" applyAlignment="1">
      <alignment vertical="top" wrapText="1"/>
    </xf>
    <xf numFmtId="0" fontId="0" fillId="0" borderId="32" xfId="0" applyBorder="1" applyAlignment="1">
      <alignment vertical="center"/>
    </xf>
    <xf numFmtId="3" fontId="111" fillId="0" borderId="175" xfId="11" applyNumberFormat="1" applyFont="1" applyBorder="1" applyAlignment="1">
      <alignment vertical="center" wrapText="1"/>
    </xf>
    <xf numFmtId="0" fontId="54" fillId="7" borderId="154" xfId="11" applyFont="1" applyFill="1" applyBorder="1" applyAlignment="1">
      <alignment horizontal="left" vertical="center"/>
    </xf>
    <xf numFmtId="10" fontId="100" fillId="7" borderId="154" xfId="1" applyNumberFormat="1" applyFont="1" applyFill="1" applyBorder="1" applyAlignment="1">
      <alignment horizontal="right" vertical="center"/>
    </xf>
    <xf numFmtId="0" fontId="0" fillId="0" borderId="154" xfId="0" applyBorder="1" applyAlignment="1">
      <alignment vertical="center"/>
    </xf>
    <xf numFmtId="0" fontId="152" fillId="0" borderId="148" xfId="11" applyFont="1" applyBorder="1" applyAlignment="1">
      <alignment vertical="top" wrapText="1"/>
    </xf>
    <xf numFmtId="0" fontId="0" fillId="0" borderId="115" xfId="0" applyBorder="1" applyAlignment="1">
      <alignment vertical="center"/>
    </xf>
    <xf numFmtId="0" fontId="54" fillId="0" borderId="128" xfId="11" applyFont="1" applyBorder="1" applyAlignment="1">
      <alignment vertical="center"/>
    </xf>
    <xf numFmtId="0" fontId="111" fillId="0" borderId="128" xfId="11" applyFont="1" applyBorder="1" applyAlignment="1">
      <alignment horizontal="center" vertical="center"/>
    </xf>
    <xf numFmtId="3" fontId="100" fillId="0" borderId="128" xfId="11" applyNumberFormat="1" applyFont="1" applyBorder="1" applyAlignment="1">
      <alignment horizontal="right" vertical="center"/>
    </xf>
    <xf numFmtId="10" fontId="100" fillId="0" borderId="128" xfId="1" applyNumberFormat="1" applyFont="1" applyFill="1" applyBorder="1" applyAlignment="1">
      <alignment horizontal="right" vertical="center"/>
    </xf>
    <xf numFmtId="0" fontId="152" fillId="0" borderId="124" xfId="11" applyFont="1" applyBorder="1" applyAlignment="1">
      <alignment vertical="top" wrapText="1"/>
    </xf>
    <xf numFmtId="0" fontId="54" fillId="13" borderId="175" xfId="11" applyFont="1" applyFill="1" applyBorder="1" applyAlignment="1">
      <alignment vertical="center"/>
    </xf>
    <xf numFmtId="0" fontId="100" fillId="13" borderId="175" xfId="11" applyFont="1" applyFill="1" applyBorder="1" applyAlignment="1">
      <alignment horizontal="center" vertical="center"/>
    </xf>
    <xf numFmtId="3" fontId="100" fillId="13" borderId="175" xfId="11" applyNumberFormat="1" applyFont="1" applyFill="1" applyBorder="1" applyAlignment="1">
      <alignment horizontal="right" vertical="center"/>
    </xf>
    <xf numFmtId="164" fontId="100" fillId="13" borderId="175" xfId="54" applyNumberFormat="1" applyFont="1" applyFill="1" applyBorder="1" applyAlignment="1">
      <alignment horizontal="center" vertical="center"/>
    </xf>
    <xf numFmtId="10" fontId="100" fillId="13" borderId="175" xfId="11" applyNumberFormat="1" applyFont="1" applyFill="1" applyBorder="1" applyAlignment="1">
      <alignment horizontal="right" vertical="center"/>
    </xf>
    <xf numFmtId="164" fontId="100" fillId="0" borderId="175" xfId="54" applyNumberFormat="1" applyFont="1" applyFill="1" applyBorder="1" applyAlignment="1">
      <alignment horizontal="center" vertical="center"/>
    </xf>
    <xf numFmtId="10" fontId="100" fillId="0" borderId="175" xfId="11" applyNumberFormat="1" applyFont="1" applyBorder="1" applyAlignment="1">
      <alignment horizontal="right" vertical="center"/>
    </xf>
    <xf numFmtId="164" fontId="111" fillId="0" borderId="175" xfId="54" applyNumberFormat="1" applyFont="1" applyFill="1" applyBorder="1" applyAlignment="1">
      <alignment horizontal="center" vertical="center"/>
    </xf>
    <xf numFmtId="10" fontId="111" fillId="0" borderId="175" xfId="11" applyNumberFormat="1" applyFont="1" applyBorder="1" applyAlignment="1">
      <alignment horizontal="right" vertical="center"/>
    </xf>
    <xf numFmtId="164" fontId="142" fillId="0" borderId="175" xfId="54" applyNumberFormat="1" applyFont="1" applyFill="1" applyBorder="1" applyAlignment="1">
      <alignment horizontal="center" vertical="center"/>
    </xf>
    <xf numFmtId="10" fontId="142" fillId="0" borderId="175" xfId="11" applyNumberFormat="1" applyFont="1" applyBorder="1" applyAlignment="1">
      <alignment horizontal="right" vertical="center"/>
    </xf>
    <xf numFmtId="0" fontId="142" fillId="0" borderId="160" xfId="11" applyFont="1" applyBorder="1" applyAlignment="1">
      <alignment horizontal="center" vertical="center" wrapText="1"/>
    </xf>
    <xf numFmtId="3" fontId="142" fillId="0" borderId="160" xfId="11" applyNumberFormat="1" applyFont="1" applyBorder="1" applyAlignment="1">
      <alignment horizontal="right" vertical="center"/>
    </xf>
    <xf numFmtId="164" fontId="142" fillId="0" borderId="160" xfId="54" applyNumberFormat="1" applyFont="1" applyFill="1" applyBorder="1" applyAlignment="1">
      <alignment horizontal="center" vertical="center"/>
    </xf>
    <xf numFmtId="10" fontId="142" fillId="0" borderId="160" xfId="11" applyNumberFormat="1" applyFont="1" applyBorder="1" applyAlignment="1">
      <alignment horizontal="right" vertical="center"/>
    </xf>
    <xf numFmtId="0" fontId="100" fillId="0" borderId="190" xfId="11" applyFont="1" applyBorder="1" applyAlignment="1">
      <alignment vertical="center"/>
    </xf>
    <xf numFmtId="0" fontId="59" fillId="0" borderId="115" xfId="11" applyFont="1" applyBorder="1" applyAlignment="1">
      <alignment vertical="center"/>
    </xf>
    <xf numFmtId="0" fontId="142" fillId="0" borderId="128" xfId="11" applyFont="1" applyBorder="1" applyAlignment="1">
      <alignment horizontal="center" vertical="center" wrapText="1"/>
    </xf>
    <xf numFmtId="3" fontId="142" fillId="0" borderId="128" xfId="11" applyNumberFormat="1" applyFont="1" applyBorder="1" applyAlignment="1">
      <alignment horizontal="right" vertical="center"/>
    </xf>
    <xf numFmtId="164" fontId="142" fillId="0" borderId="128" xfId="54" applyNumberFormat="1" applyFont="1" applyFill="1" applyBorder="1" applyAlignment="1">
      <alignment horizontal="center" vertical="center"/>
    </xf>
    <xf numFmtId="10" fontId="142" fillId="0" borderId="128" xfId="11" applyNumberFormat="1" applyFont="1" applyBorder="1" applyAlignment="1">
      <alignment horizontal="right" vertical="center"/>
    </xf>
    <xf numFmtId="0" fontId="142" fillId="9" borderId="175" xfId="11" applyFont="1" applyFill="1" applyBorder="1" applyAlignment="1">
      <alignment horizontal="center" vertical="center" wrapText="1"/>
    </xf>
    <xf numFmtId="3" fontId="142" fillId="9" borderId="175" xfId="11" applyNumberFormat="1" applyFont="1" applyFill="1" applyBorder="1" applyAlignment="1">
      <alignment horizontal="right" vertical="center"/>
    </xf>
    <xf numFmtId="164" fontId="142" fillId="9" borderId="175" xfId="54" applyNumberFormat="1" applyFont="1" applyFill="1" applyBorder="1" applyAlignment="1">
      <alignment horizontal="center" vertical="center"/>
    </xf>
    <xf numFmtId="0" fontId="59" fillId="0" borderId="37" xfId="11" applyFont="1" applyBorder="1" applyAlignment="1">
      <alignment vertical="center"/>
    </xf>
    <xf numFmtId="0" fontId="59" fillId="0" borderId="115" xfId="11" applyFont="1" applyBorder="1" applyAlignment="1">
      <alignment vertical="center" wrapText="1"/>
    </xf>
    <xf numFmtId="0" fontId="111" fillId="9" borderId="175" xfId="11" applyFont="1" applyFill="1" applyBorder="1" applyAlignment="1">
      <alignment horizontal="center" vertical="center" wrapText="1"/>
    </xf>
    <xf numFmtId="3" fontId="111" fillId="9" borderId="175" xfId="11" applyNumberFormat="1" applyFont="1" applyFill="1" applyBorder="1" applyAlignment="1">
      <alignment horizontal="right" vertical="center"/>
    </xf>
    <xf numFmtId="10" fontId="142" fillId="0" borderId="60" xfId="11" applyNumberFormat="1" applyFont="1" applyBorder="1" applyAlignment="1">
      <alignment horizontal="right" vertical="center"/>
    </xf>
    <xf numFmtId="0" fontId="54" fillId="7" borderId="175" xfId="11" applyFont="1" applyFill="1" applyBorder="1" applyAlignment="1">
      <alignment vertical="center"/>
    </xf>
    <xf numFmtId="0" fontId="100" fillId="7" borderId="175" xfId="11" applyFont="1" applyFill="1" applyBorder="1" applyAlignment="1">
      <alignment horizontal="center" vertical="center"/>
    </xf>
    <xf numFmtId="164" fontId="100" fillId="7" borderId="154" xfId="54" applyNumberFormat="1" applyFont="1" applyFill="1" applyBorder="1" applyAlignment="1">
      <alignment horizontal="center" vertical="center"/>
    </xf>
    <xf numFmtId="49" fontId="54" fillId="9" borderId="175" xfId="11" applyNumberFormat="1" applyFont="1" applyFill="1" applyBorder="1" applyAlignment="1">
      <alignment horizontal="left" vertical="center"/>
    </xf>
    <xf numFmtId="49" fontId="100" fillId="9" borderId="175" xfId="11" applyNumberFormat="1" applyFont="1" applyFill="1" applyBorder="1" applyAlignment="1">
      <alignment horizontal="center" vertical="center"/>
    </xf>
    <xf numFmtId="3" fontId="100" fillId="9" borderId="175" xfId="11" applyNumberFormat="1" applyFont="1" applyFill="1" applyBorder="1" applyAlignment="1">
      <alignment horizontal="right" vertical="center"/>
    </xf>
    <xf numFmtId="164" fontId="100" fillId="9" borderId="175" xfId="54" applyNumberFormat="1" applyFont="1" applyFill="1" applyBorder="1" applyAlignment="1">
      <alignment horizontal="center" vertical="center"/>
    </xf>
    <xf numFmtId="0" fontId="59" fillId="9" borderId="175" xfId="11" applyFont="1" applyFill="1" applyBorder="1" applyAlignment="1">
      <alignment vertical="center"/>
    </xf>
    <xf numFmtId="0" fontId="111" fillId="9" borderId="175" xfId="11" applyFont="1" applyFill="1" applyBorder="1" applyAlignment="1">
      <alignment horizontal="center" vertical="center"/>
    </xf>
    <xf numFmtId="164" fontId="111" fillId="9" borderId="175" xfId="11" applyNumberFormat="1" applyFont="1" applyFill="1" applyBorder="1" applyAlignment="1">
      <alignment horizontal="center" vertical="center"/>
    </xf>
    <xf numFmtId="0" fontId="59" fillId="9" borderId="175" xfId="11" applyFont="1" applyFill="1" applyBorder="1" applyAlignment="1">
      <alignment horizontal="left" vertical="center"/>
    </xf>
    <xf numFmtId="164" fontId="111" fillId="9" borderId="175" xfId="54" applyNumberFormat="1" applyFont="1" applyFill="1" applyBorder="1" applyAlignment="1">
      <alignment horizontal="center" vertical="center"/>
    </xf>
    <xf numFmtId="164" fontId="100" fillId="0" borderId="175" xfId="11" applyNumberFormat="1" applyFont="1" applyBorder="1" applyAlignment="1">
      <alignment horizontal="center" vertical="center"/>
    </xf>
    <xf numFmtId="164" fontId="111" fillId="0" borderId="175" xfId="11" applyNumberFormat="1" applyFont="1" applyBorder="1" applyAlignment="1">
      <alignment horizontal="center" vertical="center"/>
    </xf>
    <xf numFmtId="0" fontId="111" fillId="7" borderId="175" xfId="11" applyFont="1" applyFill="1" applyBorder="1" applyAlignment="1">
      <alignment horizontal="center" vertical="center"/>
    </xf>
    <xf numFmtId="0" fontId="111" fillId="6" borderId="154" xfId="11" applyFont="1" applyFill="1" applyBorder="1" applyAlignment="1">
      <alignment horizontal="center" vertical="center"/>
    </xf>
    <xf numFmtId="164" fontId="100" fillId="6" borderId="154" xfId="54" applyNumberFormat="1" applyFont="1" applyFill="1" applyBorder="1" applyAlignment="1">
      <alignment horizontal="center" vertical="center"/>
    </xf>
    <xf numFmtId="0" fontId="150" fillId="0" borderId="173" xfId="0" applyFont="1" applyBorder="1" applyAlignment="1">
      <alignment vertical="top" wrapText="1"/>
    </xf>
    <xf numFmtId="49" fontId="100" fillId="9" borderId="53" xfId="11" applyNumberFormat="1" applyFont="1" applyFill="1" applyBorder="1" applyAlignment="1">
      <alignment vertical="center"/>
    </xf>
    <xf numFmtId="49" fontId="100" fillId="9" borderId="29" xfId="11" applyNumberFormat="1" applyFont="1" applyFill="1" applyBorder="1" applyAlignment="1">
      <alignment vertical="center"/>
    </xf>
    <xf numFmtId="0" fontId="111" fillId="7" borderId="154" xfId="11" applyFont="1" applyFill="1" applyBorder="1" applyAlignment="1">
      <alignment horizontal="center" vertical="center"/>
    </xf>
    <xf numFmtId="4" fontId="111" fillId="0" borderId="175" xfId="11" applyNumberFormat="1" applyFont="1" applyBorder="1" applyAlignment="1">
      <alignment horizontal="right" vertical="center"/>
    </xf>
    <xf numFmtId="10" fontId="111" fillId="0" borderId="191" xfId="11" applyNumberFormat="1" applyFont="1" applyBorder="1" applyAlignment="1">
      <alignment horizontal="right" vertical="center"/>
    </xf>
    <xf numFmtId="0" fontId="150" fillId="0" borderId="148" xfId="0" applyFont="1" applyBorder="1" applyAlignment="1">
      <alignment vertical="top" wrapText="1"/>
    </xf>
    <xf numFmtId="0" fontId="90" fillId="0" borderId="175" xfId="11" applyFont="1" applyBorder="1" applyAlignment="1">
      <alignment horizontal="center" vertical="center"/>
    </xf>
    <xf numFmtId="49" fontId="86" fillId="0" borderId="39" xfId="11" applyNumberFormat="1" applyFont="1" applyBorder="1" applyAlignment="1">
      <alignment horizontal="center" vertical="center"/>
    </xf>
    <xf numFmtId="49" fontId="86" fillId="0" borderId="41" xfId="11" applyNumberFormat="1" applyFont="1" applyBorder="1" applyAlignment="1">
      <alignment horizontal="center" vertical="center"/>
    </xf>
    <xf numFmtId="0" fontId="54" fillId="0" borderId="20" xfId="53" applyFont="1" applyBorder="1" applyAlignment="1">
      <alignment horizontal="center" vertical="center" wrapText="1"/>
    </xf>
    <xf numFmtId="0" fontId="54" fillId="0" borderId="22" xfId="53" applyFont="1" applyBorder="1" applyAlignment="1">
      <alignment horizontal="center" vertical="center"/>
    </xf>
    <xf numFmtId="0" fontId="111" fillId="0" borderId="28" xfId="11" applyFont="1" applyBorder="1" applyAlignment="1">
      <alignment horizontal="left" vertical="top" wrapText="1"/>
    </xf>
    <xf numFmtId="164" fontId="85" fillId="6" borderId="154" xfId="53" applyNumberFormat="1" applyFont="1" applyFill="1" applyBorder="1" applyAlignment="1">
      <alignment horizontal="right" vertical="center"/>
    </xf>
    <xf numFmtId="0" fontId="88" fillId="0" borderId="160" xfId="11" applyFont="1" applyBorder="1" applyAlignment="1">
      <alignment horizontal="center" vertical="center"/>
    </xf>
    <xf numFmtId="3" fontId="59" fillId="0" borderId="160" xfId="53" applyNumberFormat="1" applyFont="1" applyBorder="1" applyAlignment="1">
      <alignment horizontal="right" vertical="center"/>
    </xf>
    <xf numFmtId="164" fontId="54" fillId="0" borderId="160" xfId="54" applyNumberFormat="1" applyFont="1" applyFill="1" applyBorder="1" applyAlignment="1">
      <alignment horizontal="center" vertical="center"/>
    </xf>
    <xf numFmtId="3" fontId="88" fillId="0" borderId="160" xfId="53" applyNumberFormat="1" applyFont="1" applyBorder="1" applyAlignment="1">
      <alignment horizontal="right" vertical="center"/>
    </xf>
    <xf numFmtId="164" fontId="88" fillId="0" borderId="160" xfId="53" applyNumberFormat="1" applyFont="1" applyBorder="1" applyAlignment="1">
      <alignment horizontal="right" vertical="center"/>
    </xf>
    <xf numFmtId="0" fontId="54" fillId="6" borderId="154" xfId="11" applyFont="1" applyFill="1" applyBorder="1" applyAlignment="1">
      <alignment vertical="center" wrapText="1"/>
    </xf>
    <xf numFmtId="0" fontId="88" fillId="6" borderId="154" xfId="11" applyFont="1" applyFill="1" applyBorder="1" applyAlignment="1">
      <alignment horizontal="center" vertical="center"/>
    </xf>
    <xf numFmtId="0" fontId="50" fillId="6" borderId="148" xfId="11" applyFill="1" applyBorder="1" applyAlignment="1">
      <alignment vertical="top"/>
    </xf>
    <xf numFmtId="0" fontId="54" fillId="6" borderId="128" xfId="11" applyFont="1" applyFill="1" applyBorder="1" applyAlignment="1">
      <alignment vertical="center"/>
    </xf>
    <xf numFmtId="0" fontId="85" fillId="6" borderId="128" xfId="11" applyFont="1" applyFill="1" applyBorder="1" applyAlignment="1">
      <alignment horizontal="center" vertical="center"/>
    </xf>
    <xf numFmtId="3" fontId="54" fillId="6" borderId="128" xfId="53" applyNumberFormat="1" applyFont="1" applyFill="1" applyBorder="1" applyAlignment="1">
      <alignment horizontal="right" vertical="center"/>
    </xf>
    <xf numFmtId="164" fontId="54" fillId="6" borderId="128" xfId="53" applyNumberFormat="1" applyFont="1" applyFill="1" applyBorder="1" applyAlignment="1">
      <alignment horizontal="right" vertical="center"/>
    </xf>
    <xf numFmtId="3" fontId="85" fillId="6" borderId="128" xfId="53" applyNumberFormat="1" applyFont="1" applyFill="1" applyBorder="1" applyAlignment="1">
      <alignment horizontal="right" vertical="center"/>
    </xf>
    <xf numFmtId="164" fontId="85" fillId="6" borderId="128" xfId="53" applyNumberFormat="1" applyFont="1" applyFill="1" applyBorder="1" applyAlignment="1">
      <alignment horizontal="right" vertical="center"/>
    </xf>
    <xf numFmtId="0" fontId="111" fillId="6" borderId="129" xfId="53" applyFont="1" applyFill="1" applyBorder="1" applyAlignment="1">
      <alignment horizontal="left" vertical="center" wrapText="1"/>
    </xf>
    <xf numFmtId="3" fontId="110" fillId="0" borderId="160" xfId="11" applyNumberFormat="1" applyFont="1" applyBorder="1" applyAlignment="1">
      <alignment horizontal="center" vertical="center"/>
    </xf>
    <xf numFmtId="3" fontId="57" fillId="0" borderId="160" xfId="11" applyNumberFormat="1" applyFont="1" applyBorder="1" applyAlignment="1">
      <alignment vertical="center"/>
    </xf>
    <xf numFmtId="164" fontId="59" fillId="0" borderId="160" xfId="67" applyNumberFormat="1" applyFont="1" applyFill="1" applyBorder="1" applyAlignment="1">
      <alignment horizontal="right" vertical="center"/>
    </xf>
    <xf numFmtId="164" fontId="54" fillId="0" borderId="160" xfId="67" applyNumberFormat="1" applyFont="1" applyFill="1" applyBorder="1" applyAlignment="1">
      <alignment horizontal="right" vertical="center"/>
    </xf>
    <xf numFmtId="3" fontId="110" fillId="0" borderId="160" xfId="11" applyNumberFormat="1" applyFont="1" applyBorder="1" applyAlignment="1">
      <alignment vertical="center"/>
    </xf>
    <xf numFmtId="164" fontId="110" fillId="0" borderId="160" xfId="11" applyNumberFormat="1" applyFont="1" applyBorder="1" applyAlignment="1">
      <alignment vertical="center"/>
    </xf>
    <xf numFmtId="3" fontId="110" fillId="0" borderId="31" xfId="11" applyNumberFormat="1" applyFont="1" applyBorder="1" applyAlignment="1">
      <alignment horizontal="center" vertical="center"/>
    </xf>
    <xf numFmtId="164" fontId="59" fillId="0" borderId="31" xfId="67" applyNumberFormat="1" applyFont="1" applyFill="1" applyBorder="1" applyAlignment="1">
      <alignment horizontal="right" vertical="center"/>
    </xf>
    <xf numFmtId="164" fontId="54" fillId="0" borderId="31" xfId="67" applyNumberFormat="1" applyFont="1" applyFill="1" applyBorder="1" applyAlignment="1">
      <alignment horizontal="center" vertical="center"/>
    </xf>
    <xf numFmtId="0" fontId="85" fillId="7" borderId="154" xfId="11" applyFont="1" applyFill="1" applyBorder="1" applyAlignment="1">
      <alignment vertical="center" wrapText="1"/>
    </xf>
    <xf numFmtId="0" fontId="88" fillId="7" borderId="154" xfId="11" applyFont="1" applyFill="1" applyBorder="1" applyAlignment="1">
      <alignment horizontal="center" vertical="center"/>
    </xf>
    <xf numFmtId="3" fontId="91" fillId="7" borderId="154" xfId="11" applyNumberFormat="1" applyFont="1" applyFill="1" applyBorder="1" applyAlignment="1">
      <alignment vertical="center"/>
    </xf>
    <xf numFmtId="3" fontId="90" fillId="7" borderId="154" xfId="11" applyNumberFormat="1" applyFont="1" applyFill="1" applyBorder="1" applyAlignment="1">
      <alignment vertical="center"/>
    </xf>
    <xf numFmtId="164" fontId="90" fillId="7" borderId="154" xfId="11" applyNumberFormat="1" applyFont="1" applyFill="1" applyBorder="1" applyAlignment="1">
      <alignment vertical="center"/>
    </xf>
    <xf numFmtId="0" fontId="85" fillId="6" borderId="128" xfId="11" applyFont="1" applyFill="1" applyBorder="1" applyAlignment="1">
      <alignment vertical="center"/>
    </xf>
    <xf numFmtId="0" fontId="88" fillId="6" borderId="128" xfId="11" applyFont="1" applyFill="1" applyBorder="1" applyAlignment="1">
      <alignment horizontal="center" vertical="center"/>
    </xf>
    <xf numFmtId="0" fontId="50" fillId="6" borderId="129" xfId="11" applyFill="1" applyBorder="1" applyAlignment="1">
      <alignment horizontal="center" vertical="top" wrapText="1"/>
    </xf>
    <xf numFmtId="3" fontId="88" fillId="0" borderId="160" xfId="11" applyNumberFormat="1" applyFont="1" applyBorder="1" applyAlignment="1">
      <alignment horizontal="right" vertical="center"/>
    </xf>
    <xf numFmtId="164" fontId="88" fillId="0" borderId="160" xfId="11" applyNumberFormat="1" applyFont="1" applyBorder="1" applyAlignment="1">
      <alignment horizontal="right" vertical="center"/>
    </xf>
    <xf numFmtId="0" fontId="90" fillId="7" borderId="154" xfId="11" applyFont="1" applyFill="1" applyBorder="1" applyAlignment="1">
      <alignment vertical="center"/>
    </xf>
    <xf numFmtId="164" fontId="91" fillId="7" borderId="154" xfId="54" applyNumberFormat="1" applyFont="1" applyFill="1" applyBorder="1" applyAlignment="1">
      <alignment horizontal="center" vertical="center"/>
    </xf>
    <xf numFmtId="164" fontId="85" fillId="7" borderId="154" xfId="11" applyNumberFormat="1" applyFont="1" applyFill="1" applyBorder="1" applyAlignment="1">
      <alignment horizontal="right" vertical="center"/>
    </xf>
    <xf numFmtId="0" fontId="88" fillId="0" borderId="128" xfId="11" applyFont="1" applyBorder="1" applyAlignment="1">
      <alignment horizontal="left" vertical="center"/>
    </xf>
    <xf numFmtId="0" fontId="88" fillId="0" borderId="128" xfId="11" applyFont="1" applyBorder="1" applyAlignment="1">
      <alignment horizontal="center" vertical="center"/>
    </xf>
    <xf numFmtId="3" fontId="57" fillId="0" borderId="128" xfId="11" applyNumberFormat="1" applyFont="1" applyBorder="1" applyAlignment="1">
      <alignment vertical="center"/>
    </xf>
    <xf numFmtId="164" fontId="57" fillId="0" borderId="128" xfId="54" applyNumberFormat="1" applyFont="1" applyBorder="1" applyAlignment="1">
      <alignment horizontal="center" vertical="center"/>
    </xf>
    <xf numFmtId="3" fontId="88" fillId="0" borderId="128" xfId="11" applyNumberFormat="1" applyFont="1" applyBorder="1" applyAlignment="1">
      <alignment horizontal="right" vertical="center"/>
    </xf>
    <xf numFmtId="164" fontId="88" fillId="0" borderId="128" xfId="11" applyNumberFormat="1" applyFont="1" applyBorder="1" applyAlignment="1">
      <alignment horizontal="right" vertical="center"/>
    </xf>
    <xf numFmtId="0" fontId="90" fillId="7" borderId="128" xfId="11" applyFont="1" applyFill="1" applyBorder="1" applyAlignment="1">
      <alignment vertical="center"/>
    </xf>
    <xf numFmtId="0" fontId="88" fillId="7" borderId="128" xfId="11" applyFont="1" applyFill="1" applyBorder="1" applyAlignment="1">
      <alignment horizontal="center" vertical="center"/>
    </xf>
    <xf numFmtId="3" fontId="91" fillId="7" borderId="128" xfId="11" applyNumberFormat="1" applyFont="1" applyFill="1" applyBorder="1" applyAlignment="1">
      <alignment vertical="center"/>
    </xf>
    <xf numFmtId="3" fontId="90" fillId="7" borderId="128" xfId="11" applyNumberFormat="1" applyFont="1" applyFill="1" applyBorder="1" applyAlignment="1">
      <alignment vertical="center"/>
    </xf>
    <xf numFmtId="164" fontId="85" fillId="7" borderId="128" xfId="11" applyNumberFormat="1" applyFont="1" applyFill="1" applyBorder="1" applyAlignment="1">
      <alignment horizontal="right" vertical="center"/>
    </xf>
    <xf numFmtId="164" fontId="54" fillId="0" borderId="31" xfId="54" applyNumberFormat="1" applyFont="1" applyFill="1" applyBorder="1" applyAlignment="1">
      <alignment horizontal="center" vertical="center"/>
    </xf>
    <xf numFmtId="3" fontId="88" fillId="0" borderId="31" xfId="11" applyNumberFormat="1" applyFont="1" applyBorder="1" applyAlignment="1">
      <alignment horizontal="right" vertical="center"/>
    </xf>
    <xf numFmtId="164" fontId="88" fillId="0" borderId="31" xfId="11" applyNumberFormat="1" applyFont="1" applyBorder="1" applyAlignment="1">
      <alignment horizontal="right" vertical="center"/>
    </xf>
    <xf numFmtId="49" fontId="85" fillId="9" borderId="115" xfId="11" applyNumberFormat="1" applyFont="1" applyFill="1" applyBorder="1" applyAlignment="1">
      <alignment horizontal="center" vertical="center"/>
    </xf>
    <xf numFmtId="3" fontId="91" fillId="0" borderId="115" xfId="11" applyNumberFormat="1" applyFont="1" applyBorder="1" applyAlignment="1">
      <alignment vertical="center"/>
    </xf>
    <xf numFmtId="164" fontId="91" fillId="0" borderId="115" xfId="54" applyNumberFormat="1" applyFont="1" applyBorder="1" applyAlignment="1">
      <alignment horizontal="center" vertical="center"/>
    </xf>
    <xf numFmtId="3" fontId="90" fillId="0" borderId="115" xfId="11" applyNumberFormat="1" applyFont="1" applyBorder="1" applyAlignment="1">
      <alignment vertical="center"/>
    </xf>
    <xf numFmtId="164" fontId="85" fillId="0" borderId="128" xfId="11" applyNumberFormat="1" applyFont="1" applyBorder="1" applyAlignment="1">
      <alignment horizontal="right" vertical="center"/>
    </xf>
    <xf numFmtId="49" fontId="85" fillId="9" borderId="37" xfId="11" applyNumberFormat="1" applyFont="1" applyFill="1" applyBorder="1" applyAlignment="1">
      <alignment horizontal="center" vertical="center"/>
    </xf>
    <xf numFmtId="3" fontId="91" fillId="0" borderId="37" xfId="11" applyNumberFormat="1" applyFont="1" applyBorder="1" applyAlignment="1">
      <alignment vertical="center"/>
    </xf>
    <xf numFmtId="164" fontId="91" fillId="0" borderId="37" xfId="54" applyNumberFormat="1" applyFont="1" applyBorder="1" applyAlignment="1">
      <alignment horizontal="center" vertical="center"/>
    </xf>
    <xf numFmtId="3" fontId="90" fillId="0" borderId="37" xfId="11" applyNumberFormat="1" applyFont="1" applyBorder="1" applyAlignment="1">
      <alignment vertical="center"/>
    </xf>
    <xf numFmtId="164" fontId="85" fillId="0" borderId="160" xfId="11" applyNumberFormat="1" applyFont="1" applyBorder="1" applyAlignment="1">
      <alignment horizontal="right" vertical="center"/>
    </xf>
    <xf numFmtId="0" fontId="85" fillId="0" borderId="128" xfId="11" applyFont="1" applyBorder="1" applyAlignment="1">
      <alignment vertical="center"/>
    </xf>
    <xf numFmtId="3" fontId="91" fillId="0" borderId="128" xfId="11" applyNumberFormat="1" applyFont="1" applyBorder="1" applyAlignment="1">
      <alignment vertical="center"/>
    </xf>
    <xf numFmtId="164" fontId="91" fillId="0" borderId="128" xfId="54" applyNumberFormat="1" applyFont="1" applyBorder="1" applyAlignment="1">
      <alignment horizontal="center" vertical="center"/>
    </xf>
    <xf numFmtId="3" fontId="90" fillId="0" borderId="128" xfId="11" applyNumberFormat="1" applyFont="1" applyBorder="1" applyAlignment="1">
      <alignment vertical="center"/>
    </xf>
    <xf numFmtId="0" fontId="90" fillId="7" borderId="128" xfId="11" applyFont="1" applyFill="1" applyBorder="1" applyAlignment="1">
      <alignment horizontal="left" vertical="center" wrapText="1"/>
    </xf>
    <xf numFmtId="3" fontId="85" fillId="0" borderId="160" xfId="11" applyNumberFormat="1" applyFont="1" applyBorder="1" applyAlignment="1">
      <alignment horizontal="right" vertical="center"/>
    </xf>
    <xf numFmtId="164" fontId="79" fillId="0" borderId="160" xfId="54" applyNumberFormat="1" applyFont="1" applyFill="1" applyBorder="1" applyAlignment="1">
      <alignment horizontal="center" vertical="center"/>
    </xf>
    <xf numFmtId="0" fontId="85" fillId="7" borderId="154" xfId="11" applyFont="1" applyFill="1" applyBorder="1" applyAlignment="1">
      <alignment horizontal="center" vertical="center"/>
    </xf>
    <xf numFmtId="164" fontId="54" fillId="7" borderId="154" xfId="54" applyNumberFormat="1" applyFont="1" applyFill="1" applyBorder="1" applyAlignment="1">
      <alignment horizontal="right" vertical="center"/>
    </xf>
    <xf numFmtId="3" fontId="85" fillId="7" borderId="154" xfId="11" applyNumberFormat="1" applyFont="1" applyFill="1" applyBorder="1" applyAlignment="1">
      <alignment horizontal="right" vertical="center"/>
    </xf>
    <xf numFmtId="164" fontId="91" fillId="7" borderId="128" xfId="11" applyNumberFormat="1" applyFont="1" applyFill="1" applyBorder="1" applyAlignment="1">
      <alignment horizontal="center" vertical="center"/>
    </xf>
    <xf numFmtId="0" fontId="85" fillId="7" borderId="154" xfId="11" applyFont="1" applyFill="1" applyBorder="1" applyAlignment="1">
      <alignment horizontal="left" vertical="center" wrapText="1"/>
    </xf>
    <xf numFmtId="0" fontId="90" fillId="6" borderId="128" xfId="11" applyFont="1" applyFill="1" applyBorder="1" applyAlignment="1">
      <alignment horizontal="center" vertical="center"/>
    </xf>
    <xf numFmtId="3" fontId="91" fillId="6" borderId="128" xfId="11" applyNumberFormat="1" applyFont="1" applyFill="1" applyBorder="1" applyAlignment="1">
      <alignment vertical="center"/>
    </xf>
    <xf numFmtId="3" fontId="90" fillId="6" borderId="128" xfId="11" applyNumberFormat="1" applyFont="1" applyFill="1" applyBorder="1" applyAlignment="1">
      <alignment vertical="center"/>
    </xf>
    <xf numFmtId="0" fontId="111" fillId="6" borderId="129" xfId="11" applyFont="1" applyFill="1" applyBorder="1" applyAlignment="1">
      <alignment vertical="top"/>
    </xf>
    <xf numFmtId="164" fontId="91" fillId="0" borderId="128" xfId="11" applyNumberFormat="1" applyFont="1" applyBorder="1" applyAlignment="1">
      <alignment horizontal="center" vertical="center"/>
    </xf>
    <xf numFmtId="164" fontId="90" fillId="0" borderId="128" xfId="11" applyNumberFormat="1" applyFont="1" applyBorder="1" applyAlignment="1">
      <alignment vertical="center"/>
    </xf>
    <xf numFmtId="0" fontId="85" fillId="7" borderId="128" xfId="11" applyFont="1" applyFill="1" applyBorder="1" applyAlignment="1">
      <alignment horizontal="left" vertical="center" wrapText="1"/>
    </xf>
    <xf numFmtId="0" fontId="90" fillId="7" borderId="128" xfId="11" applyFont="1" applyFill="1" applyBorder="1" applyAlignment="1">
      <alignment horizontal="center" vertical="center" wrapText="1"/>
    </xf>
    <xf numFmtId="4" fontId="111" fillId="9" borderId="175" xfId="11" applyNumberFormat="1" applyFont="1" applyFill="1" applyBorder="1" applyAlignment="1">
      <alignment horizontal="right" vertical="center"/>
    </xf>
    <xf numFmtId="0" fontId="59" fillId="0" borderId="192" xfId="11" applyFont="1" applyBorder="1" applyAlignment="1">
      <alignment vertical="center"/>
    </xf>
    <xf numFmtId="0" fontId="59" fillId="0" borderId="154" xfId="11" applyFont="1" applyBorder="1" applyAlignment="1">
      <alignment vertical="center"/>
    </xf>
    <xf numFmtId="3" fontId="142" fillId="9" borderId="193" xfId="11" applyNumberFormat="1" applyFont="1" applyFill="1" applyBorder="1" applyAlignment="1">
      <alignment horizontal="right" vertical="center"/>
    </xf>
    <xf numFmtId="0" fontId="111" fillId="0" borderId="154" xfId="11" applyFont="1" applyBorder="1" applyAlignment="1">
      <alignment horizontal="center" vertical="center"/>
    </xf>
    <xf numFmtId="3" fontId="111" fillId="0" borderId="154" xfId="11" applyNumberFormat="1" applyFont="1" applyBorder="1" applyAlignment="1">
      <alignment horizontal="right" vertical="center"/>
    </xf>
    <xf numFmtId="10" fontId="111" fillId="0" borderId="154" xfId="1" applyNumberFormat="1" applyFont="1" applyFill="1" applyBorder="1" applyAlignment="1">
      <alignment horizontal="right" vertical="center"/>
    </xf>
    <xf numFmtId="49" fontId="88" fillId="0" borderId="109" xfId="11" applyNumberFormat="1" applyFont="1" applyBorder="1" applyAlignment="1">
      <alignment horizontal="center" vertical="center"/>
    </xf>
    <xf numFmtId="0" fontId="59" fillId="0" borderId="163" xfId="11" applyFont="1" applyBorder="1" applyAlignment="1">
      <alignment vertical="center"/>
    </xf>
    <xf numFmtId="0" fontId="111" fillId="0" borderId="163" xfId="11" applyFont="1" applyBorder="1" applyAlignment="1">
      <alignment horizontal="center" vertical="center"/>
    </xf>
    <xf numFmtId="3" fontId="111" fillId="0" borderId="163" xfId="11" applyNumberFormat="1" applyFont="1" applyBorder="1" applyAlignment="1">
      <alignment horizontal="right" vertical="center"/>
    </xf>
    <xf numFmtId="10" fontId="111" fillId="0" borderId="163" xfId="1" applyNumberFormat="1" applyFont="1" applyFill="1" applyBorder="1" applyAlignment="1">
      <alignment horizontal="right" vertical="center"/>
    </xf>
    <xf numFmtId="0" fontId="142" fillId="9" borderId="163" xfId="11" applyFont="1" applyFill="1" applyBorder="1" applyAlignment="1">
      <alignment horizontal="center" vertical="center" wrapText="1"/>
    </xf>
    <xf numFmtId="3" fontId="142" fillId="9" borderId="163" xfId="11" applyNumberFormat="1" applyFont="1" applyFill="1" applyBorder="1" applyAlignment="1">
      <alignment horizontal="right" vertical="center"/>
    </xf>
    <xf numFmtId="164" fontId="142" fillId="9" borderId="163" xfId="54" applyNumberFormat="1" applyFont="1" applyFill="1" applyBorder="1" applyAlignment="1">
      <alignment horizontal="center" vertical="center"/>
    </xf>
    <xf numFmtId="0" fontId="142" fillId="0" borderId="163" xfId="11" applyFont="1" applyBorder="1" applyAlignment="1">
      <alignment horizontal="center" vertical="center" wrapText="1"/>
    </xf>
    <xf numFmtId="3" fontId="142" fillId="0" borderId="163" xfId="11" applyNumberFormat="1" applyFont="1" applyBorder="1" applyAlignment="1">
      <alignment horizontal="right" vertical="center"/>
    </xf>
    <xf numFmtId="164" fontId="142" fillId="0" borderId="163" xfId="54" applyNumberFormat="1" applyFont="1" applyFill="1" applyBorder="1" applyAlignment="1">
      <alignment horizontal="center" vertical="center"/>
    </xf>
    <xf numFmtId="10" fontId="142" fillId="0" borderId="163" xfId="11" applyNumberFormat="1" applyFont="1" applyBorder="1" applyAlignment="1">
      <alignment horizontal="right" vertical="center"/>
    </xf>
    <xf numFmtId="0" fontId="59" fillId="0" borderId="192" xfId="11" applyFont="1" applyBorder="1" applyAlignment="1">
      <alignment vertical="center" wrapText="1"/>
    </xf>
    <xf numFmtId="0" fontId="59" fillId="0" borderId="163" xfId="11" applyFont="1" applyBorder="1" applyAlignment="1">
      <alignment vertical="center" wrapText="1"/>
    </xf>
    <xf numFmtId="0" fontId="100" fillId="0" borderId="192" xfId="11" applyFont="1" applyBorder="1" applyAlignment="1">
      <alignment vertical="center"/>
    </xf>
    <xf numFmtId="0" fontId="100" fillId="0" borderId="194" xfId="11" applyFont="1" applyBorder="1" applyAlignment="1">
      <alignment vertical="center"/>
    </xf>
    <xf numFmtId="0" fontId="100" fillId="0" borderId="37" xfId="11" applyFont="1" applyBorder="1" applyAlignment="1">
      <alignment vertical="center"/>
    </xf>
    <xf numFmtId="0" fontId="59" fillId="0" borderId="192" xfId="11" applyFont="1" applyBorder="1" applyAlignment="1">
      <alignment horizontal="left" vertical="center"/>
    </xf>
    <xf numFmtId="0" fontId="59" fillId="0" borderId="55" xfId="11" applyFont="1" applyBorder="1" applyAlignment="1">
      <alignment vertical="center"/>
    </xf>
    <xf numFmtId="0" fontId="59" fillId="9" borderId="192" xfId="11" applyFont="1" applyFill="1" applyBorder="1" applyAlignment="1">
      <alignment vertical="center" wrapText="1"/>
    </xf>
    <xf numFmtId="0" fontId="59" fillId="9" borderId="37" xfId="11" applyFont="1" applyFill="1" applyBorder="1" applyAlignment="1">
      <alignment vertical="center" wrapText="1"/>
    </xf>
    <xf numFmtId="0" fontId="111" fillId="0" borderId="55" xfId="11" applyFont="1" applyBorder="1" applyAlignment="1">
      <alignment horizontal="center" vertical="center"/>
    </xf>
    <xf numFmtId="3" fontId="111" fillId="0" borderId="55" xfId="11" applyNumberFormat="1" applyFont="1" applyBorder="1" applyAlignment="1">
      <alignment horizontal="right" vertical="center"/>
    </xf>
    <xf numFmtId="10" fontId="111" fillId="0" borderId="55" xfId="1" applyNumberFormat="1" applyFont="1" applyFill="1" applyBorder="1" applyAlignment="1">
      <alignment horizontal="right" vertical="center"/>
    </xf>
    <xf numFmtId="0" fontId="100" fillId="6" borderId="163" xfId="11" applyFont="1" applyFill="1" applyBorder="1" applyAlignment="1">
      <alignment horizontal="center" vertical="center"/>
    </xf>
    <xf numFmtId="0" fontId="111" fillId="6" borderId="192" xfId="11" applyFont="1" applyFill="1" applyBorder="1" applyAlignment="1">
      <alignment horizontal="center" vertical="center"/>
    </xf>
    <xf numFmtId="3" fontId="100" fillId="6" borderId="192" xfId="11" applyNumberFormat="1" applyFont="1" applyFill="1" applyBorder="1" applyAlignment="1">
      <alignment horizontal="right" vertical="center"/>
    </xf>
    <xf numFmtId="10" fontId="100" fillId="6" borderId="163" xfId="1" applyNumberFormat="1" applyFont="1" applyFill="1" applyBorder="1" applyAlignment="1">
      <alignment horizontal="right" vertical="center"/>
    </xf>
    <xf numFmtId="0" fontId="100" fillId="0" borderId="163" xfId="11" applyFont="1" applyBorder="1" applyAlignment="1">
      <alignment horizontal="center" vertical="center"/>
    </xf>
    <xf numFmtId="49" fontId="100" fillId="0" borderId="147" xfId="11" applyNumberFormat="1" applyFont="1" applyBorder="1" applyAlignment="1">
      <alignment horizontal="center" vertical="center"/>
    </xf>
    <xf numFmtId="0" fontId="122" fillId="7" borderId="128" xfId="11" applyFont="1" applyFill="1" applyBorder="1" applyAlignment="1">
      <alignment vertical="center" wrapText="1"/>
    </xf>
    <xf numFmtId="0" fontId="122" fillId="7" borderId="128" xfId="11" applyFont="1" applyFill="1" applyBorder="1" applyAlignment="1">
      <alignment horizontal="center" vertical="center"/>
    </xf>
    <xf numFmtId="3" fontId="123" fillId="7" borderId="128" xfId="11" applyNumberFormat="1" applyFont="1" applyFill="1" applyBorder="1" applyAlignment="1">
      <alignment vertical="center"/>
    </xf>
    <xf numFmtId="3" fontId="124" fillId="7" borderId="128" xfId="11" applyNumberFormat="1" applyFont="1" applyFill="1" applyBorder="1" applyAlignment="1">
      <alignment vertical="center"/>
    </xf>
    <xf numFmtId="164" fontId="57" fillId="7" borderId="128" xfId="62" applyNumberFormat="1" applyFont="1" applyFill="1" applyBorder="1" applyAlignment="1">
      <alignment horizontal="center" vertical="center"/>
    </xf>
    <xf numFmtId="3" fontId="122" fillId="7" borderId="128" xfId="11" applyNumberFormat="1" applyFont="1" applyFill="1" applyBorder="1" applyAlignment="1">
      <alignment vertical="center"/>
    </xf>
    <xf numFmtId="164" fontId="54" fillId="7" borderId="128" xfId="11" applyNumberFormat="1" applyFont="1" applyFill="1" applyBorder="1" applyAlignment="1">
      <alignment horizontal="right" vertical="center"/>
    </xf>
    <xf numFmtId="49" fontId="122" fillId="0" borderId="175" xfId="11" applyNumberFormat="1" applyFont="1" applyBorder="1" applyAlignment="1">
      <alignment horizontal="left" vertical="center"/>
    </xf>
    <xf numFmtId="0" fontId="125" fillId="0" borderId="175" xfId="11" applyFont="1" applyBorder="1" applyAlignment="1">
      <alignment horizontal="center" vertical="center"/>
    </xf>
    <xf numFmtId="3" fontId="123" fillId="0" borderId="175" xfId="11" applyNumberFormat="1" applyFont="1" applyBorder="1" applyAlignment="1">
      <alignment vertical="center"/>
    </xf>
    <xf numFmtId="3" fontId="124" fillId="0" borderId="175" xfId="11" applyNumberFormat="1" applyFont="1" applyBorder="1" applyAlignment="1">
      <alignment vertical="center"/>
    </xf>
    <xf numFmtId="164" fontId="91" fillId="0" borderId="175" xfId="62" applyNumberFormat="1" applyFont="1" applyBorder="1" applyAlignment="1">
      <alignment horizontal="center" vertical="center"/>
    </xf>
    <xf numFmtId="3" fontId="122" fillId="0" borderId="175" xfId="11" applyNumberFormat="1" applyFont="1" applyBorder="1" applyAlignment="1">
      <alignment vertical="center"/>
    </xf>
    <xf numFmtId="164" fontId="59" fillId="0" borderId="175" xfId="11" applyNumberFormat="1" applyFont="1" applyBorder="1" applyAlignment="1">
      <alignment horizontal="right" vertical="center"/>
    </xf>
    <xf numFmtId="0" fontId="125" fillId="0" borderId="175" xfId="11" applyFont="1" applyBorder="1" applyAlignment="1">
      <alignment vertical="center"/>
    </xf>
    <xf numFmtId="3" fontId="126" fillId="0" borderId="175" xfId="11" applyNumberFormat="1" applyFont="1" applyBorder="1" applyAlignment="1">
      <alignment vertical="center"/>
    </xf>
    <xf numFmtId="3" fontId="127" fillId="0" borderId="175" xfId="11" applyNumberFormat="1" applyFont="1" applyBorder="1" applyAlignment="1">
      <alignment vertical="center"/>
    </xf>
    <xf numFmtId="164" fontId="57" fillId="0" borderId="175" xfId="62" applyNumberFormat="1" applyFont="1" applyBorder="1" applyAlignment="1">
      <alignment horizontal="center" vertical="center"/>
    </xf>
    <xf numFmtId="3" fontId="125" fillId="0" borderId="175" xfId="11" applyNumberFormat="1" applyFont="1" applyBorder="1" applyAlignment="1">
      <alignment vertical="center"/>
    </xf>
    <xf numFmtId="0" fontId="128" fillId="0" borderId="175" xfId="11" applyFont="1" applyBorder="1" applyAlignment="1">
      <alignment horizontal="center" vertical="center"/>
    </xf>
    <xf numFmtId="3" fontId="129" fillId="0" borderId="175" xfId="11" applyNumberFormat="1" applyFont="1" applyBorder="1" applyAlignment="1">
      <alignment vertical="center"/>
    </xf>
    <xf numFmtId="3" fontId="130" fillId="0" borderId="175" xfId="62" applyNumberFormat="1" applyFont="1" applyFill="1" applyBorder="1" applyAlignment="1">
      <alignment horizontal="right" vertical="center"/>
    </xf>
    <xf numFmtId="164" fontId="120" fillId="0" borderId="175" xfId="62" applyNumberFormat="1" applyFont="1" applyBorder="1" applyAlignment="1">
      <alignment horizontal="center" vertical="center"/>
    </xf>
    <xf numFmtId="3" fontId="128" fillId="0" borderId="175" xfId="11" applyNumberFormat="1" applyFont="1" applyBorder="1" applyAlignment="1">
      <alignment vertical="center"/>
    </xf>
    <xf numFmtId="3" fontId="40" fillId="0" borderId="175" xfId="11" applyNumberFormat="1" applyFont="1" applyBorder="1" applyAlignment="1">
      <alignment vertical="center"/>
    </xf>
    <xf numFmtId="3" fontId="39" fillId="0" borderId="175" xfId="11" applyNumberFormat="1" applyFont="1" applyBorder="1" applyAlignment="1">
      <alignment vertical="center"/>
    </xf>
    <xf numFmtId="3" fontId="127" fillId="0" borderId="175" xfId="62" applyNumberFormat="1" applyFont="1" applyFill="1" applyBorder="1" applyAlignment="1">
      <alignment horizontal="right" vertical="center"/>
    </xf>
    <xf numFmtId="164" fontId="125" fillId="0" borderId="175" xfId="11" applyNumberFormat="1" applyFont="1" applyBorder="1" applyAlignment="1">
      <alignment vertical="center"/>
    </xf>
    <xf numFmtId="3" fontId="125" fillId="0" borderId="175" xfId="62" applyNumberFormat="1" applyFont="1" applyBorder="1" applyAlignment="1">
      <alignment horizontal="center" vertical="center"/>
    </xf>
    <xf numFmtId="0" fontId="125" fillId="0" borderId="175" xfId="11" applyFont="1" applyBorder="1" applyAlignment="1">
      <alignment vertical="center" wrapText="1"/>
    </xf>
    <xf numFmtId="0" fontId="122" fillId="0" borderId="175" xfId="11" applyFont="1" applyBorder="1" applyAlignment="1">
      <alignment vertical="center"/>
    </xf>
    <xf numFmtId="0" fontId="122" fillId="0" borderId="175" xfId="11" applyFont="1" applyBorder="1" applyAlignment="1">
      <alignment horizontal="center" vertical="center"/>
    </xf>
    <xf numFmtId="164" fontId="122" fillId="0" borderId="175" xfId="11" applyNumberFormat="1" applyFont="1" applyBorder="1" applyAlignment="1">
      <alignment vertical="center"/>
    </xf>
    <xf numFmtId="1" fontId="128" fillId="0" borderId="175" xfId="11" applyNumberFormat="1" applyFont="1" applyBorder="1" applyAlignment="1">
      <alignment horizontal="center" vertical="center"/>
    </xf>
    <xf numFmtId="0" fontId="125" fillId="0" borderId="160" xfId="11" applyFont="1" applyBorder="1" applyAlignment="1">
      <alignment vertical="center"/>
    </xf>
    <xf numFmtId="0" fontId="125" fillId="0" borderId="160" xfId="11" applyFont="1" applyBorder="1" applyAlignment="1">
      <alignment horizontal="center" vertical="center"/>
    </xf>
    <xf numFmtId="3" fontId="126" fillId="0" borderId="160" xfId="11" applyNumberFormat="1" applyFont="1" applyBorder="1" applyAlignment="1">
      <alignment vertical="center"/>
    </xf>
    <xf numFmtId="3" fontId="127" fillId="0" borderId="160" xfId="62" applyNumberFormat="1" applyFont="1" applyFill="1" applyBorder="1" applyAlignment="1">
      <alignment horizontal="right" vertical="center"/>
    </xf>
    <xf numFmtId="3" fontId="125" fillId="0" borderId="160" xfId="62" applyNumberFormat="1" applyFont="1" applyBorder="1" applyAlignment="1">
      <alignment horizontal="center" vertical="center"/>
    </xf>
    <xf numFmtId="3" fontId="125" fillId="0" borderId="160" xfId="11" applyNumberFormat="1" applyFont="1" applyBorder="1" applyAlignment="1">
      <alignment vertical="center"/>
    </xf>
    <xf numFmtId="164" fontId="125" fillId="0" borderId="160" xfId="11" applyNumberFormat="1" applyFont="1" applyBorder="1" applyAlignment="1">
      <alignment vertical="center"/>
    </xf>
    <xf numFmtId="0" fontId="90" fillId="7" borderId="128" xfId="11" applyFont="1" applyFill="1" applyBorder="1" applyAlignment="1">
      <alignment vertical="center" wrapText="1"/>
    </xf>
    <xf numFmtId="3" fontId="90" fillId="7" borderId="128" xfId="11" applyNumberFormat="1" applyFont="1" applyFill="1" applyBorder="1" applyAlignment="1">
      <alignment horizontal="center" vertical="center"/>
    </xf>
    <xf numFmtId="3" fontId="117" fillId="7" borderId="128" xfId="11" applyNumberFormat="1" applyFont="1" applyFill="1" applyBorder="1" applyAlignment="1">
      <alignment vertical="center"/>
    </xf>
    <xf numFmtId="164" fontId="54" fillId="7" borderId="128" xfId="62" applyNumberFormat="1" applyFont="1" applyFill="1" applyBorder="1" applyAlignment="1">
      <alignment horizontal="center" vertical="center"/>
    </xf>
    <xf numFmtId="164" fontId="54" fillId="0" borderId="175" xfId="62" applyNumberFormat="1" applyFont="1" applyFill="1" applyBorder="1" applyAlignment="1">
      <alignment horizontal="center" vertical="center"/>
    </xf>
    <xf numFmtId="164" fontId="54" fillId="0" borderId="175" xfId="11" applyNumberFormat="1" applyFont="1" applyBorder="1" applyAlignment="1">
      <alignment horizontal="right" vertical="center"/>
    </xf>
    <xf numFmtId="3" fontId="87" fillId="0" borderId="175" xfId="11" applyNumberFormat="1" applyFont="1" applyBorder="1" applyAlignment="1">
      <alignment vertical="center"/>
    </xf>
    <xf numFmtId="1" fontId="119" fillId="0" borderId="175" xfId="11" applyNumberFormat="1" applyFont="1" applyBorder="1" applyAlignment="1">
      <alignment horizontal="center" vertical="center"/>
    </xf>
    <xf numFmtId="3" fontId="121" fillId="0" borderId="175" xfId="11" applyNumberFormat="1" applyFont="1" applyBorder="1" applyAlignment="1">
      <alignment vertical="center"/>
    </xf>
    <xf numFmtId="164" fontId="79" fillId="0" borderId="175" xfId="62" applyNumberFormat="1" applyFont="1" applyFill="1" applyBorder="1" applyAlignment="1">
      <alignment horizontal="center" vertical="center"/>
    </xf>
    <xf numFmtId="164" fontId="49" fillId="0" borderId="175" xfId="62" applyNumberFormat="1" applyFont="1" applyFill="1" applyBorder="1" applyAlignment="1">
      <alignment horizontal="right" vertical="center"/>
    </xf>
    <xf numFmtId="1" fontId="110" fillId="0" borderId="175" xfId="11" applyNumberFormat="1" applyFont="1" applyBorder="1" applyAlignment="1">
      <alignment vertical="center"/>
    </xf>
    <xf numFmtId="164" fontId="47" fillId="0" borderId="175" xfId="62" applyNumberFormat="1" applyFont="1" applyFill="1" applyBorder="1" applyAlignment="1">
      <alignment horizontal="right" vertical="center"/>
    </xf>
    <xf numFmtId="1" fontId="90" fillId="0" borderId="175" xfId="11" applyNumberFormat="1" applyFont="1" applyBorder="1" applyAlignment="1">
      <alignment horizontal="center" vertical="center"/>
    </xf>
    <xf numFmtId="1" fontId="90" fillId="0" borderId="175" xfId="11" applyNumberFormat="1" applyFont="1" applyBorder="1" applyAlignment="1">
      <alignment vertical="center"/>
    </xf>
    <xf numFmtId="1" fontId="117" fillId="0" borderId="175" xfId="11" applyNumberFormat="1" applyFont="1" applyBorder="1" applyAlignment="1">
      <alignment vertical="center"/>
    </xf>
    <xf numFmtId="1" fontId="91" fillId="0" borderId="175" xfId="11" applyNumberFormat="1" applyFont="1" applyBorder="1" applyAlignment="1">
      <alignment vertical="center"/>
    </xf>
    <xf numFmtId="0" fontId="110" fillId="0" borderId="175" xfId="11" applyFont="1" applyBorder="1" applyAlignment="1">
      <alignment horizontal="center" vertical="center"/>
    </xf>
    <xf numFmtId="0" fontId="110" fillId="0" borderId="175" xfId="11" applyFont="1" applyBorder="1" applyAlignment="1">
      <alignment vertical="center"/>
    </xf>
    <xf numFmtId="0" fontId="90" fillId="7" borderId="175" xfId="11" applyFont="1" applyFill="1" applyBorder="1" applyAlignment="1">
      <alignment horizontal="center" vertical="center"/>
    </xf>
    <xf numFmtId="0" fontId="117" fillId="7" borderId="175" xfId="11" applyFont="1" applyFill="1" applyBorder="1" applyAlignment="1">
      <alignment vertical="center"/>
    </xf>
    <xf numFmtId="164" fontId="91" fillId="7" borderId="175" xfId="62" applyNumberFormat="1" applyFont="1" applyFill="1" applyBorder="1" applyAlignment="1">
      <alignment horizontal="center" vertical="center"/>
    </xf>
    <xf numFmtId="164" fontId="54" fillId="7" borderId="175" xfId="11" applyNumberFormat="1" applyFont="1" applyFill="1" applyBorder="1" applyAlignment="1">
      <alignment horizontal="right" vertical="center"/>
    </xf>
    <xf numFmtId="0" fontId="117" fillId="0" borderId="175" xfId="11" applyFont="1" applyBorder="1" applyAlignment="1">
      <alignment vertical="center"/>
    </xf>
    <xf numFmtId="0" fontId="119" fillId="0" borderId="175" xfId="11" applyFont="1" applyBorder="1" applyAlignment="1">
      <alignment horizontal="center" vertical="center"/>
    </xf>
    <xf numFmtId="0" fontId="90" fillId="0" borderId="175" xfId="11" applyFont="1" applyBorder="1" applyAlignment="1">
      <alignment vertical="center"/>
    </xf>
    <xf numFmtId="0" fontId="91" fillId="0" borderId="175" xfId="11" applyFont="1" applyBorder="1" applyAlignment="1">
      <alignment vertical="center"/>
    </xf>
    <xf numFmtId="0" fontId="110" fillId="0" borderId="160" xfId="11" applyFont="1" applyBorder="1" applyAlignment="1">
      <alignment horizontal="center" vertical="center"/>
    </xf>
    <xf numFmtId="0" fontId="110" fillId="0" borderId="160" xfId="11" applyFont="1" applyBorder="1" applyAlignment="1">
      <alignment vertical="center"/>
    </xf>
    <xf numFmtId="164" fontId="47" fillId="0" borderId="160" xfId="62" applyNumberFormat="1" applyFont="1" applyFill="1" applyBorder="1" applyAlignment="1">
      <alignment horizontal="right" vertical="center"/>
    </xf>
    <xf numFmtId="164" fontId="57" fillId="0" borderId="160" xfId="62" applyNumberFormat="1" applyFont="1" applyBorder="1" applyAlignment="1">
      <alignment horizontal="center" vertical="center"/>
    </xf>
    <xf numFmtId="164" fontId="57" fillId="0" borderId="160" xfId="11" applyNumberFormat="1" applyFont="1" applyBorder="1" applyAlignment="1">
      <alignment vertical="center"/>
    </xf>
    <xf numFmtId="0" fontId="90" fillId="6" borderId="127" xfId="11" applyFont="1" applyFill="1" applyBorder="1" applyAlignment="1">
      <alignment horizontal="center" vertical="center"/>
    </xf>
    <xf numFmtId="3" fontId="90" fillId="6" borderId="128" xfId="11" applyNumberFormat="1" applyFont="1" applyFill="1" applyBorder="1" applyAlignment="1">
      <alignment horizontal="center" vertical="center"/>
    </xf>
    <xf numFmtId="3" fontId="117" fillId="6" borderId="128" xfId="11" applyNumberFormat="1" applyFont="1" applyFill="1" applyBorder="1" applyAlignment="1">
      <alignment vertical="center"/>
    </xf>
    <xf numFmtId="10" fontId="91" fillId="6" borderId="128" xfId="11" applyNumberFormat="1" applyFont="1" applyFill="1" applyBorder="1" applyAlignment="1">
      <alignment horizontal="center" vertical="center"/>
    </xf>
    <xf numFmtId="164" fontId="54" fillId="6" borderId="128" xfId="11" applyNumberFormat="1" applyFont="1" applyFill="1" applyBorder="1" applyAlignment="1">
      <alignment horizontal="right" vertical="center"/>
    </xf>
    <xf numFmtId="0" fontId="74" fillId="6" borderId="129" xfId="11" applyFont="1" applyFill="1" applyBorder="1" applyAlignment="1">
      <alignment horizontal="left" vertical="center"/>
    </xf>
    <xf numFmtId="3" fontId="117" fillId="15" borderId="175" xfId="11" applyNumberFormat="1" applyFont="1" applyFill="1" applyBorder="1" applyAlignment="1">
      <alignment vertical="center"/>
    </xf>
    <xf numFmtId="164" fontId="91" fillId="15" borderId="175" xfId="11" applyNumberFormat="1" applyFont="1" applyFill="1" applyBorder="1" applyAlignment="1">
      <alignment vertical="center"/>
    </xf>
    <xf numFmtId="0" fontId="90" fillId="6" borderId="165" xfId="11" applyFont="1" applyFill="1" applyBorder="1" applyAlignment="1">
      <alignment horizontal="center" vertical="center"/>
    </xf>
    <xf numFmtId="3" fontId="90" fillId="6" borderId="175" xfId="11" applyNumberFormat="1" applyFont="1" applyFill="1" applyBorder="1" applyAlignment="1">
      <alignment horizontal="center" vertical="center"/>
    </xf>
    <xf numFmtId="3" fontId="117" fillId="6" borderId="175" xfId="11" applyNumberFormat="1" applyFont="1" applyFill="1" applyBorder="1" applyAlignment="1">
      <alignment vertical="center"/>
    </xf>
    <xf numFmtId="10" fontId="91" fillId="6" borderId="175" xfId="11" applyNumberFormat="1" applyFont="1" applyFill="1" applyBorder="1" applyAlignment="1">
      <alignment horizontal="center" vertical="center"/>
    </xf>
    <xf numFmtId="0" fontId="74" fillId="6" borderId="170" xfId="11" applyFont="1" applyFill="1" applyBorder="1" applyAlignment="1">
      <alignment horizontal="left" vertical="center"/>
    </xf>
    <xf numFmtId="0" fontId="90" fillId="7" borderId="175" xfId="11" applyFont="1" applyFill="1" applyBorder="1" applyAlignment="1">
      <alignment vertical="center" wrapText="1"/>
    </xf>
    <xf numFmtId="3" fontId="90" fillId="7" borderId="175" xfId="11" applyNumberFormat="1" applyFont="1" applyFill="1" applyBorder="1" applyAlignment="1">
      <alignment horizontal="center" vertical="center"/>
    </xf>
    <xf numFmtId="3" fontId="117" fillId="7" borderId="175" xfId="11" applyNumberFormat="1" applyFont="1" applyFill="1" applyBorder="1" applyAlignment="1">
      <alignment vertical="center"/>
    </xf>
    <xf numFmtId="164" fontId="54" fillId="7" borderId="175" xfId="62" applyNumberFormat="1" applyFont="1" applyFill="1" applyBorder="1" applyAlignment="1">
      <alignment horizontal="center" vertical="center"/>
    </xf>
    <xf numFmtId="3" fontId="110" fillId="0" borderId="175" xfId="11" applyNumberFormat="1" applyFont="1" applyBorder="1" applyAlignment="1">
      <alignment horizontal="left" vertical="center"/>
    </xf>
    <xf numFmtId="164" fontId="48" fillId="0" borderId="175" xfId="62" applyNumberFormat="1" applyFont="1" applyFill="1" applyBorder="1" applyAlignment="1">
      <alignment horizontal="right" vertical="center"/>
    </xf>
    <xf numFmtId="164" fontId="79" fillId="0" borderId="160" xfId="62" applyNumberFormat="1" applyFont="1" applyFill="1" applyBorder="1" applyAlignment="1">
      <alignment horizontal="center" vertical="center"/>
    </xf>
    <xf numFmtId="0" fontId="85" fillId="7" borderId="128" xfId="11" applyFont="1" applyFill="1" applyBorder="1" applyAlignment="1">
      <alignment vertical="center"/>
    </xf>
    <xf numFmtId="0" fontId="85" fillId="14" borderId="175" xfId="11" applyFont="1" applyFill="1" applyBorder="1" applyAlignment="1">
      <alignment vertical="center"/>
    </xf>
    <xf numFmtId="3" fontId="90" fillId="14" borderId="175" xfId="11" applyNumberFormat="1" applyFont="1" applyFill="1" applyBorder="1" applyAlignment="1">
      <alignment horizontal="center" vertical="center"/>
    </xf>
    <xf numFmtId="3" fontId="90" fillId="14" borderId="175" xfId="11" applyNumberFormat="1" applyFont="1" applyFill="1" applyBorder="1" applyAlignment="1">
      <alignment vertical="center"/>
    </xf>
    <xf numFmtId="3" fontId="117" fillId="14" borderId="175" xfId="11" applyNumberFormat="1" applyFont="1" applyFill="1" applyBorder="1" applyAlignment="1">
      <alignment vertical="center"/>
    </xf>
    <xf numFmtId="164" fontId="91" fillId="14" borderId="175" xfId="11" applyNumberFormat="1" applyFont="1" applyFill="1" applyBorder="1" applyAlignment="1">
      <alignment horizontal="center" vertical="center"/>
    </xf>
    <xf numFmtId="3" fontId="91" fillId="14" borderId="175" xfId="11" applyNumberFormat="1" applyFont="1" applyFill="1" applyBorder="1" applyAlignment="1">
      <alignment vertical="center"/>
    </xf>
    <xf numFmtId="164" fontId="91" fillId="14" borderId="175" xfId="11" applyNumberFormat="1" applyFont="1" applyFill="1" applyBorder="1" applyAlignment="1">
      <alignment vertical="center"/>
    </xf>
    <xf numFmtId="164" fontId="54" fillId="0" borderId="160" xfId="62" applyNumberFormat="1" applyFont="1" applyFill="1" applyBorder="1" applyAlignment="1">
      <alignment horizontal="center" vertical="center"/>
    </xf>
    <xf numFmtId="3" fontId="110" fillId="7" borderId="175" xfId="11" applyNumberFormat="1" applyFont="1" applyFill="1" applyBorder="1" applyAlignment="1">
      <alignment horizontal="center" vertical="center"/>
    </xf>
    <xf numFmtId="164" fontId="91" fillId="0" borderId="160" xfId="62" applyNumberFormat="1" applyFont="1" applyBorder="1" applyAlignment="1">
      <alignment horizontal="center" vertical="center"/>
    </xf>
    <xf numFmtId="0" fontId="85" fillId="6" borderId="128" xfId="11" applyFont="1" applyFill="1" applyBorder="1" applyAlignment="1">
      <alignment vertical="center" wrapText="1"/>
    </xf>
    <xf numFmtId="164" fontId="91" fillId="6" borderId="128" xfId="8" applyNumberFormat="1" applyFont="1" applyFill="1" applyBorder="1" applyAlignment="1">
      <alignment vertical="center"/>
    </xf>
    <xf numFmtId="164" fontId="91" fillId="7" borderId="175" xfId="62" applyNumberFormat="1" applyFont="1" applyFill="1" applyBorder="1" applyAlignment="1">
      <alignment horizontal="right" vertical="center"/>
    </xf>
    <xf numFmtId="0" fontId="85" fillId="6" borderId="175" xfId="11" applyFont="1" applyFill="1" applyBorder="1" applyAlignment="1">
      <alignment vertical="center" wrapText="1"/>
    </xf>
    <xf numFmtId="164" fontId="91" fillId="6" borderId="175" xfId="8" applyNumberFormat="1" applyFont="1" applyFill="1" applyBorder="1" applyAlignment="1">
      <alignment vertical="center"/>
    </xf>
    <xf numFmtId="164" fontId="91" fillId="0" borderId="175" xfId="62" applyNumberFormat="1" applyFont="1" applyFill="1" applyBorder="1" applyAlignment="1">
      <alignment horizontal="center" vertical="center"/>
    </xf>
    <xf numFmtId="0" fontId="88" fillId="0" borderId="128" xfId="11" applyFont="1" applyBorder="1" applyAlignment="1">
      <alignment vertical="center"/>
    </xf>
    <xf numFmtId="3" fontId="110" fillId="0" borderId="128" xfId="11" applyNumberFormat="1" applyFont="1" applyBorder="1" applyAlignment="1">
      <alignment horizontal="center" vertical="center"/>
    </xf>
    <xf numFmtId="3" fontId="87" fillId="0" borderId="128" xfId="11" applyNumberFormat="1" applyFont="1" applyBorder="1" applyAlignment="1">
      <alignment vertical="center"/>
    </xf>
    <xf numFmtId="3" fontId="110" fillId="0" borderId="128" xfId="11" applyNumberFormat="1" applyFont="1" applyBorder="1" applyAlignment="1">
      <alignment vertical="center"/>
    </xf>
    <xf numFmtId="164" fontId="47" fillId="0" borderId="128" xfId="62" applyNumberFormat="1" applyFont="1" applyFill="1" applyBorder="1" applyAlignment="1">
      <alignment horizontal="right" vertical="center"/>
    </xf>
    <xf numFmtId="164" fontId="54" fillId="0" borderId="128" xfId="62" applyNumberFormat="1" applyFont="1" applyFill="1" applyBorder="1" applyAlignment="1">
      <alignment horizontal="center" vertical="center"/>
    </xf>
    <xf numFmtId="164" fontId="57" fillId="0" borderId="128" xfId="11" applyNumberFormat="1" applyFont="1" applyBorder="1" applyAlignment="1">
      <alignment vertical="center"/>
    </xf>
    <xf numFmtId="0" fontId="85" fillId="13" borderId="175" xfId="11" applyFont="1" applyFill="1" applyBorder="1" applyAlignment="1">
      <alignment vertical="center" wrapText="1"/>
    </xf>
    <xf numFmtId="3" fontId="90" fillId="13" borderId="175" xfId="11" applyNumberFormat="1" applyFont="1" applyFill="1" applyBorder="1" applyAlignment="1">
      <alignment horizontal="center" vertical="center"/>
    </xf>
    <xf numFmtId="3" fontId="90" fillId="13" borderId="175" xfId="11" applyNumberFormat="1" applyFont="1" applyFill="1" applyBorder="1" applyAlignment="1">
      <alignment vertical="center"/>
    </xf>
    <xf numFmtId="3" fontId="117" fillId="13" borderId="175" xfId="11" applyNumberFormat="1" applyFont="1" applyFill="1" applyBorder="1" applyAlignment="1">
      <alignment vertical="center"/>
    </xf>
    <xf numFmtId="164" fontId="54" fillId="13" borderId="175" xfId="62" applyNumberFormat="1" applyFont="1" applyFill="1" applyBorder="1" applyAlignment="1">
      <alignment horizontal="center" vertical="center"/>
    </xf>
    <xf numFmtId="3" fontId="91" fillId="13" borderId="175" xfId="11" applyNumberFormat="1" applyFont="1" applyFill="1" applyBorder="1" applyAlignment="1">
      <alignment vertical="center"/>
    </xf>
    <xf numFmtId="164" fontId="88" fillId="0" borderId="175" xfId="62" applyNumberFormat="1" applyFont="1" applyFill="1" applyBorder="1" applyAlignment="1">
      <alignment horizontal="right" vertical="center"/>
    </xf>
    <xf numFmtId="164" fontId="107" fillId="0" borderId="175" xfId="62" applyNumberFormat="1" applyFont="1" applyFill="1" applyBorder="1" applyAlignment="1">
      <alignment horizontal="right" vertical="center"/>
    </xf>
    <xf numFmtId="3" fontId="87" fillId="0" borderId="160" xfId="11" applyNumberFormat="1" applyFont="1" applyBorder="1" applyAlignment="1">
      <alignment vertical="center"/>
    </xf>
    <xf numFmtId="1" fontId="110" fillId="0" borderId="128" xfId="11" applyNumberFormat="1" applyFont="1" applyBorder="1" applyAlignment="1">
      <alignment horizontal="center" vertical="center"/>
    </xf>
    <xf numFmtId="164" fontId="79" fillId="0" borderId="128" xfId="62" applyNumberFormat="1" applyFont="1" applyFill="1" applyBorder="1" applyAlignment="1">
      <alignment horizontal="center" vertical="center"/>
    </xf>
    <xf numFmtId="164" fontId="59" fillId="0" borderId="128" xfId="11" applyNumberFormat="1" applyFont="1" applyBorder="1" applyAlignment="1">
      <alignment horizontal="right" vertical="center"/>
    </xf>
    <xf numFmtId="1" fontId="119" fillId="0" borderId="160" xfId="11" applyNumberFormat="1" applyFont="1" applyBorder="1" applyAlignment="1">
      <alignment horizontal="center" vertical="center"/>
    </xf>
    <xf numFmtId="3" fontId="119" fillId="0" borderId="160" xfId="11" applyNumberFormat="1" applyFont="1" applyBorder="1" applyAlignment="1">
      <alignment vertical="center"/>
    </xf>
    <xf numFmtId="164" fontId="49" fillId="0" borderId="160" xfId="62" applyNumberFormat="1" applyFont="1" applyFill="1" applyBorder="1" applyAlignment="1">
      <alignment horizontal="right" vertical="center"/>
    </xf>
    <xf numFmtId="3" fontId="120" fillId="0" borderId="160" xfId="11" applyNumberFormat="1" applyFont="1" applyBorder="1" applyAlignment="1">
      <alignment vertical="center"/>
    </xf>
    <xf numFmtId="164" fontId="59" fillId="0" borderId="160" xfId="11" applyNumberFormat="1" applyFont="1" applyBorder="1" applyAlignment="1">
      <alignment horizontal="right" vertical="center"/>
    </xf>
    <xf numFmtId="0" fontId="85" fillId="7" borderId="128" xfId="11" applyFont="1" applyFill="1" applyBorder="1" applyAlignment="1">
      <alignment vertical="center" wrapText="1"/>
    </xf>
    <xf numFmtId="49" fontId="85" fillId="3" borderId="128" xfId="6" applyNumberFormat="1" applyFont="1" applyFill="1" applyBorder="1" applyAlignment="1">
      <alignment vertical="center"/>
    </xf>
    <xf numFmtId="3" fontId="85" fillId="6" borderId="128" xfId="11" applyNumberFormat="1" applyFont="1" applyFill="1" applyBorder="1" applyAlignment="1">
      <alignment horizontal="center" vertical="center"/>
    </xf>
    <xf numFmtId="3" fontId="85" fillId="6" borderId="128" xfId="11" applyNumberFormat="1" applyFont="1" applyFill="1" applyBorder="1" applyAlignment="1">
      <alignment horizontal="right" vertical="center"/>
    </xf>
    <xf numFmtId="3" fontId="48" fillId="6" borderId="128" xfId="11" applyNumberFormat="1" applyFont="1" applyFill="1" applyBorder="1" applyAlignment="1">
      <alignment horizontal="right" vertical="center"/>
    </xf>
    <xf numFmtId="0" fontId="69" fillId="6" borderId="129" xfId="11" applyFont="1" applyFill="1" applyBorder="1" applyAlignment="1">
      <alignment horizontal="center" vertical="center" wrapText="1"/>
    </xf>
    <xf numFmtId="3" fontId="85" fillId="7" borderId="175" xfId="11" applyNumberFormat="1" applyFont="1" applyFill="1" applyBorder="1" applyAlignment="1">
      <alignment horizontal="center" vertical="center"/>
    </xf>
    <xf numFmtId="3" fontId="88" fillId="0" borderId="175" xfId="11" applyNumberFormat="1" applyFont="1" applyBorder="1" applyAlignment="1">
      <alignment horizontal="center" vertical="center"/>
    </xf>
    <xf numFmtId="1" fontId="88" fillId="0" borderId="175" xfId="11" applyNumberFormat="1" applyFont="1" applyBorder="1" applyAlignment="1">
      <alignment horizontal="center" vertical="center"/>
    </xf>
    <xf numFmtId="3" fontId="85" fillId="0" borderId="175" xfId="61" applyNumberFormat="1" applyFont="1" applyBorder="1" applyAlignment="1">
      <alignment horizontal="center" vertical="center"/>
    </xf>
    <xf numFmtId="3" fontId="85" fillId="0" borderId="175" xfId="61" applyNumberFormat="1" applyFont="1" applyBorder="1" applyAlignment="1">
      <alignment horizontal="right" vertical="center"/>
    </xf>
    <xf numFmtId="3" fontId="107" fillId="0" borderId="175" xfId="11" applyNumberFormat="1" applyFont="1" applyBorder="1" applyAlignment="1">
      <alignment horizontal="right" vertical="center"/>
    </xf>
    <xf numFmtId="3" fontId="85" fillId="6" borderId="175" xfId="11" applyNumberFormat="1" applyFont="1" applyFill="1" applyBorder="1" applyAlignment="1">
      <alignment horizontal="center" vertical="center"/>
    </xf>
    <xf numFmtId="164" fontId="54" fillId="6" borderId="175" xfId="62" applyNumberFormat="1" applyFont="1" applyFill="1" applyBorder="1" applyAlignment="1">
      <alignment horizontal="center" vertical="center"/>
    </xf>
    <xf numFmtId="0" fontId="69" fillId="6" borderId="170" xfId="11" applyFont="1" applyFill="1" applyBorder="1" applyAlignment="1">
      <alignment horizontal="center" vertical="center" wrapText="1"/>
    </xf>
    <xf numFmtId="1" fontId="107" fillId="0" borderId="175" xfId="11" applyNumberFormat="1" applyFont="1" applyBorder="1" applyAlignment="1">
      <alignment horizontal="center" vertical="center"/>
    </xf>
    <xf numFmtId="164" fontId="79" fillId="0" borderId="175" xfId="11" applyNumberFormat="1" applyFont="1" applyBorder="1" applyAlignment="1">
      <alignment horizontal="right" vertical="center"/>
    </xf>
    <xf numFmtId="49" fontId="85" fillId="3" borderId="175" xfId="6" applyNumberFormat="1" applyFont="1" applyFill="1" applyBorder="1" applyAlignment="1">
      <alignment vertical="center"/>
    </xf>
    <xf numFmtId="164" fontId="54" fillId="6" borderId="175" xfId="11" applyNumberFormat="1" applyFont="1" applyFill="1" applyBorder="1" applyAlignment="1">
      <alignment horizontal="center" vertical="center"/>
    </xf>
    <xf numFmtId="49" fontId="59" fillId="0" borderId="41" xfId="11" applyNumberFormat="1" applyFont="1" applyBorder="1" applyAlignment="1">
      <alignment horizontal="center" vertical="center"/>
    </xf>
    <xf numFmtId="0" fontId="50" fillId="6" borderId="170" xfId="11" applyFill="1" applyBorder="1" applyAlignment="1">
      <alignment horizontal="center" vertical="center" wrapText="1"/>
    </xf>
    <xf numFmtId="3" fontId="49" fillId="0" borderId="175" xfId="11" applyNumberFormat="1" applyFont="1" applyBorder="1" applyAlignment="1">
      <alignment horizontal="right" vertical="center"/>
    </xf>
    <xf numFmtId="3" fontId="48" fillId="0" borderId="175" xfId="61" applyNumberFormat="1" applyFont="1" applyBorder="1" applyAlignment="1">
      <alignment horizontal="right" vertical="center"/>
    </xf>
    <xf numFmtId="3" fontId="87" fillId="0" borderId="175" xfId="11" applyNumberFormat="1" applyFont="1" applyBorder="1" applyAlignment="1">
      <alignment horizontal="right" vertical="center"/>
    </xf>
    <xf numFmtId="164" fontId="59" fillId="0" borderId="160" xfId="62" applyNumberFormat="1" applyFont="1" applyFill="1" applyBorder="1" applyAlignment="1">
      <alignment horizontal="center" vertical="center"/>
    </xf>
    <xf numFmtId="3" fontId="142" fillId="9" borderId="175" xfId="11" applyNumberFormat="1" applyFont="1" applyFill="1" applyBorder="1" applyAlignment="1">
      <alignment vertical="center"/>
    </xf>
    <xf numFmtId="10" fontId="111" fillId="9" borderId="160" xfId="11" applyNumberFormat="1" applyFont="1" applyFill="1" applyBorder="1" applyAlignment="1">
      <alignment horizontal="right" vertical="center"/>
    </xf>
    <xf numFmtId="0" fontId="59" fillId="9" borderId="163" xfId="11" applyFont="1" applyFill="1" applyBorder="1" applyAlignment="1">
      <alignment vertical="center"/>
    </xf>
    <xf numFmtId="0" fontId="111" fillId="9" borderId="163" xfId="11" applyFont="1" applyFill="1" applyBorder="1" applyAlignment="1">
      <alignment horizontal="center" vertical="center"/>
    </xf>
    <xf numFmtId="3" fontId="100" fillId="9" borderId="163" xfId="11" applyNumberFormat="1" applyFont="1" applyFill="1" applyBorder="1" applyAlignment="1">
      <alignment horizontal="right" vertical="center"/>
    </xf>
    <xf numFmtId="3" fontId="111" fillId="9" borderId="163" xfId="11" applyNumberFormat="1" applyFont="1" applyFill="1" applyBorder="1" applyAlignment="1">
      <alignment horizontal="right" vertical="center"/>
    </xf>
    <xf numFmtId="164" fontId="111" fillId="9" borderId="163" xfId="54" applyNumberFormat="1" applyFont="1" applyFill="1" applyBorder="1" applyAlignment="1">
      <alignment horizontal="center" vertical="center"/>
    </xf>
    <xf numFmtId="4" fontId="111" fillId="9" borderId="163" xfId="11" applyNumberFormat="1" applyFont="1" applyFill="1" applyBorder="1" applyAlignment="1">
      <alignment horizontal="right" vertical="center"/>
    </xf>
    <xf numFmtId="10" fontId="111" fillId="9" borderId="128" xfId="11" applyNumberFormat="1" applyFont="1" applyFill="1" applyBorder="1" applyAlignment="1">
      <alignment horizontal="right" vertical="center"/>
    </xf>
    <xf numFmtId="0" fontId="54" fillId="0" borderId="163" xfId="11" applyFont="1" applyBorder="1" applyAlignment="1">
      <alignment vertical="center"/>
    </xf>
    <xf numFmtId="3" fontId="100" fillId="0" borderId="163" xfId="11" applyNumberFormat="1" applyFont="1" applyBorder="1" applyAlignment="1">
      <alignment horizontal="right" vertical="center"/>
    </xf>
    <xf numFmtId="164" fontId="100" fillId="0" borderId="163" xfId="54" applyNumberFormat="1" applyFont="1" applyFill="1" applyBorder="1" applyAlignment="1">
      <alignment horizontal="center" vertical="center"/>
    </xf>
    <xf numFmtId="10" fontId="100" fillId="0" borderId="163" xfId="11" applyNumberFormat="1" applyFont="1" applyBorder="1" applyAlignment="1">
      <alignment horizontal="right" vertical="center"/>
    </xf>
    <xf numFmtId="0" fontId="142" fillId="9" borderId="160" xfId="11" applyFont="1" applyFill="1" applyBorder="1" applyAlignment="1">
      <alignment horizontal="center" vertical="center" wrapText="1"/>
    </xf>
    <xf numFmtId="3" fontId="142" fillId="9" borderId="160" xfId="11" applyNumberFormat="1" applyFont="1" applyFill="1" applyBorder="1" applyAlignment="1">
      <alignment horizontal="right" vertical="center"/>
    </xf>
    <xf numFmtId="164" fontId="142" fillId="9" borderId="160" xfId="54" applyNumberFormat="1" applyFont="1" applyFill="1" applyBorder="1" applyAlignment="1">
      <alignment horizontal="center" vertical="center"/>
    </xf>
    <xf numFmtId="0" fontId="100" fillId="0" borderId="115" xfId="11" applyFont="1" applyBorder="1" applyAlignment="1">
      <alignment vertical="center"/>
    </xf>
    <xf numFmtId="0" fontId="59" fillId="0" borderId="37" xfId="11" applyFont="1" applyBorder="1" applyAlignment="1">
      <alignment horizontal="left" vertical="center"/>
    </xf>
    <xf numFmtId="0" fontId="59" fillId="9" borderId="115" xfId="11" applyFont="1" applyFill="1" applyBorder="1" applyAlignment="1">
      <alignment vertical="center" wrapText="1"/>
    </xf>
    <xf numFmtId="0" fontId="111" fillId="9" borderId="128" xfId="11" applyFont="1" applyFill="1" applyBorder="1" applyAlignment="1">
      <alignment horizontal="center" vertical="center" wrapText="1"/>
    </xf>
    <xf numFmtId="3" fontId="111" fillId="9" borderId="128" xfId="11" applyNumberFormat="1" applyFont="1" applyFill="1" applyBorder="1" applyAlignment="1">
      <alignment horizontal="right" vertical="center"/>
    </xf>
    <xf numFmtId="164" fontId="142" fillId="9" borderId="128" xfId="54" applyNumberFormat="1" applyFont="1" applyFill="1" applyBorder="1" applyAlignment="1">
      <alignment horizontal="center" vertical="center"/>
    </xf>
    <xf numFmtId="0" fontId="52" fillId="0" borderId="0" xfId="91" applyFont="1" applyAlignment="1">
      <alignment horizontal="center" vertical="center" wrapText="1"/>
    </xf>
    <xf numFmtId="0" fontId="53" fillId="0" borderId="0" xfId="91" applyFont="1" applyAlignment="1">
      <alignment horizontal="center" vertical="center"/>
    </xf>
    <xf numFmtId="0" fontId="54" fillId="0" borderId="19" xfId="11" applyFont="1" applyBorder="1" applyAlignment="1">
      <alignment horizontal="center" vertical="center"/>
    </xf>
    <xf numFmtId="0" fontId="54" fillId="0" borderId="162" xfId="11" applyFont="1" applyBorder="1" applyAlignment="1">
      <alignment horizontal="center" vertical="center"/>
    </xf>
    <xf numFmtId="0" fontId="54" fillId="0" borderId="20" xfId="11" applyFont="1" applyBorder="1" applyAlignment="1">
      <alignment horizontal="center" vertical="center"/>
    </xf>
    <xf numFmtId="0" fontId="54" fillId="0" borderId="22" xfId="11" applyFont="1" applyBorder="1" applyAlignment="1">
      <alignment horizontal="center" vertical="center"/>
    </xf>
    <xf numFmtId="0" fontId="54" fillId="0" borderId="20" xfId="91" applyFont="1" applyBorder="1" applyAlignment="1">
      <alignment horizontal="center" vertical="center" wrapText="1"/>
    </xf>
    <xf numFmtId="0" fontId="54" fillId="0" borderId="22" xfId="91" applyFont="1" applyBorder="1" applyAlignment="1">
      <alignment horizontal="center" vertical="center"/>
    </xf>
    <xf numFmtId="0" fontId="54" fillId="0" borderId="22" xfId="91" applyFont="1" applyBorder="1" applyAlignment="1">
      <alignment horizontal="center" vertical="center" wrapText="1"/>
    </xf>
    <xf numFmtId="0" fontId="54" fillId="0" borderId="109" xfId="91" applyFont="1" applyBorder="1" applyAlignment="1">
      <alignment horizontal="center" vertical="center" wrapText="1"/>
    </xf>
    <xf numFmtId="0" fontId="54" fillId="0" borderId="110" xfId="91" applyFont="1" applyBorder="1" applyAlignment="1">
      <alignment horizontal="center" vertical="center" wrapText="1"/>
    </xf>
    <xf numFmtId="49" fontId="55" fillId="0" borderId="23" xfId="11" applyNumberFormat="1" applyFont="1" applyBorder="1" applyAlignment="1">
      <alignment horizontal="center" vertical="center"/>
    </xf>
    <xf numFmtId="49" fontId="54" fillId="0" borderId="53" xfId="11" applyNumberFormat="1" applyFont="1" applyBorder="1" applyAlignment="1">
      <alignment horizontal="center" vertical="center"/>
    </xf>
    <xf numFmtId="49" fontId="54" fillId="0" borderId="29" xfId="11" applyNumberFormat="1" applyFont="1" applyBorder="1" applyAlignment="1">
      <alignment horizontal="center" vertical="center"/>
    </xf>
    <xf numFmtId="49" fontId="54" fillId="0" borderId="36" xfId="11" applyNumberFormat="1" applyFont="1" applyBorder="1" applyAlignment="1">
      <alignment horizontal="center" vertical="center"/>
    </xf>
    <xf numFmtId="49" fontId="54" fillId="0" borderId="136" xfId="11" applyNumberFormat="1" applyFont="1" applyBorder="1" applyAlignment="1">
      <alignment horizontal="center" vertical="center"/>
    </xf>
    <xf numFmtId="49" fontId="54" fillId="0" borderId="160" xfId="11" applyNumberFormat="1" applyFont="1" applyBorder="1" applyAlignment="1">
      <alignment horizontal="center" vertical="center"/>
    </xf>
    <xf numFmtId="0" fontId="59" fillId="0" borderId="31" xfId="11" applyFont="1" applyBorder="1" applyAlignment="1">
      <alignment horizontal="left" vertical="center" wrapText="1"/>
    </xf>
    <xf numFmtId="0" fontId="59" fillId="0" borderId="32" xfId="11" applyFont="1" applyBorder="1" applyAlignment="1">
      <alignment horizontal="left" vertical="center" wrapText="1"/>
    </xf>
    <xf numFmtId="49" fontId="54" fillId="0" borderId="165" xfId="11" applyNumberFormat="1" applyFont="1" applyBorder="1" applyAlignment="1">
      <alignment horizontal="center" vertical="center"/>
    </xf>
    <xf numFmtId="49" fontId="54" fillId="0" borderId="167" xfId="11" applyNumberFormat="1" applyFont="1" applyBorder="1" applyAlignment="1">
      <alignment horizontal="center" vertical="center"/>
    </xf>
    <xf numFmtId="0" fontId="59" fillId="0" borderId="31" xfId="11" applyFont="1" applyBorder="1" applyAlignment="1">
      <alignment horizontal="left" vertical="center"/>
    </xf>
    <xf numFmtId="0" fontId="59" fillId="0" borderId="32" xfId="11" applyFont="1" applyBorder="1" applyAlignment="1">
      <alignment horizontal="left" vertical="center"/>
    </xf>
    <xf numFmtId="0" fontId="59" fillId="0" borderId="163" xfId="11" applyFont="1" applyBorder="1" applyAlignment="1">
      <alignment horizontal="left" vertical="center"/>
    </xf>
    <xf numFmtId="0" fontId="54" fillId="6" borderId="36" xfId="91" applyFont="1" applyFill="1" applyBorder="1" applyAlignment="1">
      <alignment horizontal="center" vertical="center"/>
    </xf>
    <xf numFmtId="0" fontId="54" fillId="6" borderId="37" xfId="91" applyFont="1" applyFill="1" applyBorder="1" applyAlignment="1">
      <alignment horizontal="center" vertical="center"/>
    </xf>
    <xf numFmtId="49" fontId="54" fillId="0" borderId="114" xfId="11" applyNumberFormat="1" applyFont="1" applyBorder="1" applyAlignment="1">
      <alignment horizontal="center" vertical="center"/>
    </xf>
    <xf numFmtId="49" fontId="54" fillId="0" borderId="32" xfId="11" applyNumberFormat="1" applyFont="1" applyBorder="1" applyAlignment="1">
      <alignment horizontal="center" vertical="center"/>
    </xf>
    <xf numFmtId="49" fontId="54" fillId="0" borderId="37" xfId="11" applyNumberFormat="1" applyFont="1" applyBorder="1" applyAlignment="1">
      <alignment horizontal="center" vertical="center"/>
    </xf>
    <xf numFmtId="0" fontId="59" fillId="0" borderId="163" xfId="11" applyFont="1" applyBorder="1" applyAlignment="1">
      <alignment horizontal="left" vertical="center" wrapText="1"/>
    </xf>
    <xf numFmtId="49" fontId="54" fillId="0" borderId="128" xfId="11" applyNumberFormat="1" applyFont="1" applyBorder="1" applyAlignment="1">
      <alignment horizontal="center" vertical="center"/>
    </xf>
    <xf numFmtId="0" fontId="54" fillId="6" borderId="131" xfId="53" applyFont="1" applyFill="1" applyBorder="1" applyAlignment="1">
      <alignment horizontal="center" vertical="center"/>
    </xf>
    <xf numFmtId="0" fontId="54" fillId="6" borderId="60" xfId="53" applyFont="1" applyFill="1" applyBorder="1" applyAlignment="1">
      <alignment horizontal="center" vertical="center"/>
    </xf>
    <xf numFmtId="0" fontId="144" fillId="9" borderId="170" xfId="11" applyFont="1" applyFill="1" applyBorder="1" applyAlignment="1">
      <alignment horizontal="left" vertical="top" wrapText="1"/>
    </xf>
    <xf numFmtId="0" fontId="144" fillId="9" borderId="170" xfId="11" applyFont="1" applyFill="1" applyBorder="1" applyAlignment="1">
      <alignment horizontal="left" vertical="top"/>
    </xf>
    <xf numFmtId="0" fontId="144" fillId="9" borderId="28" xfId="11" applyFont="1" applyFill="1" applyBorder="1" applyAlignment="1">
      <alignment horizontal="left" vertical="top"/>
    </xf>
    <xf numFmtId="0" fontId="144" fillId="0" borderId="28" xfId="11" applyFont="1" applyBorder="1" applyAlignment="1">
      <alignment horizontal="left" vertical="top" wrapText="1"/>
    </xf>
    <xf numFmtId="0" fontId="144" fillId="0" borderId="173" xfId="11" applyFont="1" applyBorder="1" applyAlignment="1">
      <alignment horizontal="left" vertical="top"/>
    </xf>
    <xf numFmtId="0" fontId="144" fillId="0" borderId="148" xfId="11" applyFont="1" applyBorder="1" applyAlignment="1">
      <alignment horizontal="left" vertical="top"/>
    </xf>
    <xf numFmtId="0" fontId="59" fillId="0" borderId="31" xfId="11" applyFont="1" applyBorder="1" applyAlignment="1">
      <alignment horizontal="center" vertical="center" wrapText="1"/>
    </xf>
    <xf numFmtId="0" fontId="59" fillId="0" borderId="32" xfId="11" applyFont="1" applyBorder="1" applyAlignment="1">
      <alignment horizontal="center" vertical="center" wrapText="1"/>
    </xf>
    <xf numFmtId="0" fontId="59" fillId="0" borderId="154" xfId="11" applyFont="1" applyBorder="1" applyAlignment="1">
      <alignment horizontal="center" vertical="center" wrapText="1"/>
    </xf>
    <xf numFmtId="49" fontId="85" fillId="0" borderId="31" xfId="11" applyNumberFormat="1" applyFont="1" applyBorder="1" applyAlignment="1">
      <alignment horizontal="center" vertical="center"/>
    </xf>
    <xf numFmtId="49" fontId="85" fillId="0" borderId="32" xfId="11" applyNumberFormat="1" applyFont="1" applyBorder="1" applyAlignment="1">
      <alignment horizontal="center" vertical="center"/>
    </xf>
    <xf numFmtId="49" fontId="85" fillId="0" borderId="154" xfId="11" applyNumberFormat="1" applyFont="1" applyBorder="1" applyAlignment="1">
      <alignment horizontal="center" vertical="center"/>
    </xf>
    <xf numFmtId="0" fontId="96" fillId="0" borderId="28" xfId="11" applyFont="1" applyBorder="1" applyAlignment="1">
      <alignment horizontal="left" vertical="top" wrapText="1"/>
    </xf>
    <xf numFmtId="0" fontId="96" fillId="0" borderId="173" xfId="11" applyFont="1" applyBorder="1" applyAlignment="1">
      <alignment horizontal="left" vertical="top" wrapText="1"/>
    </xf>
    <xf numFmtId="0" fontId="96" fillId="0" borderId="148" xfId="11" applyFont="1" applyBorder="1" applyAlignment="1">
      <alignment horizontal="left" vertical="top" wrapText="1"/>
    </xf>
    <xf numFmtId="0" fontId="88" fillId="0" borderId="136" xfId="11" applyFont="1" applyBorder="1" applyAlignment="1">
      <alignment horizontal="center" vertical="center" wrapText="1"/>
    </xf>
    <xf numFmtId="49" fontId="54" fillId="0" borderId="53" xfId="11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7" xfId="0" applyBorder="1" applyAlignment="1">
      <alignment vertical="center"/>
    </xf>
    <xf numFmtId="0" fontId="138" fillId="0" borderId="170" xfId="11" applyFont="1" applyBorder="1" applyAlignment="1">
      <alignment horizontal="left" vertical="top" wrapText="1"/>
    </xf>
    <xf numFmtId="0" fontId="138" fillId="0" borderId="170" xfId="11" applyFont="1" applyBorder="1" applyAlignment="1">
      <alignment horizontal="left" vertical="top"/>
    </xf>
    <xf numFmtId="0" fontId="59" fillId="0" borderId="136" xfId="11" applyFont="1" applyBorder="1" applyAlignment="1">
      <alignment horizontal="left" vertical="center" wrapText="1"/>
    </xf>
    <xf numFmtId="49" fontId="54" fillId="0" borderId="31" xfId="11" applyNumberFormat="1" applyFont="1" applyBorder="1" applyAlignment="1">
      <alignment horizontal="center" vertical="center"/>
    </xf>
    <xf numFmtId="49" fontId="54" fillId="0" borderId="154" xfId="11" applyNumberFormat="1" applyFont="1" applyBorder="1" applyAlignment="1">
      <alignment horizontal="center" vertical="center"/>
    </xf>
    <xf numFmtId="0" fontId="144" fillId="0" borderId="173" xfId="11" applyFont="1" applyBorder="1" applyAlignment="1">
      <alignment horizontal="left" vertical="top" wrapText="1"/>
    </xf>
    <xf numFmtId="0" fontId="144" fillId="0" borderId="148" xfId="11" applyFont="1" applyBorder="1" applyAlignment="1">
      <alignment horizontal="left" vertical="top" wrapText="1"/>
    </xf>
    <xf numFmtId="0" fontId="59" fillId="0" borderId="136" xfId="11" applyFont="1" applyBorder="1" applyAlignment="1">
      <alignment horizontal="left" vertical="center"/>
    </xf>
    <xf numFmtId="0" fontId="108" fillId="9" borderId="124" xfId="11" applyFont="1" applyFill="1" applyBorder="1" applyAlignment="1">
      <alignment horizontal="left" vertical="top" wrapText="1"/>
    </xf>
    <xf numFmtId="0" fontId="108" fillId="9" borderId="173" xfId="11" applyFont="1" applyFill="1" applyBorder="1" applyAlignment="1">
      <alignment horizontal="left" vertical="top" wrapText="1"/>
    </xf>
    <xf numFmtId="0" fontId="97" fillId="0" borderId="170" xfId="11" applyFont="1" applyBorder="1" applyAlignment="1">
      <alignment horizontal="left" vertical="top" wrapText="1"/>
    </xf>
    <xf numFmtId="0" fontId="59" fillId="0" borderId="136" xfId="11" applyFont="1" applyBorder="1" applyAlignment="1">
      <alignment horizontal="center" vertical="center" wrapText="1"/>
    </xf>
    <xf numFmtId="0" fontId="96" fillId="0" borderId="170" xfId="11" applyFont="1" applyBorder="1" applyAlignment="1">
      <alignment horizontal="left" vertical="top" wrapText="1"/>
    </xf>
    <xf numFmtId="0" fontId="96" fillId="0" borderId="170" xfId="11" applyFont="1" applyBorder="1" applyAlignment="1">
      <alignment horizontal="left" vertical="top"/>
    </xf>
    <xf numFmtId="0" fontId="52" fillId="0" borderId="0" xfId="53" applyFont="1" applyAlignment="1">
      <alignment horizontal="center" vertical="center" wrapText="1"/>
    </xf>
    <xf numFmtId="0" fontId="53" fillId="0" borderId="0" xfId="53" applyFont="1" applyAlignment="1">
      <alignment horizontal="center" vertical="center"/>
    </xf>
    <xf numFmtId="0" fontId="101" fillId="0" borderId="19" xfId="11" applyFont="1" applyBorder="1" applyAlignment="1">
      <alignment horizontal="center" vertical="center"/>
    </xf>
    <xf numFmtId="0" fontId="101" fillId="0" borderId="162" xfId="11" applyFont="1" applyBorder="1" applyAlignment="1">
      <alignment horizontal="center" vertical="center"/>
    </xf>
    <xf numFmtId="0" fontId="101" fillId="0" borderId="20" xfId="11" applyFont="1" applyBorder="1" applyAlignment="1">
      <alignment horizontal="center" vertical="center"/>
    </xf>
    <xf numFmtId="0" fontId="101" fillId="0" borderId="22" xfId="11" applyFont="1" applyBorder="1" applyAlignment="1">
      <alignment horizontal="center" vertical="center"/>
    </xf>
    <xf numFmtId="0" fontId="135" fillId="0" borderId="20" xfId="18" applyFont="1" applyBorder="1" applyAlignment="1">
      <alignment horizontal="center" vertical="center"/>
    </xf>
    <xf numFmtId="0" fontId="135" fillId="0" borderId="22" xfId="18" applyFont="1" applyBorder="1" applyAlignment="1">
      <alignment horizontal="center" vertical="center"/>
    </xf>
    <xf numFmtId="0" fontId="135" fillId="0" borderId="20" xfId="18" applyFont="1" applyBorder="1" applyAlignment="1">
      <alignment horizontal="center" vertical="center" wrapText="1"/>
    </xf>
    <xf numFmtId="0" fontId="135" fillId="0" borderId="22" xfId="18" applyFont="1" applyBorder="1" applyAlignment="1">
      <alignment horizontal="center" vertical="center" wrapText="1"/>
    </xf>
    <xf numFmtId="0" fontId="101" fillId="0" borderId="20" xfId="53" applyFont="1" applyBorder="1" applyAlignment="1">
      <alignment horizontal="center" vertical="center" wrapText="1"/>
    </xf>
    <xf numFmtId="0" fontId="101" fillId="0" borderId="22" xfId="53" applyFont="1" applyBorder="1" applyAlignment="1">
      <alignment horizontal="center" vertical="center"/>
    </xf>
    <xf numFmtId="0" fontId="101" fillId="0" borderId="22" xfId="53" applyFont="1" applyBorder="1" applyAlignment="1">
      <alignment horizontal="center" vertical="center" wrapText="1"/>
    </xf>
    <xf numFmtId="0" fontId="101" fillId="0" borderId="20" xfId="95" applyFont="1" applyBorder="1" applyAlignment="1">
      <alignment horizontal="center" vertical="center" wrapText="1"/>
    </xf>
    <xf numFmtId="0" fontId="101" fillId="0" borderId="22" xfId="95" applyFont="1" applyBorder="1" applyAlignment="1">
      <alignment horizontal="center" vertical="center" wrapText="1"/>
    </xf>
    <xf numFmtId="10" fontId="101" fillId="0" borderId="20" xfId="53" applyNumberFormat="1" applyFont="1" applyBorder="1" applyAlignment="1">
      <alignment horizontal="center" vertical="center" wrapText="1"/>
    </xf>
    <xf numFmtId="10" fontId="101" fillId="0" borderId="22" xfId="53" applyNumberFormat="1" applyFont="1" applyBorder="1" applyAlignment="1">
      <alignment horizontal="center" vertical="center" wrapText="1"/>
    </xf>
    <xf numFmtId="0" fontId="85" fillId="6" borderId="39" xfId="11" applyFont="1" applyFill="1" applyBorder="1" applyAlignment="1">
      <alignment horizontal="center" vertical="center"/>
    </xf>
    <xf numFmtId="0" fontId="85" fillId="6" borderId="40" xfId="11" applyFont="1" applyFill="1" applyBorder="1" applyAlignment="1">
      <alignment horizontal="center" vertical="center"/>
    </xf>
    <xf numFmtId="0" fontId="85" fillId="6" borderId="43" xfId="11" applyFont="1" applyFill="1" applyBorder="1" applyAlignment="1">
      <alignment horizontal="center" vertical="center"/>
    </xf>
    <xf numFmtId="0" fontId="110" fillId="0" borderId="114" xfId="11" applyFont="1" applyBorder="1" applyAlignment="1">
      <alignment horizontal="center" vertical="center"/>
    </xf>
    <xf numFmtId="0" fontId="110" fillId="0" borderId="29" xfId="11" applyFont="1" applyBorder="1" applyAlignment="1">
      <alignment horizontal="center" vertical="center"/>
    </xf>
    <xf numFmtId="0" fontId="110" fillId="0" borderId="147" xfId="11" applyFont="1" applyBorder="1" applyAlignment="1">
      <alignment horizontal="center" vertical="center"/>
    </xf>
    <xf numFmtId="0" fontId="90" fillId="0" borderId="128" xfId="11" applyFont="1" applyBorder="1" applyAlignment="1">
      <alignment horizontal="center" vertical="center"/>
    </xf>
    <xf numFmtId="0" fontId="90" fillId="0" borderId="175" xfId="11" applyFont="1" applyBorder="1" applyAlignment="1">
      <alignment horizontal="center" vertical="center"/>
    </xf>
    <xf numFmtId="0" fontId="74" fillId="0" borderId="129" xfId="11" applyFont="1" applyBorder="1" applyAlignment="1">
      <alignment horizontal="left" vertical="top" wrapText="1"/>
    </xf>
    <xf numFmtId="0" fontId="74" fillId="0" borderId="170" xfId="11" applyFont="1" applyBorder="1" applyAlignment="1">
      <alignment horizontal="left" vertical="top" wrapText="1"/>
    </xf>
    <xf numFmtId="0" fontId="94" fillId="0" borderId="121" xfId="11" applyFont="1" applyBorder="1" applyAlignment="1">
      <alignment horizontal="left" vertical="top" wrapText="1"/>
    </xf>
    <xf numFmtId="0" fontId="94" fillId="0" borderId="118" xfId="11" applyFont="1" applyBorder="1" applyAlignment="1">
      <alignment horizontal="left" vertical="top" wrapText="1"/>
    </xf>
    <xf numFmtId="0" fontId="94" fillId="0" borderId="120" xfId="11" applyFont="1" applyBorder="1" applyAlignment="1">
      <alignment horizontal="left" vertical="top" wrapText="1"/>
    </xf>
    <xf numFmtId="0" fontId="88" fillId="0" borderId="175" xfId="11" applyFont="1" applyBorder="1" applyAlignment="1">
      <alignment horizontal="left" vertical="center"/>
    </xf>
    <xf numFmtId="0" fontId="88" fillId="0" borderId="175" xfId="11" applyFont="1" applyBorder="1" applyAlignment="1">
      <alignment horizontal="left" vertical="center" wrapText="1"/>
    </xf>
    <xf numFmtId="0" fontId="110" fillId="0" borderId="127" xfId="11" applyFont="1" applyBorder="1" applyAlignment="1">
      <alignment horizontal="center" vertical="center"/>
    </xf>
    <xf numFmtId="0" fontId="110" fillId="0" borderId="165" xfId="11" applyFont="1" applyBorder="1" applyAlignment="1">
      <alignment horizontal="center" vertical="center"/>
    </xf>
    <xf numFmtId="0" fontId="110" fillId="0" borderId="195" xfId="11" applyFont="1" applyBorder="1" applyAlignment="1">
      <alignment horizontal="center" vertical="center"/>
    </xf>
    <xf numFmtId="0" fontId="122" fillId="0" borderId="128" xfId="11" applyFont="1" applyBorder="1" applyAlignment="1">
      <alignment horizontal="center" vertical="center"/>
    </xf>
    <xf numFmtId="0" fontId="122" fillId="0" borderId="175" xfId="11" applyFont="1" applyBorder="1" applyAlignment="1">
      <alignment horizontal="center" vertical="center"/>
    </xf>
    <xf numFmtId="0" fontId="122" fillId="0" borderId="160" xfId="11" applyFont="1" applyBorder="1" applyAlignment="1">
      <alignment horizontal="center" vertical="center"/>
    </xf>
    <xf numFmtId="0" fontId="74" fillId="0" borderId="177" xfId="11" applyFont="1" applyBorder="1" applyAlignment="1">
      <alignment horizontal="left" vertical="top" wrapText="1"/>
    </xf>
    <xf numFmtId="0" fontId="94" fillId="0" borderId="117" xfId="11" applyFont="1" applyBorder="1" applyAlignment="1">
      <alignment horizontal="left" vertical="top" wrapText="1"/>
    </xf>
    <xf numFmtId="0" fontId="94" fillId="0" borderId="123" xfId="11" applyFont="1" applyBorder="1" applyAlignment="1">
      <alignment horizontal="left" vertical="top" wrapText="1"/>
    </xf>
    <xf numFmtId="0" fontId="125" fillId="0" borderId="175" xfId="11" applyFont="1" applyBorder="1" applyAlignment="1">
      <alignment horizontal="left" vertical="center"/>
    </xf>
    <xf numFmtId="0" fontId="125" fillId="0" borderId="175" xfId="11" applyFont="1" applyBorder="1" applyAlignment="1">
      <alignment horizontal="left" vertical="center" wrapText="1"/>
    </xf>
    <xf numFmtId="0" fontId="110" fillId="0" borderId="53" xfId="11" applyFont="1" applyBorder="1" applyAlignment="1">
      <alignment horizontal="center" vertical="center"/>
    </xf>
    <xf numFmtId="0" fontId="110" fillId="0" borderId="36" xfId="11" applyFont="1" applyBorder="1" applyAlignment="1">
      <alignment horizontal="center" vertical="center"/>
    </xf>
    <xf numFmtId="0" fontId="28" fillId="0" borderId="175" xfId="63" applyBorder="1" applyAlignment="1">
      <alignment horizontal="center" vertical="center"/>
    </xf>
    <xf numFmtId="0" fontId="28" fillId="0" borderId="160" xfId="63" applyBorder="1" applyAlignment="1">
      <alignment horizontal="center" vertical="center"/>
    </xf>
    <xf numFmtId="0" fontId="74" fillId="0" borderId="118" xfId="11" applyFont="1" applyBorder="1" applyAlignment="1">
      <alignment horizontal="center" vertical="top" wrapText="1"/>
    </xf>
    <xf numFmtId="0" fontId="74" fillId="0" borderId="123" xfId="11" applyFont="1" applyBorder="1" applyAlignment="1">
      <alignment horizontal="center" vertical="top" wrapText="1"/>
    </xf>
    <xf numFmtId="0" fontId="90" fillId="0" borderId="31" xfId="11" applyFont="1" applyBorder="1" applyAlignment="1">
      <alignment horizontal="center" vertical="center"/>
    </xf>
    <xf numFmtId="0" fontId="90" fillId="0" borderId="192" xfId="11" applyFont="1" applyBorder="1" applyAlignment="1">
      <alignment horizontal="center" vertical="center"/>
    </xf>
    <xf numFmtId="0" fontId="90" fillId="0" borderId="37" xfId="11" applyFont="1" applyBorder="1" applyAlignment="1">
      <alignment horizontal="center" vertical="center"/>
    </xf>
    <xf numFmtId="0" fontId="74" fillId="0" borderId="28" xfId="11" applyFont="1" applyBorder="1" applyAlignment="1">
      <alignment horizontal="left" vertical="top" wrapText="1"/>
    </xf>
    <xf numFmtId="0" fontId="88" fillId="0" borderId="175" xfId="11" applyFont="1" applyBorder="1" applyAlignment="1">
      <alignment vertical="center"/>
    </xf>
    <xf numFmtId="0" fontId="74" fillId="0" borderId="148" xfId="11" applyFont="1" applyBorder="1" applyAlignment="1">
      <alignment horizontal="center" vertical="top" wrapText="1"/>
    </xf>
    <xf numFmtId="0" fontId="74" fillId="0" borderId="170" xfId="11" applyFont="1" applyBorder="1" applyAlignment="1">
      <alignment horizontal="center" vertical="top" wrapText="1"/>
    </xf>
    <xf numFmtId="0" fontId="74" fillId="0" borderId="177" xfId="11" applyFont="1" applyBorder="1" applyAlignment="1">
      <alignment horizontal="center" vertical="top" wrapText="1"/>
    </xf>
    <xf numFmtId="0" fontId="74" fillId="0" borderId="117" xfId="11" applyFont="1" applyBorder="1" applyAlignment="1">
      <alignment horizontal="center" vertical="top" wrapText="1"/>
    </xf>
    <xf numFmtId="0" fontId="74" fillId="0" borderId="120" xfId="11" applyFont="1" applyBorder="1" applyAlignment="1">
      <alignment horizontal="center" vertical="top" wrapText="1"/>
    </xf>
    <xf numFmtId="49" fontId="85" fillId="0" borderId="165" xfId="11" applyNumberFormat="1" applyFont="1" applyBorder="1" applyAlignment="1">
      <alignment horizontal="center" vertical="center"/>
    </xf>
    <xf numFmtId="49" fontId="85" fillId="0" borderId="195" xfId="11" applyNumberFormat="1" applyFont="1" applyBorder="1" applyAlignment="1">
      <alignment horizontal="center" vertical="center"/>
    </xf>
    <xf numFmtId="0" fontId="90" fillId="0" borderId="160" xfId="11" applyFont="1" applyBorder="1" applyAlignment="1">
      <alignment horizontal="center" vertical="center"/>
    </xf>
    <xf numFmtId="49" fontId="85" fillId="0" borderId="53" xfId="11" applyNumberFormat="1" applyFont="1" applyBorder="1" applyAlignment="1">
      <alignment horizontal="center" vertical="center"/>
    </xf>
    <xf numFmtId="49" fontId="85" fillId="0" borderId="29" xfId="11" applyNumberFormat="1" applyFont="1" applyBorder="1" applyAlignment="1">
      <alignment horizontal="center" vertical="center"/>
    </xf>
    <xf numFmtId="49" fontId="85" fillId="0" borderId="36" xfId="11" applyNumberFormat="1" applyFont="1" applyBorder="1" applyAlignment="1">
      <alignment horizontal="center" vertical="center"/>
    </xf>
    <xf numFmtId="0" fontId="74" fillId="0" borderId="170" xfId="11" applyFont="1" applyBorder="1" applyAlignment="1">
      <alignment horizontal="left" vertical="top"/>
    </xf>
    <xf numFmtId="0" fontId="74" fillId="0" borderId="177" xfId="11" applyFont="1" applyBorder="1" applyAlignment="1">
      <alignment horizontal="left" vertical="top"/>
    </xf>
    <xf numFmtId="0" fontId="94" fillId="0" borderId="118" xfId="11" applyFont="1" applyBorder="1" applyAlignment="1">
      <alignment horizontal="left" vertical="top"/>
    </xf>
    <xf numFmtId="0" fontId="94" fillId="0" borderId="120" xfId="11" applyFont="1" applyBorder="1" applyAlignment="1">
      <alignment horizontal="left" vertical="top"/>
    </xf>
    <xf numFmtId="49" fontId="85" fillId="0" borderId="114" xfId="11" applyNumberFormat="1" applyFont="1" applyBorder="1" applyAlignment="1">
      <alignment horizontal="center" vertical="center"/>
    </xf>
    <xf numFmtId="49" fontId="85" fillId="0" borderId="147" xfId="11" applyNumberFormat="1" applyFont="1" applyBorder="1" applyAlignment="1">
      <alignment horizontal="center" vertical="center"/>
    </xf>
    <xf numFmtId="0" fontId="88" fillId="0" borderId="31" xfId="11" applyFont="1" applyBorder="1" applyAlignment="1">
      <alignment horizontal="left" vertical="center"/>
    </xf>
    <xf numFmtId="0" fontId="88" fillId="0" borderId="192" xfId="11" applyFont="1" applyBorder="1" applyAlignment="1">
      <alignment horizontal="left" vertical="center"/>
    </xf>
    <xf numFmtId="0" fontId="88" fillId="0" borderId="154" xfId="11" applyFont="1" applyBorder="1" applyAlignment="1">
      <alignment horizontal="left" vertical="center"/>
    </xf>
    <xf numFmtId="0" fontId="81" fillId="0" borderId="170" xfId="94" applyFont="1" applyBorder="1" applyAlignment="1">
      <alignment horizontal="left" vertical="top" wrapText="1"/>
    </xf>
    <xf numFmtId="0" fontId="94" fillId="0" borderId="118" xfId="94" applyFont="1" applyBorder="1" applyAlignment="1">
      <alignment horizontal="left" vertical="top" wrapText="1"/>
    </xf>
    <xf numFmtId="0" fontId="94" fillId="0" borderId="120" xfId="94" applyFont="1" applyBorder="1" applyAlignment="1">
      <alignment horizontal="left" vertical="top" wrapText="1"/>
    </xf>
    <xf numFmtId="0" fontId="2" fillId="0" borderId="165" xfId="94" applyBorder="1" applyAlignment="1">
      <alignment horizontal="center" vertical="center"/>
    </xf>
    <xf numFmtId="0" fontId="2" fillId="0" borderId="175" xfId="94" applyBorder="1" applyAlignment="1">
      <alignment horizontal="center" vertical="center"/>
    </xf>
    <xf numFmtId="0" fontId="88" fillId="0" borderId="160" xfId="11" applyFont="1" applyBorder="1" applyAlignment="1">
      <alignment horizontal="left" vertical="center" wrapText="1"/>
    </xf>
    <xf numFmtId="0" fontId="81" fillId="0" borderId="148" xfId="63" applyFont="1" applyBorder="1" applyAlignment="1">
      <alignment horizontal="center" vertical="top" wrapText="1"/>
    </xf>
    <xf numFmtId="0" fontId="81" fillId="0" borderId="170" xfId="63" applyFont="1" applyBorder="1" applyAlignment="1">
      <alignment horizontal="center" vertical="top" wrapText="1"/>
    </xf>
    <xf numFmtId="0" fontId="81" fillId="0" borderId="177" xfId="63" applyFont="1" applyBorder="1" applyAlignment="1">
      <alignment horizontal="center" vertical="top" wrapText="1"/>
    </xf>
    <xf numFmtId="49" fontId="85" fillId="0" borderId="127" xfId="11" applyNumberFormat="1" applyFont="1" applyBorder="1" applyAlignment="1">
      <alignment horizontal="center" vertical="center"/>
    </xf>
    <xf numFmtId="0" fontId="114" fillId="0" borderId="129" xfId="11" applyFont="1" applyBorder="1" applyAlignment="1">
      <alignment horizontal="left" vertical="top" wrapText="1"/>
    </xf>
    <xf numFmtId="0" fontId="114" fillId="0" borderId="170" xfId="11" applyFont="1" applyBorder="1" applyAlignment="1">
      <alignment horizontal="left" vertical="top" wrapText="1"/>
    </xf>
    <xf numFmtId="0" fontId="114" fillId="0" borderId="177" xfId="11" applyFont="1" applyBorder="1" applyAlignment="1">
      <alignment horizontal="left" vertical="top" wrapText="1"/>
    </xf>
    <xf numFmtId="0" fontId="28" fillId="0" borderId="175" xfId="63" applyBorder="1" applyAlignment="1">
      <alignment horizontal="left" vertical="center"/>
    </xf>
    <xf numFmtId="0" fontId="90" fillId="0" borderId="115" xfId="11" applyFont="1" applyBorder="1" applyAlignment="1">
      <alignment horizontal="center" vertical="center"/>
    </xf>
    <xf numFmtId="0" fontId="74" fillId="0" borderId="124" xfId="11" applyFont="1" applyBorder="1" applyAlignment="1">
      <alignment horizontal="center" vertical="top" wrapText="1"/>
    </xf>
    <xf numFmtId="0" fontId="74" fillId="0" borderId="173" xfId="11" applyFont="1" applyBorder="1" applyAlignment="1">
      <alignment horizontal="center" vertical="top" wrapText="1"/>
    </xf>
    <xf numFmtId="0" fontId="74" fillId="0" borderId="124" xfId="11" applyFont="1" applyBorder="1" applyAlignment="1">
      <alignment horizontal="left" vertical="top" wrapText="1"/>
    </xf>
    <xf numFmtId="0" fontId="74" fillId="0" borderId="173" xfId="11" applyFont="1" applyBorder="1" applyAlignment="1">
      <alignment horizontal="left" vertical="top" wrapText="1"/>
    </xf>
    <xf numFmtId="0" fontId="74" fillId="0" borderId="35" xfId="11" applyFont="1" applyBorder="1" applyAlignment="1">
      <alignment horizontal="left" vertical="top" wrapText="1"/>
    </xf>
    <xf numFmtId="49" fontId="88" fillId="0" borderId="165" xfId="11" applyNumberFormat="1" applyFont="1" applyBorder="1" applyAlignment="1">
      <alignment horizontal="center" vertical="center"/>
    </xf>
    <xf numFmtId="49" fontId="85" fillId="0" borderId="175" xfId="11" applyNumberFormat="1" applyFont="1" applyBorder="1" applyAlignment="1">
      <alignment horizontal="center" vertical="center"/>
    </xf>
    <xf numFmtId="0" fontId="2" fillId="0" borderId="170" xfId="94" applyBorder="1" applyAlignment="1">
      <alignment horizontal="left" vertical="top" wrapText="1"/>
    </xf>
    <xf numFmtId="0" fontId="118" fillId="0" borderId="118" xfId="94" applyFont="1" applyBorder="1" applyAlignment="1">
      <alignment horizontal="left" vertical="top" wrapText="1"/>
    </xf>
    <xf numFmtId="0" fontId="118" fillId="0" borderId="120" xfId="94" applyFont="1" applyBorder="1" applyAlignment="1">
      <alignment horizontal="left" vertical="top" wrapText="1"/>
    </xf>
    <xf numFmtId="49" fontId="85" fillId="0" borderId="192" xfId="11" applyNumberFormat="1" applyFont="1" applyBorder="1" applyAlignment="1">
      <alignment horizontal="center" vertical="center"/>
    </xf>
    <xf numFmtId="49" fontId="85" fillId="0" borderId="37" xfId="11" applyNumberFormat="1" applyFont="1" applyBorder="1" applyAlignment="1">
      <alignment horizontal="center" vertical="center"/>
    </xf>
    <xf numFmtId="0" fontId="114" fillId="0" borderId="28" xfId="11" applyFont="1" applyBorder="1" applyAlignment="1">
      <alignment horizontal="left" vertical="top" wrapText="1"/>
    </xf>
    <xf numFmtId="49" fontId="88" fillId="0" borderId="195" xfId="11" applyNumberFormat="1" applyFont="1" applyBorder="1" applyAlignment="1">
      <alignment horizontal="center" vertical="center"/>
    </xf>
    <xf numFmtId="49" fontId="85" fillId="0" borderId="160" xfId="11" applyNumberFormat="1" applyFont="1" applyBorder="1" applyAlignment="1">
      <alignment horizontal="center" vertical="center"/>
    </xf>
    <xf numFmtId="0" fontId="88" fillId="0" borderId="175" xfId="11" applyFont="1" applyBorder="1" applyAlignment="1">
      <alignment horizontal="center" vertical="center"/>
    </xf>
    <xf numFmtId="0" fontId="54" fillId="0" borderId="20" xfId="93" applyFont="1" applyBorder="1" applyAlignment="1">
      <alignment horizontal="center" vertical="center" wrapText="1"/>
    </xf>
    <xf numFmtId="0" fontId="54" fillId="0" borderId="22" xfId="93" applyFont="1" applyBorder="1" applyAlignment="1">
      <alignment horizontal="center" vertical="center" wrapText="1"/>
    </xf>
    <xf numFmtId="0" fontId="54" fillId="0" borderId="20" xfId="61" applyFont="1" applyBorder="1" applyAlignment="1">
      <alignment horizontal="center" vertical="center" wrapText="1"/>
    </xf>
    <xf numFmtId="0" fontId="54" fillId="0" borderId="22" xfId="61" applyFont="1" applyBorder="1" applyAlignment="1">
      <alignment horizontal="center" vertical="center" wrapText="1"/>
    </xf>
    <xf numFmtId="1" fontId="54" fillId="0" borderId="20" xfId="61" quotePrefix="1" applyNumberFormat="1" applyFont="1" applyBorder="1" applyAlignment="1">
      <alignment horizontal="center" vertical="center" wrapText="1"/>
    </xf>
    <xf numFmtId="1" fontId="54" fillId="0" borderId="22" xfId="61" quotePrefix="1" applyNumberFormat="1" applyFont="1" applyBorder="1" applyAlignment="1">
      <alignment horizontal="center" vertical="center" wrapText="1"/>
    </xf>
    <xf numFmtId="0" fontId="101" fillId="0" borderId="20" xfId="61" applyFont="1" applyBorder="1" applyAlignment="1">
      <alignment horizontal="center" vertical="center" wrapText="1"/>
    </xf>
    <xf numFmtId="0" fontId="101" fillId="0" borderId="22" xfId="61" applyFont="1" applyBorder="1" applyAlignment="1">
      <alignment horizontal="center" vertical="center" wrapText="1"/>
    </xf>
    <xf numFmtId="0" fontId="101" fillId="12" borderId="117" xfId="61" applyFont="1" applyFill="1" applyBorder="1" applyAlignment="1">
      <alignment horizontal="center" vertical="center" wrapText="1"/>
    </xf>
    <xf numFmtId="0" fontId="101" fillId="12" borderId="123" xfId="61" applyFont="1" applyFill="1" applyBorder="1" applyAlignment="1">
      <alignment horizontal="center" vertical="center" wrapText="1"/>
    </xf>
    <xf numFmtId="49" fontId="88" fillId="0" borderId="109" xfId="11" applyNumberFormat="1" applyFont="1" applyBorder="1" applyAlignment="1">
      <alignment horizontal="center" vertical="center"/>
    </xf>
    <xf numFmtId="49" fontId="88" fillId="0" borderId="117" xfId="11" applyNumberFormat="1" applyFont="1" applyBorder="1" applyAlignment="1">
      <alignment horizontal="center" vertical="center"/>
    </xf>
    <xf numFmtId="0" fontId="103" fillId="0" borderId="0" xfId="61" applyFont="1" applyAlignment="1">
      <alignment horizontal="center" vertical="center" wrapText="1"/>
    </xf>
    <xf numFmtId="0" fontId="85" fillId="0" borderId="19" xfId="11" applyFont="1" applyBorder="1" applyAlignment="1">
      <alignment horizontal="center" vertical="center"/>
    </xf>
    <xf numFmtId="0" fontId="85" fillId="0" borderId="21" xfId="11" applyFont="1" applyBorder="1" applyAlignment="1">
      <alignment horizontal="center" vertical="center"/>
    </xf>
    <xf numFmtId="0" fontId="85" fillId="0" borderId="20" xfId="11" applyFont="1" applyBorder="1" applyAlignment="1">
      <alignment horizontal="center" vertical="center"/>
    </xf>
    <xf numFmtId="0" fontId="85" fillId="0" borderId="22" xfId="11" applyFont="1" applyBorder="1" applyAlignment="1">
      <alignment horizontal="center" vertical="center"/>
    </xf>
    <xf numFmtId="0" fontId="85" fillId="0" borderId="20" xfId="61" applyFont="1" applyBorder="1" applyAlignment="1">
      <alignment horizontal="center" vertical="center" wrapText="1"/>
    </xf>
    <xf numFmtId="0" fontId="85" fillId="0" borderId="22" xfId="61" applyFont="1" applyBorder="1" applyAlignment="1">
      <alignment horizontal="center" vertical="center"/>
    </xf>
    <xf numFmtId="0" fontId="85" fillId="0" borderId="22" xfId="61" applyFont="1" applyBorder="1" applyAlignment="1">
      <alignment horizontal="center" vertical="center" wrapText="1"/>
    </xf>
    <xf numFmtId="0" fontId="54" fillId="0" borderId="22" xfId="61" applyFont="1" applyBorder="1" applyAlignment="1">
      <alignment horizontal="center" vertical="center"/>
    </xf>
    <xf numFmtId="0" fontId="60" fillId="6" borderId="39" xfId="11" applyFont="1" applyFill="1" applyBorder="1" applyAlignment="1">
      <alignment horizontal="center" vertical="center"/>
    </xf>
    <xf numFmtId="0" fontId="60" fillId="6" borderId="40" xfId="11" applyFont="1" applyFill="1" applyBorder="1" applyAlignment="1">
      <alignment horizontal="center" vertical="center"/>
    </xf>
    <xf numFmtId="0" fontId="60" fillId="6" borderId="43" xfId="11" applyFont="1" applyFill="1" applyBorder="1" applyAlignment="1">
      <alignment horizontal="center" vertical="center"/>
    </xf>
    <xf numFmtId="49" fontId="54" fillId="0" borderId="115" xfId="11" applyNumberFormat="1" applyFont="1" applyBorder="1" applyAlignment="1">
      <alignment horizontal="center" vertical="center"/>
    </xf>
    <xf numFmtId="0" fontId="94" fillId="0" borderId="124" xfId="11" applyFont="1" applyBorder="1" applyAlignment="1">
      <alignment horizontal="left" vertical="top" wrapText="1"/>
    </xf>
    <xf numFmtId="0" fontId="94" fillId="0" borderId="173" xfId="11" applyFont="1" applyBorder="1" applyAlignment="1">
      <alignment horizontal="left" vertical="top" wrapText="1"/>
    </xf>
    <xf numFmtId="0" fontId="94" fillId="0" borderId="35" xfId="11" applyFont="1" applyBorder="1" applyAlignment="1">
      <alignment horizontal="left" vertical="top" wrapText="1"/>
    </xf>
    <xf numFmtId="0" fontId="59" fillId="0" borderId="37" xfId="11" applyFont="1" applyBorder="1" applyAlignment="1">
      <alignment horizontal="left" vertical="center" wrapText="1"/>
    </xf>
    <xf numFmtId="0" fontId="59" fillId="0" borderId="154" xfId="11" applyFont="1" applyBorder="1" applyAlignment="1">
      <alignment horizontal="left" vertical="center"/>
    </xf>
    <xf numFmtId="0" fontId="59" fillId="0" borderId="154" xfId="11" applyFont="1" applyBorder="1" applyAlignment="1">
      <alignment horizontal="left" vertical="center" wrapText="1"/>
    </xf>
    <xf numFmtId="49" fontId="54" fillId="0" borderId="147" xfId="11" applyNumberFormat="1" applyFont="1" applyBorder="1" applyAlignment="1">
      <alignment horizontal="center" vertical="center"/>
    </xf>
    <xf numFmtId="0" fontId="97" fillId="0" borderId="28" xfId="11" applyFont="1" applyBorder="1" applyAlignment="1">
      <alignment horizontal="left" vertical="top" wrapText="1"/>
    </xf>
    <xf numFmtId="0" fontId="97" fillId="0" borderId="173" xfId="11" applyFont="1" applyBorder="1" applyAlignment="1">
      <alignment horizontal="left" vertical="top" wrapText="1"/>
    </xf>
    <xf numFmtId="0" fontId="97" fillId="0" borderId="148" xfId="11" applyFont="1" applyBorder="1" applyAlignment="1">
      <alignment horizontal="left" vertical="top" wrapText="1"/>
    </xf>
    <xf numFmtId="0" fontId="97" fillId="0" borderId="35" xfId="11" applyFont="1" applyBorder="1" applyAlignment="1">
      <alignment horizontal="left" vertical="top" wrapText="1"/>
    </xf>
    <xf numFmtId="0" fontId="97" fillId="0" borderId="124" xfId="11" applyFont="1" applyBorder="1" applyAlignment="1">
      <alignment horizontal="left" vertical="top" wrapText="1"/>
    </xf>
    <xf numFmtId="0" fontId="97" fillId="0" borderId="173" xfId="11" applyFont="1" applyBorder="1" applyAlignment="1">
      <alignment horizontal="left" vertical="top"/>
    </xf>
    <xf numFmtId="0" fontId="97" fillId="0" borderId="148" xfId="11" applyFont="1" applyBorder="1" applyAlignment="1">
      <alignment horizontal="left" vertical="top"/>
    </xf>
    <xf numFmtId="49" fontId="55" fillId="0" borderId="1" xfId="3" applyNumberFormat="1" applyFont="1" applyBorder="1" applyAlignment="1">
      <alignment horizontal="center"/>
    </xf>
    <xf numFmtId="49" fontId="54" fillId="0" borderId="175" xfId="11" applyNumberFormat="1" applyFont="1" applyBorder="1" applyAlignment="1">
      <alignment horizontal="center" vertical="center"/>
    </xf>
    <xf numFmtId="49" fontId="48" fillId="0" borderId="53" xfId="11" applyNumberFormat="1" applyFont="1" applyBorder="1" applyAlignment="1">
      <alignment horizontal="center" vertical="center"/>
    </xf>
    <xf numFmtId="49" fontId="48" fillId="0" borderId="29" xfId="11" applyNumberFormat="1" applyFont="1" applyBorder="1" applyAlignment="1">
      <alignment horizontal="center" vertical="center"/>
    </xf>
    <xf numFmtId="49" fontId="48" fillId="0" borderId="147" xfId="11" applyNumberFormat="1" applyFont="1" applyBorder="1" applyAlignment="1">
      <alignment horizontal="center" vertical="center"/>
    </xf>
    <xf numFmtId="49" fontId="48" fillId="0" borderId="175" xfId="11" applyNumberFormat="1" applyFont="1" applyBorder="1" applyAlignment="1">
      <alignment horizontal="center" vertical="center"/>
    </xf>
    <xf numFmtId="0" fontId="43" fillId="0" borderId="28" xfId="11" applyFont="1" applyBorder="1" applyAlignment="1">
      <alignment horizontal="left" vertical="top" wrapText="1"/>
    </xf>
    <xf numFmtId="0" fontId="43" fillId="0" borderId="173" xfId="11" applyFont="1" applyBorder="1" applyAlignment="1">
      <alignment horizontal="left" vertical="top"/>
    </xf>
    <xf numFmtId="0" fontId="43" fillId="0" borderId="148" xfId="11" applyFont="1" applyBorder="1" applyAlignment="1">
      <alignment horizontal="left" vertical="top"/>
    </xf>
    <xf numFmtId="0" fontId="97" fillId="0" borderId="35" xfId="11" applyFont="1" applyBorder="1" applyAlignment="1">
      <alignment horizontal="left" vertical="top"/>
    </xf>
    <xf numFmtId="0" fontId="172" fillId="0" borderId="28" xfId="11" applyFont="1" applyBorder="1" applyAlignment="1">
      <alignment horizontal="left" vertical="top" wrapText="1"/>
    </xf>
    <xf numFmtId="0" fontId="172" fillId="0" borderId="173" xfId="11" applyFont="1" applyBorder="1" applyAlignment="1">
      <alignment horizontal="left" vertical="top" wrapText="1"/>
    </xf>
    <xf numFmtId="0" fontId="69" fillId="0" borderId="173" xfId="11" applyFont="1" applyBorder="1" applyAlignment="1">
      <alignment horizontal="left" vertical="top" wrapText="1"/>
    </xf>
    <xf numFmtId="0" fontId="69" fillId="0" borderId="35" xfId="11" applyFont="1" applyBorder="1" applyAlignment="1">
      <alignment horizontal="left" vertical="top" wrapText="1"/>
    </xf>
    <xf numFmtId="0" fontId="50" fillId="0" borderId="28" xfId="11" applyBorder="1" applyAlignment="1">
      <alignment horizontal="left" vertical="top" wrapText="1"/>
    </xf>
    <xf numFmtId="0" fontId="50" fillId="0" borderId="173" xfId="11" applyBorder="1" applyAlignment="1">
      <alignment horizontal="left" vertical="top" wrapText="1"/>
    </xf>
    <xf numFmtId="0" fontId="50" fillId="0" borderId="148" xfId="11" applyBorder="1" applyAlignment="1">
      <alignment horizontal="left" vertical="top" wrapText="1"/>
    </xf>
    <xf numFmtId="0" fontId="41" fillId="3" borderId="12" xfId="3" applyFont="1" applyFill="1" applyBorder="1" applyAlignment="1">
      <alignment horizontal="center" vertical="center"/>
    </xf>
    <xf numFmtId="0" fontId="32" fillId="0" borderId="0" xfId="2" applyFont="1" applyAlignment="1">
      <alignment horizontal="center" vertical="center" wrapText="1"/>
    </xf>
    <xf numFmtId="49" fontId="37" fillId="0" borderId="1" xfId="3" applyNumberFormat="1" applyFont="1" applyBorder="1" applyAlignment="1">
      <alignment horizontal="center"/>
    </xf>
    <xf numFmtId="0" fontId="0" fillId="0" borderId="6" xfId="0" applyBorder="1"/>
    <xf numFmtId="49" fontId="34" fillId="0" borderId="7" xfId="3" applyNumberFormat="1" applyFont="1" applyBorder="1" applyAlignment="1">
      <alignment horizontal="center" vertical="center"/>
    </xf>
    <xf numFmtId="0" fontId="94" fillId="0" borderId="9" xfId="3" applyFont="1" applyBorder="1" applyAlignment="1">
      <alignment horizontal="left" vertical="top" wrapText="1"/>
    </xf>
    <xf numFmtId="0" fontId="39" fillId="0" borderId="8" xfId="3" applyFont="1" applyBorder="1" applyAlignment="1">
      <alignment horizontal="left" vertical="center" wrapText="1"/>
    </xf>
    <xf numFmtId="0" fontId="90" fillId="9" borderId="175" xfId="11" applyFont="1" applyFill="1" applyBorder="1" applyAlignment="1">
      <alignment horizontal="center" vertical="center"/>
    </xf>
    <xf numFmtId="0" fontId="90" fillId="9" borderId="160" xfId="11" applyFont="1" applyFill="1" applyBorder="1" applyAlignment="1">
      <alignment horizontal="center" vertical="center"/>
    </xf>
    <xf numFmtId="49" fontId="85" fillId="0" borderId="167" xfId="11" applyNumberFormat="1" applyFont="1" applyBorder="1" applyAlignment="1">
      <alignment horizontal="center" vertical="center"/>
    </xf>
    <xf numFmtId="0" fontId="90" fillId="9" borderId="128" xfId="11" applyFont="1" applyFill="1" applyBorder="1" applyAlignment="1">
      <alignment horizontal="center" vertical="center"/>
    </xf>
    <xf numFmtId="0" fontId="90" fillId="9" borderId="31" xfId="11" applyFont="1" applyFill="1" applyBorder="1" applyAlignment="1">
      <alignment horizontal="center" vertical="center"/>
    </xf>
    <xf numFmtId="0" fontId="90" fillId="9" borderId="32" xfId="11" applyFont="1" applyFill="1" applyBorder="1" applyAlignment="1">
      <alignment horizontal="center" vertical="center"/>
    </xf>
    <xf numFmtId="0" fontId="90" fillId="9" borderId="37" xfId="11" applyFont="1" applyFill="1" applyBorder="1" applyAlignment="1">
      <alignment horizontal="center" vertical="center"/>
    </xf>
    <xf numFmtId="0" fontId="90" fillId="9" borderId="115" xfId="11" applyFont="1" applyFill="1" applyBorder="1" applyAlignment="1">
      <alignment horizontal="center" vertical="center"/>
    </xf>
    <xf numFmtId="0" fontId="90" fillId="9" borderId="154" xfId="11" applyFont="1" applyFill="1" applyBorder="1" applyAlignment="1">
      <alignment horizontal="center" vertical="center"/>
    </xf>
    <xf numFmtId="0" fontId="74" fillId="0" borderId="170" xfId="11" applyFont="1" applyBorder="1" applyAlignment="1">
      <alignment vertical="top" wrapText="1"/>
    </xf>
    <xf numFmtId="0" fontId="74" fillId="0" borderId="28" xfId="11" applyFont="1" applyBorder="1" applyAlignment="1">
      <alignment horizontal="center" vertical="top" wrapText="1"/>
    </xf>
    <xf numFmtId="0" fontId="74" fillId="0" borderId="35" xfId="11" applyFont="1" applyBorder="1" applyAlignment="1">
      <alignment horizontal="center" vertical="top" wrapText="1"/>
    </xf>
    <xf numFmtId="0" fontId="111" fillId="0" borderId="129" xfId="11" applyFont="1" applyBorder="1" applyAlignment="1">
      <alignment horizontal="center" vertical="top" wrapText="1"/>
    </xf>
    <xf numFmtId="0" fontId="111" fillId="0" borderId="170" xfId="11" applyFont="1" applyBorder="1" applyAlignment="1">
      <alignment horizontal="center" vertical="top" wrapText="1"/>
    </xf>
    <xf numFmtId="0" fontId="88" fillId="0" borderId="175" xfId="11" applyFont="1" applyBorder="1" applyAlignment="1">
      <alignment horizontal="center" vertical="center" wrapText="1"/>
    </xf>
    <xf numFmtId="0" fontId="88" fillId="9" borderId="175" xfId="11" applyFont="1" applyFill="1" applyBorder="1" applyAlignment="1">
      <alignment horizontal="left" vertical="center" wrapText="1"/>
    </xf>
    <xf numFmtId="0" fontId="74" fillId="0" borderId="129" xfId="11" applyFont="1" applyBorder="1" applyAlignment="1">
      <alignment vertical="top" wrapText="1"/>
    </xf>
    <xf numFmtId="0" fontId="74" fillId="0" borderId="177" xfId="11" applyFont="1" applyBorder="1" applyAlignment="1">
      <alignment vertical="top" wrapText="1"/>
    </xf>
    <xf numFmtId="0" fontId="85" fillId="6" borderId="131" xfId="53" applyFont="1" applyFill="1" applyBorder="1" applyAlignment="1">
      <alignment horizontal="center" vertical="center"/>
    </xf>
    <xf numFmtId="0" fontId="85" fillId="6" borderId="60" xfId="53" applyFont="1" applyFill="1" applyBorder="1" applyAlignment="1">
      <alignment horizontal="center" vertical="center"/>
    </xf>
    <xf numFmtId="0" fontId="84" fillId="0" borderId="0" xfId="11" applyFont="1" applyAlignment="1">
      <alignment horizontal="center" wrapText="1"/>
    </xf>
    <xf numFmtId="0" fontId="111" fillId="0" borderId="148" xfId="11" applyFont="1" applyBorder="1" applyAlignment="1">
      <alignment horizontal="left" vertical="top" wrapText="1"/>
    </xf>
    <xf numFmtId="0" fontId="111" fillId="0" borderId="170" xfId="11" applyFont="1" applyBorder="1" applyAlignment="1">
      <alignment horizontal="left" vertical="top" wrapText="1"/>
    </xf>
    <xf numFmtId="0" fontId="111" fillId="0" borderId="28" xfId="11" applyFont="1" applyBorder="1" applyAlignment="1">
      <alignment horizontal="left" vertical="top" wrapText="1"/>
    </xf>
    <xf numFmtId="0" fontId="88" fillId="0" borderId="31" xfId="11" applyFont="1" applyBorder="1" applyAlignment="1">
      <alignment horizontal="left" vertical="center" wrapText="1"/>
    </xf>
    <xf numFmtId="0" fontId="88" fillId="0" borderId="154" xfId="11" applyFont="1" applyBorder="1" applyAlignment="1">
      <alignment horizontal="center" vertical="center" wrapText="1"/>
    </xf>
    <xf numFmtId="49" fontId="85" fillId="9" borderId="165" xfId="11" applyNumberFormat="1" applyFont="1" applyFill="1" applyBorder="1" applyAlignment="1">
      <alignment horizontal="center" vertical="center"/>
    </xf>
    <xf numFmtId="49" fontId="85" fillId="9" borderId="167" xfId="11" applyNumberFormat="1" applyFont="1" applyFill="1" applyBorder="1" applyAlignment="1">
      <alignment horizontal="center" vertical="center"/>
    </xf>
    <xf numFmtId="49" fontId="85" fillId="9" borderId="175" xfId="11" applyNumberFormat="1" applyFont="1" applyFill="1" applyBorder="1" applyAlignment="1">
      <alignment horizontal="center" vertical="center"/>
    </xf>
    <xf numFmtId="49" fontId="85" fillId="9" borderId="160" xfId="11" applyNumberFormat="1" applyFont="1" applyFill="1" applyBorder="1" applyAlignment="1">
      <alignment horizontal="center" vertical="center"/>
    </xf>
    <xf numFmtId="49" fontId="85" fillId="9" borderId="147" xfId="11" applyNumberFormat="1" applyFont="1" applyFill="1" applyBorder="1" applyAlignment="1">
      <alignment horizontal="center" vertical="center"/>
    </xf>
    <xf numFmtId="49" fontId="85" fillId="9" borderId="53" xfId="11" applyNumberFormat="1" applyFont="1" applyFill="1" applyBorder="1" applyAlignment="1">
      <alignment horizontal="center" vertical="center"/>
    </xf>
    <xf numFmtId="49" fontId="85" fillId="9" borderId="154" xfId="11" applyNumberFormat="1" applyFont="1" applyFill="1" applyBorder="1" applyAlignment="1">
      <alignment horizontal="center" vertical="center"/>
    </xf>
    <xf numFmtId="49" fontId="85" fillId="9" borderId="31" xfId="11" applyNumberFormat="1" applyFont="1" applyFill="1" applyBorder="1" applyAlignment="1">
      <alignment horizontal="center" vertical="center"/>
    </xf>
    <xf numFmtId="0" fontId="111" fillId="0" borderId="148" xfId="11" applyFont="1" applyBorder="1" applyAlignment="1">
      <alignment vertical="top" wrapText="1"/>
    </xf>
    <xf numFmtId="0" fontId="111" fillId="0" borderId="170" xfId="11" applyFont="1" applyBorder="1" applyAlignment="1">
      <alignment vertical="top" wrapText="1"/>
    </xf>
    <xf numFmtId="0" fontId="111" fillId="0" borderId="28" xfId="11" applyFont="1" applyBorder="1" applyAlignment="1">
      <alignment vertical="top" wrapText="1"/>
    </xf>
    <xf numFmtId="0" fontId="74" fillId="0" borderId="148" xfId="11" applyFont="1" applyBorder="1" applyAlignment="1">
      <alignment horizontal="left" vertical="top" wrapText="1"/>
    </xf>
    <xf numFmtId="3" fontId="91" fillId="0" borderId="115" xfId="11" applyNumberFormat="1" applyFont="1" applyBorder="1" applyAlignment="1">
      <alignment horizontal="center" vertical="center"/>
    </xf>
    <xf numFmtId="3" fontId="91" fillId="0" borderId="37" xfId="11" applyNumberFormat="1" applyFont="1" applyBorder="1" applyAlignment="1">
      <alignment horizontal="center" vertical="center"/>
    </xf>
    <xf numFmtId="3" fontId="90" fillId="0" borderId="115" xfId="11" applyNumberFormat="1" applyFont="1" applyBorder="1" applyAlignment="1">
      <alignment horizontal="center" vertical="center"/>
    </xf>
    <xf numFmtId="3" fontId="90" fillId="0" borderId="37" xfId="11" applyNumberFormat="1" applyFont="1" applyBorder="1" applyAlignment="1">
      <alignment horizontal="center" vertical="center"/>
    </xf>
    <xf numFmtId="0" fontId="115" fillId="9" borderId="170" xfId="11" applyFont="1" applyFill="1" applyBorder="1" applyAlignment="1">
      <alignment horizontal="left" vertical="top" wrapText="1"/>
    </xf>
    <xf numFmtId="0" fontId="115" fillId="9" borderId="177" xfId="11" applyFont="1" applyFill="1" applyBorder="1" applyAlignment="1">
      <alignment horizontal="left" vertical="top" wrapText="1"/>
    </xf>
    <xf numFmtId="0" fontId="85" fillId="0" borderId="115" xfId="11" applyFont="1" applyBorder="1" applyAlignment="1">
      <alignment horizontal="center" vertical="center"/>
    </xf>
    <xf numFmtId="0" fontId="85" fillId="0" borderId="37" xfId="11" applyFont="1" applyBorder="1" applyAlignment="1">
      <alignment horizontal="center" vertical="center"/>
    </xf>
    <xf numFmtId="0" fontId="88" fillId="0" borderId="115" xfId="11" applyFont="1" applyBorder="1" applyAlignment="1">
      <alignment horizontal="center" vertical="center"/>
    </xf>
    <xf numFmtId="0" fontId="88" fillId="0" borderId="37" xfId="11" applyFont="1" applyBorder="1" applyAlignment="1">
      <alignment horizontal="center" vertical="center"/>
    </xf>
    <xf numFmtId="49" fontId="85" fillId="9" borderId="32" xfId="11" applyNumberFormat="1" applyFont="1" applyFill="1" applyBorder="1" applyAlignment="1">
      <alignment horizontal="center" vertical="center"/>
    </xf>
    <xf numFmtId="49" fontId="85" fillId="9" borderId="37" xfId="11" applyNumberFormat="1" applyFont="1" applyFill="1" applyBorder="1" applyAlignment="1">
      <alignment horizontal="center" vertical="center"/>
    </xf>
    <xf numFmtId="49" fontId="85" fillId="9" borderId="115" xfId="11" applyNumberFormat="1" applyFont="1" applyFill="1" applyBorder="1" applyAlignment="1">
      <alignment horizontal="center" vertical="center"/>
    </xf>
    <xf numFmtId="49" fontId="85" fillId="9" borderId="163" xfId="11" applyNumberFormat="1" applyFont="1" applyFill="1" applyBorder="1" applyAlignment="1">
      <alignment horizontal="center" vertical="center"/>
    </xf>
    <xf numFmtId="0" fontId="59" fillId="0" borderId="175" xfId="11" applyFont="1" applyBorder="1" applyAlignment="1">
      <alignment horizontal="left" vertical="center" wrapText="1"/>
    </xf>
    <xf numFmtId="0" fontId="28" fillId="0" borderId="175" xfId="63" applyBorder="1" applyAlignment="1">
      <alignment horizontal="left" vertical="center" wrapText="1"/>
    </xf>
    <xf numFmtId="0" fontId="50" fillId="0" borderId="148" xfId="11" applyBorder="1" applyAlignment="1">
      <alignment horizontal="center" vertical="top"/>
    </xf>
    <xf numFmtId="0" fontId="50" fillId="0" borderId="170" xfId="11" applyBorder="1" applyAlignment="1">
      <alignment horizontal="center" vertical="top"/>
    </xf>
    <xf numFmtId="49" fontId="54" fillId="9" borderId="31" xfId="11" applyNumberFormat="1" applyFont="1" applyFill="1" applyBorder="1" applyAlignment="1">
      <alignment horizontal="center" vertical="center"/>
    </xf>
    <xf numFmtId="49" fontId="54" fillId="9" borderId="32" xfId="11" applyNumberFormat="1" applyFont="1" applyFill="1" applyBorder="1" applyAlignment="1">
      <alignment horizontal="center" vertical="center"/>
    </xf>
    <xf numFmtId="49" fontId="54" fillId="9" borderId="154" xfId="11" applyNumberFormat="1" applyFont="1" applyFill="1" applyBorder="1" applyAlignment="1">
      <alignment horizontal="center" vertical="center"/>
    </xf>
    <xf numFmtId="0" fontId="85" fillId="0" borderId="20" xfId="53" applyFont="1" applyBorder="1" applyAlignment="1">
      <alignment horizontal="center" vertical="center" wrapText="1"/>
    </xf>
    <xf numFmtId="0" fontId="85" fillId="0" borderId="22" xfId="53" applyFont="1" applyBorder="1" applyAlignment="1">
      <alignment horizontal="center" vertical="center" wrapText="1"/>
    </xf>
    <xf numFmtId="0" fontId="101" fillId="0" borderId="20" xfId="60" applyFont="1" applyBorder="1" applyAlignment="1">
      <alignment horizontal="center" vertical="center" wrapText="1"/>
    </xf>
    <xf numFmtId="0" fontId="101" fillId="0" borderId="22" xfId="60" applyFont="1" applyBorder="1" applyAlignment="1">
      <alignment horizontal="center" vertical="center" wrapText="1"/>
    </xf>
    <xf numFmtId="49" fontId="86" fillId="0" borderId="39" xfId="11" applyNumberFormat="1" applyFont="1" applyBorder="1" applyAlignment="1">
      <alignment horizontal="center" vertical="center"/>
    </xf>
    <xf numFmtId="49" fontId="86" fillId="0" borderId="41" xfId="11" applyNumberFormat="1" applyFont="1" applyBorder="1" applyAlignment="1">
      <alignment horizontal="center" vertical="center"/>
    </xf>
    <xf numFmtId="49" fontId="54" fillId="9" borderId="175" xfId="11" applyNumberFormat="1" applyFont="1" applyFill="1" applyBorder="1" applyAlignment="1">
      <alignment horizontal="center" vertical="center"/>
    </xf>
    <xf numFmtId="49" fontId="54" fillId="9" borderId="160" xfId="11" applyNumberFormat="1" applyFont="1" applyFill="1" applyBorder="1" applyAlignment="1">
      <alignment horizontal="center" vertical="center"/>
    </xf>
    <xf numFmtId="0" fontId="69" fillId="0" borderId="170" xfId="11" applyFont="1" applyBorder="1" applyAlignment="1">
      <alignment vertical="top" wrapText="1"/>
    </xf>
    <xf numFmtId="0" fontId="69" fillId="0" borderId="177" xfId="11" applyFont="1" applyBorder="1" applyAlignment="1">
      <alignment vertical="top" wrapText="1"/>
    </xf>
    <xf numFmtId="0" fontId="59" fillId="0" borderId="175" xfId="11" applyFont="1" applyBorder="1" applyAlignment="1">
      <alignment horizontal="left" vertical="center"/>
    </xf>
    <xf numFmtId="0" fontId="103" fillId="0" borderId="0" xfId="53" applyFont="1" applyAlignment="1">
      <alignment horizontal="center" vertical="center" wrapText="1"/>
    </xf>
    <xf numFmtId="0" fontId="104" fillId="0" borderId="0" xfId="53" applyFont="1" applyAlignment="1">
      <alignment horizontal="center" vertical="center"/>
    </xf>
    <xf numFmtId="0" fontId="85" fillId="0" borderId="162" xfId="11" applyFont="1" applyBorder="1" applyAlignment="1">
      <alignment horizontal="center" vertical="center"/>
    </xf>
    <xf numFmtId="0" fontId="85" fillId="0" borderId="164" xfId="11" applyFont="1" applyBorder="1" applyAlignment="1">
      <alignment horizontal="center" vertical="center"/>
    </xf>
    <xf numFmtId="0" fontId="54" fillId="0" borderId="20" xfId="53" applyFont="1" applyBorder="1" applyAlignment="1">
      <alignment horizontal="center" vertical="center" wrapText="1"/>
    </xf>
    <xf numFmtId="0" fontId="54" fillId="0" borderId="22" xfId="53" applyFont="1" applyBorder="1" applyAlignment="1">
      <alignment horizontal="center" vertical="center"/>
    </xf>
    <xf numFmtId="164" fontId="54" fillId="12" borderId="20" xfId="53" applyNumberFormat="1" applyFont="1" applyFill="1" applyBorder="1" applyAlignment="1">
      <alignment horizontal="center" vertical="center" wrapText="1"/>
    </xf>
    <xf numFmtId="164" fontId="54" fillId="12" borderId="22" xfId="53" applyNumberFormat="1" applyFont="1" applyFill="1" applyBorder="1" applyAlignment="1">
      <alignment horizontal="center" vertical="center"/>
    </xf>
    <xf numFmtId="0" fontId="0" fillId="5" borderId="63" xfId="0" applyFill="1" applyBorder="1"/>
    <xf numFmtId="0" fontId="0" fillId="5" borderId="79" xfId="0" applyFill="1" applyBorder="1"/>
    <xf numFmtId="49" fontId="34" fillId="0" borderId="8" xfId="6" applyNumberFormat="1" applyFont="1" applyBorder="1" applyAlignment="1">
      <alignment horizontal="center" vertical="center"/>
    </xf>
    <xf numFmtId="49" fontId="34" fillId="0" borderId="76" xfId="6" applyNumberFormat="1" applyFont="1" applyBorder="1" applyAlignment="1">
      <alignment horizontal="center" vertical="center"/>
    </xf>
    <xf numFmtId="0" fontId="96" fillId="0" borderId="73" xfId="6" applyFont="1" applyBorder="1" applyAlignment="1">
      <alignment horizontal="left" vertical="top" wrapText="1"/>
    </xf>
    <xf numFmtId="0" fontId="96" fillId="0" borderId="77" xfId="6" applyFont="1" applyBorder="1" applyAlignment="1">
      <alignment horizontal="left" vertical="top" wrapText="1"/>
    </xf>
    <xf numFmtId="0" fontId="32" fillId="0" borderId="0" xfId="7" applyFont="1" applyAlignment="1">
      <alignment horizontal="center" vertical="center" wrapText="1"/>
    </xf>
    <xf numFmtId="0" fontId="34" fillId="0" borderId="1" xfId="6" applyFont="1" applyBorder="1" applyAlignment="1">
      <alignment horizontal="center" vertical="center"/>
    </xf>
    <xf numFmtId="0" fontId="35" fillId="0" borderId="1" xfId="5" applyFont="1" applyBorder="1" applyAlignment="1">
      <alignment horizontal="center" vertical="center"/>
    </xf>
    <xf numFmtId="0" fontId="35" fillId="0" borderId="1" xfId="5" applyFont="1" applyBorder="1" applyAlignment="1">
      <alignment horizontal="center" vertical="center" wrapText="1"/>
    </xf>
    <xf numFmtId="0" fontId="34" fillId="0" borderId="1" xfId="7" applyFont="1" applyBorder="1" applyAlignment="1">
      <alignment horizontal="center" vertical="center" wrapText="1"/>
    </xf>
    <xf numFmtId="0" fontId="54" fillId="0" borderId="1" xfId="7" applyFont="1" applyBorder="1" applyAlignment="1">
      <alignment horizontal="center" vertical="center" wrapText="1"/>
    </xf>
    <xf numFmtId="49" fontId="37" fillId="0" borderId="70" xfId="6" applyNumberFormat="1" applyFont="1" applyBorder="1" applyAlignment="1">
      <alignment horizontal="center" vertical="center"/>
    </xf>
    <xf numFmtId="0" fontId="39" fillId="0" borderId="8" xfId="6" applyFont="1" applyBorder="1" applyAlignment="1">
      <alignment horizontal="left" vertical="center" wrapText="1"/>
    </xf>
    <xf numFmtId="0" fontId="96" fillId="0" borderId="72" xfId="6" applyFont="1" applyBorder="1" applyAlignment="1">
      <alignment horizontal="left" vertical="top" wrapText="1"/>
    </xf>
    <xf numFmtId="49" fontId="34" fillId="0" borderId="69" xfId="6" applyNumberFormat="1" applyFont="1" applyBorder="1" applyAlignment="1">
      <alignment horizontal="center" vertical="center"/>
    </xf>
    <xf numFmtId="0" fontId="97" fillId="0" borderId="72" xfId="6" applyFont="1" applyBorder="1" applyAlignment="1">
      <alignment horizontal="left" vertical="top" wrapText="1"/>
    </xf>
    <xf numFmtId="0" fontId="97" fillId="0" borderId="73" xfId="6" applyFont="1" applyBorder="1" applyAlignment="1">
      <alignment horizontal="left" vertical="top" wrapText="1"/>
    </xf>
    <xf numFmtId="0" fontId="97" fillId="0" borderId="77" xfId="6" applyFont="1" applyBorder="1" applyAlignment="1">
      <alignment horizontal="left" vertical="top" wrapText="1"/>
    </xf>
    <xf numFmtId="0" fontId="39" fillId="0" borderId="8" xfId="6" applyFont="1" applyBorder="1" applyAlignment="1">
      <alignment horizontal="left" vertical="center"/>
    </xf>
    <xf numFmtId="0" fontId="39" fillId="0" borderId="10" xfId="6" applyFont="1" applyBorder="1" applyAlignment="1">
      <alignment horizontal="left" vertical="center"/>
    </xf>
    <xf numFmtId="0" fontId="39" fillId="0" borderId="11" xfId="6" applyFont="1" applyBorder="1" applyAlignment="1">
      <alignment horizontal="left" vertical="center"/>
    </xf>
    <xf numFmtId="0" fontId="39" fillId="0" borderId="4" xfId="6" applyFont="1" applyBorder="1" applyAlignment="1">
      <alignment horizontal="left" vertical="center"/>
    </xf>
    <xf numFmtId="49" fontId="34" fillId="5" borderId="8" xfId="6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8" xfId="0" applyBorder="1" applyAlignment="1">
      <alignment horizontal="center"/>
    </xf>
    <xf numFmtId="0" fontId="96" fillId="5" borderId="73" xfId="6" applyFont="1" applyFill="1" applyBorder="1" applyAlignment="1">
      <alignment horizontal="left" vertical="top" wrapText="1"/>
    </xf>
    <xf numFmtId="0" fontId="73" fillId="0" borderId="17" xfId="0" applyFont="1" applyBorder="1" applyAlignment="1">
      <alignment vertical="top" wrapText="1"/>
    </xf>
    <xf numFmtId="0" fontId="73" fillId="0" borderId="50" xfId="0" applyFont="1" applyBorder="1" applyAlignment="1">
      <alignment vertical="top" wrapText="1"/>
    </xf>
    <xf numFmtId="0" fontId="0" fillId="0" borderId="63" xfId="0" applyBorder="1"/>
    <xf numFmtId="0" fontId="0" fillId="0" borderId="79" xfId="0" applyBorder="1"/>
    <xf numFmtId="0" fontId="0" fillId="5" borderId="3" xfId="0" applyFill="1" applyBorder="1"/>
    <xf numFmtId="0" fontId="0" fillId="5" borderId="49" xfId="0" applyFill="1" applyBorder="1"/>
    <xf numFmtId="49" fontId="34" fillId="0" borderId="10" xfId="6" applyNumberFormat="1" applyFont="1" applyBorder="1" applyAlignment="1">
      <alignment horizontal="center" vertical="center"/>
    </xf>
    <xf numFmtId="0" fontId="39" fillId="0" borderId="10" xfId="6" applyFont="1" applyBorder="1" applyAlignment="1">
      <alignment horizontal="left" vertical="center" wrapText="1"/>
    </xf>
    <xf numFmtId="0" fontId="39" fillId="0" borderId="11" xfId="6" applyFont="1" applyBorder="1" applyAlignment="1">
      <alignment horizontal="left" vertical="center" wrapText="1"/>
    </xf>
    <xf numFmtId="0" fontId="39" fillId="0" borderId="4" xfId="6" applyFont="1" applyBorder="1" applyAlignment="1">
      <alignment horizontal="left" vertical="center" wrapText="1"/>
    </xf>
    <xf numFmtId="0" fontId="0" fillId="5" borderId="71" xfId="0" applyFill="1" applyBorder="1"/>
    <xf numFmtId="0" fontId="46" fillId="3" borderId="80" xfId="7" applyFont="1" applyFill="1" applyBorder="1" applyAlignment="1">
      <alignment horizontal="center" vertical="center"/>
    </xf>
    <xf numFmtId="0" fontId="46" fillId="3" borderId="81" xfId="7" applyFont="1" applyFill="1" applyBorder="1" applyAlignment="1">
      <alignment horizontal="center" vertical="center"/>
    </xf>
    <xf numFmtId="0" fontId="0" fillId="5" borderId="65" xfId="0" applyFill="1" applyBorder="1"/>
    <xf numFmtId="49" fontId="34" fillId="0" borderId="7" xfId="6" applyNumberFormat="1" applyFont="1" applyBorder="1" applyAlignment="1">
      <alignment horizontal="center" vertical="center"/>
    </xf>
    <xf numFmtId="0" fontId="71" fillId="0" borderId="66" xfId="6" applyFont="1" applyBorder="1" applyAlignment="1">
      <alignment horizontal="left" vertical="top" wrapText="1"/>
    </xf>
    <xf numFmtId="0" fontId="97" fillId="0" borderId="93" xfId="6" applyFont="1" applyBorder="1" applyAlignment="1">
      <alignment horizontal="left" vertical="top" wrapText="1"/>
    </xf>
    <xf numFmtId="0" fontId="97" fillId="0" borderId="87" xfId="6" applyFont="1" applyBorder="1" applyAlignment="1">
      <alignment horizontal="left" vertical="top" wrapText="1"/>
    </xf>
    <xf numFmtId="0" fontId="97" fillId="0" borderId="89" xfId="6" applyFont="1" applyBorder="1" applyAlignment="1">
      <alignment horizontal="left" vertical="top" wrapText="1"/>
    </xf>
    <xf numFmtId="0" fontId="71" fillId="0" borderId="68" xfId="6" applyFont="1" applyBorder="1" applyAlignment="1">
      <alignment horizontal="left" vertical="top" wrapText="1"/>
    </xf>
    <xf numFmtId="0" fontId="71" fillId="0" borderId="87" xfId="6" applyFont="1" applyBorder="1" applyAlignment="1">
      <alignment horizontal="left" vertical="top" wrapText="1"/>
    </xf>
    <xf numFmtId="0" fontId="71" fillId="0" borderId="89" xfId="6" applyFont="1" applyBorder="1" applyAlignment="1">
      <alignment horizontal="left" vertical="top" wrapText="1"/>
    </xf>
    <xf numFmtId="49" fontId="37" fillId="0" borderId="1" xfId="6" applyNumberFormat="1" applyFont="1" applyBorder="1" applyAlignment="1">
      <alignment horizontal="center"/>
    </xf>
    <xf numFmtId="0" fontId="96" fillId="0" borderId="68" xfId="6" applyFont="1" applyBorder="1" applyAlignment="1">
      <alignment horizontal="left" vertical="top" wrapText="1"/>
    </xf>
    <xf numFmtId="0" fontId="96" fillId="0" borderId="87" xfId="6" applyFont="1" applyBorder="1" applyAlignment="1">
      <alignment horizontal="left" vertical="top" wrapText="1"/>
    </xf>
    <xf numFmtId="0" fontId="96" fillId="0" borderId="64" xfId="6" applyFont="1" applyBorder="1" applyAlignment="1">
      <alignment horizontal="left" vertical="top" wrapText="1"/>
    </xf>
    <xf numFmtId="0" fontId="39" fillId="0" borderId="76" xfId="6" applyFont="1" applyBorder="1" applyAlignment="1">
      <alignment horizontal="left" vertical="center" wrapText="1"/>
    </xf>
    <xf numFmtId="0" fontId="97" fillId="0" borderId="68" xfId="6" applyFont="1" applyBorder="1" applyAlignment="1">
      <alignment horizontal="left" vertical="top" wrapText="1"/>
    </xf>
    <xf numFmtId="0" fontId="97" fillId="0" borderId="64" xfId="6" applyFont="1" applyBorder="1" applyAlignment="1">
      <alignment horizontal="left" vertical="top" wrapText="1"/>
    </xf>
    <xf numFmtId="0" fontId="71" fillId="0" borderId="64" xfId="6" applyFont="1" applyBorder="1" applyAlignment="1">
      <alignment horizontal="left" vertical="top" wrapText="1"/>
    </xf>
    <xf numFmtId="49" fontId="34" fillId="0" borderId="11" xfId="6" applyNumberFormat="1" applyFont="1" applyBorder="1" applyAlignment="1">
      <alignment horizontal="center" vertical="center"/>
    </xf>
    <xf numFmtId="49" fontId="34" fillId="0" borderId="88" xfId="6" applyNumberFormat="1" applyFont="1" applyBorder="1" applyAlignment="1">
      <alignment horizontal="center" vertical="center"/>
    </xf>
    <xf numFmtId="0" fontId="34" fillId="0" borderId="84" xfId="6" applyFont="1" applyBorder="1" applyAlignment="1">
      <alignment horizontal="center" vertical="center"/>
    </xf>
    <xf numFmtId="0" fontId="34" fillId="0" borderId="61" xfId="6" applyFont="1" applyBorder="1" applyAlignment="1">
      <alignment horizontal="center" vertical="center"/>
    </xf>
    <xf numFmtId="0" fontId="34" fillId="0" borderId="85" xfId="6" applyFont="1" applyBorder="1" applyAlignment="1">
      <alignment horizontal="center" vertical="center"/>
    </xf>
    <xf numFmtId="0" fontId="35" fillId="0" borderId="85" xfId="5" applyFont="1" applyBorder="1" applyAlignment="1">
      <alignment horizontal="center" vertical="center"/>
    </xf>
    <xf numFmtId="0" fontId="35" fillId="0" borderId="85" xfId="5" applyFont="1" applyBorder="1" applyAlignment="1">
      <alignment horizontal="center" vertical="center" wrapText="1"/>
    </xf>
    <xf numFmtId="0" fontId="34" fillId="0" borderId="85" xfId="7" applyFont="1" applyBorder="1" applyAlignment="1">
      <alignment horizontal="center" vertical="center" wrapText="1"/>
    </xf>
    <xf numFmtId="0" fontId="34" fillId="0" borderId="106" xfId="7" applyFont="1" applyBorder="1" applyAlignment="1">
      <alignment horizontal="center" vertical="center" wrapText="1"/>
    </xf>
    <xf numFmtId="0" fontId="34" fillId="0" borderId="107" xfId="7" applyFont="1" applyBorder="1" applyAlignment="1">
      <alignment horizontal="center" vertical="center" wrapText="1"/>
    </xf>
    <xf numFmtId="49" fontId="34" fillId="0" borderId="95" xfId="6" applyNumberFormat="1" applyFont="1" applyBorder="1" applyAlignment="1">
      <alignment horizontal="center" vertical="center"/>
    </xf>
    <xf numFmtId="0" fontId="34" fillId="3" borderId="48" xfId="7" applyFont="1" applyFill="1" applyBorder="1" applyAlignment="1">
      <alignment horizontal="center" vertical="center"/>
    </xf>
    <xf numFmtId="0" fontId="0" fillId="0" borderId="94" xfId="0" applyBorder="1" applyAlignment="1">
      <alignment horizontal="center"/>
    </xf>
    <xf numFmtId="49" fontId="34" fillId="0" borderId="90" xfId="6" applyNumberFormat="1" applyFont="1" applyBorder="1" applyAlignment="1">
      <alignment horizontal="center" vertical="center"/>
    </xf>
    <xf numFmtId="49" fontId="34" fillId="0" borderId="4" xfId="6" applyNumberFormat="1" applyFont="1" applyBorder="1" applyAlignment="1">
      <alignment horizontal="center" vertical="center"/>
    </xf>
    <xf numFmtId="0" fontId="94" fillId="0" borderId="50" xfId="0" applyFont="1" applyBorder="1" applyAlignment="1">
      <alignment vertical="top" wrapText="1"/>
    </xf>
    <xf numFmtId="0" fontId="94" fillId="0" borderId="52" xfId="0" applyFont="1" applyBorder="1" applyAlignment="1">
      <alignment vertical="top" wrapText="1"/>
    </xf>
    <xf numFmtId="0" fontId="94" fillId="0" borderId="5" xfId="0" applyFont="1" applyBorder="1" applyAlignment="1">
      <alignment vertical="top" wrapText="1"/>
    </xf>
    <xf numFmtId="0" fontId="99" fillId="0" borderId="50" xfId="3" applyFont="1" applyBorder="1" applyAlignment="1">
      <alignment horizontal="left" vertical="top" wrapText="1"/>
    </xf>
    <xf numFmtId="0" fontId="99" fillId="0" borderId="52" xfId="3" applyFont="1" applyBorder="1" applyAlignment="1">
      <alignment horizontal="left" vertical="top" wrapText="1"/>
    </xf>
    <xf numFmtId="0" fontId="99" fillId="0" borderId="5" xfId="3" applyFont="1" applyBorder="1" applyAlignment="1">
      <alignment horizontal="left" vertical="top" wrapText="1"/>
    </xf>
    <xf numFmtId="0" fontId="94" fillId="0" borderId="50" xfId="0" applyFont="1" applyBorder="1" applyAlignment="1">
      <alignment horizontal="left" vertical="top" wrapText="1"/>
    </xf>
    <xf numFmtId="0" fontId="94" fillId="0" borderId="52" xfId="0" applyFont="1" applyBorder="1" applyAlignment="1">
      <alignment horizontal="left" vertical="top" wrapText="1"/>
    </xf>
    <xf numFmtId="0" fontId="94" fillId="0" borderId="5" xfId="0" applyFont="1" applyBorder="1" applyAlignment="1">
      <alignment horizontal="left" vertical="top" wrapText="1"/>
    </xf>
    <xf numFmtId="0" fontId="73" fillId="0" borderId="52" xfId="0" applyFont="1" applyBorder="1" applyAlignment="1">
      <alignment vertical="top" wrapText="1"/>
    </xf>
    <xf numFmtId="0" fontId="73" fillId="0" borderId="5" xfId="0" applyFont="1" applyBorder="1" applyAlignment="1">
      <alignment vertical="top" wrapText="1"/>
    </xf>
    <xf numFmtId="0" fontId="94" fillId="0" borderId="100" xfId="0" applyFont="1" applyBorder="1" applyAlignment="1">
      <alignment vertical="top" wrapText="1"/>
    </xf>
    <xf numFmtId="0" fontId="74" fillId="0" borderId="50" xfId="0" applyFont="1" applyBorder="1" applyAlignment="1">
      <alignment vertical="top" wrapText="1"/>
    </xf>
    <xf numFmtId="0" fontId="74" fillId="0" borderId="52" xfId="0" applyFont="1" applyBorder="1" applyAlignment="1">
      <alignment vertical="top" wrapText="1"/>
    </xf>
    <xf numFmtId="0" fontId="74" fillId="0" borderId="5" xfId="0" applyFont="1" applyBorder="1" applyAlignment="1">
      <alignment vertical="top" wrapText="1"/>
    </xf>
    <xf numFmtId="0" fontId="73" fillId="0" borderId="50" xfId="0" applyFont="1" applyBorder="1" applyAlignment="1">
      <alignment horizontal="left" vertical="top" wrapText="1"/>
    </xf>
    <xf numFmtId="0" fontId="73" fillId="0" borderId="52" xfId="0" applyFont="1" applyBorder="1" applyAlignment="1">
      <alignment horizontal="left" vertical="top" wrapText="1"/>
    </xf>
    <xf numFmtId="0" fontId="73" fillId="0" borderId="5" xfId="0" applyFont="1" applyBorder="1" applyAlignment="1">
      <alignment horizontal="left" vertical="top" wrapText="1"/>
    </xf>
    <xf numFmtId="0" fontId="73" fillId="0" borderId="100" xfId="0" applyFont="1" applyBorder="1" applyAlignment="1">
      <alignment vertical="top" wrapText="1"/>
    </xf>
    <xf numFmtId="0" fontId="74" fillId="0" borderId="50" xfId="3" applyFont="1" applyBorder="1" applyAlignment="1">
      <alignment horizontal="left" vertical="top" wrapText="1"/>
    </xf>
    <xf numFmtId="0" fontId="74" fillId="0" borderId="52" xfId="3" applyFont="1" applyBorder="1" applyAlignment="1">
      <alignment horizontal="left" vertical="top" wrapText="1"/>
    </xf>
    <xf numFmtId="0" fontId="74" fillId="0" borderId="5" xfId="3" applyFont="1" applyBorder="1" applyAlignment="1">
      <alignment horizontal="left" vertical="top" wrapText="1"/>
    </xf>
    <xf numFmtId="0" fontId="71" fillId="0" borderId="50" xfId="3" applyFont="1" applyBorder="1" applyAlignment="1">
      <alignment horizontal="center" vertical="top" wrapText="1"/>
    </xf>
    <xf numFmtId="0" fontId="71" fillId="0" borderId="52" xfId="3" applyFont="1" applyBorder="1" applyAlignment="1">
      <alignment horizontal="center" vertical="top" wrapText="1"/>
    </xf>
    <xf numFmtId="0" fontId="71" fillId="0" borderId="100" xfId="3" applyFont="1" applyBorder="1" applyAlignment="1">
      <alignment horizontal="center" vertical="top" wrapText="1"/>
    </xf>
    <xf numFmtId="0" fontId="74" fillId="0" borderId="50" xfId="0" applyFont="1" applyBorder="1" applyAlignment="1">
      <alignment horizontal="left" vertical="top" wrapText="1"/>
    </xf>
    <xf numFmtId="0" fontId="74" fillId="0" borderId="52" xfId="0" applyFont="1" applyBorder="1" applyAlignment="1">
      <alignment horizontal="left" vertical="top" wrapText="1"/>
    </xf>
    <xf numFmtId="0" fontId="74" fillId="0" borderId="5" xfId="0" applyFont="1" applyBorder="1" applyAlignment="1">
      <alignment horizontal="left" vertical="top" wrapText="1"/>
    </xf>
    <xf numFmtId="0" fontId="0" fillId="0" borderId="49" xfId="0" applyBorder="1"/>
    <xf numFmtId="0" fontId="0" fillId="0" borderId="51" xfId="0" applyBorder="1"/>
    <xf numFmtId="0" fontId="0" fillId="0" borderId="16" xfId="0" applyBorder="1"/>
    <xf numFmtId="49" fontId="34" fillId="0" borderId="10" xfId="3" applyNumberFormat="1" applyFont="1" applyBorder="1" applyAlignment="1">
      <alignment horizontal="center" vertical="center"/>
    </xf>
    <xf numFmtId="49" fontId="34" fillId="0" borderId="11" xfId="3" applyNumberFormat="1" applyFont="1" applyBorder="1" applyAlignment="1">
      <alignment horizontal="center" vertical="center"/>
    </xf>
    <xf numFmtId="49" fontId="34" fillId="0" borderId="4" xfId="3" applyNumberFormat="1" applyFont="1" applyBorder="1" applyAlignment="1">
      <alignment horizontal="center" vertical="center"/>
    </xf>
    <xf numFmtId="0" fontId="94" fillId="0" borderId="92" xfId="0" applyFont="1" applyBorder="1" applyAlignment="1">
      <alignment vertical="top" wrapText="1"/>
    </xf>
    <xf numFmtId="0" fontId="0" fillId="0" borderId="3" xfId="0" applyBorder="1"/>
    <xf numFmtId="0" fontId="0" fillId="0" borderId="96" xfId="0" applyBorder="1"/>
    <xf numFmtId="49" fontId="34" fillId="0" borderId="8" xfId="3" applyNumberFormat="1" applyFont="1" applyBorder="1" applyAlignment="1">
      <alignment horizontal="center" vertical="center"/>
    </xf>
    <xf numFmtId="49" fontId="34" fillId="0" borderId="97" xfId="3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/>
    </xf>
    <xf numFmtId="0" fontId="34" fillId="0" borderId="10" xfId="3" applyNumberFormat="1" applyFont="1" applyBorder="1" applyAlignment="1">
      <alignment horizontal="center" vertical="center"/>
    </xf>
    <xf numFmtId="0" fontId="39" fillId="0" borderId="10" xfId="3" applyFont="1" applyBorder="1" applyAlignment="1">
      <alignment horizontal="left" vertical="center" wrapText="1"/>
    </xf>
    <xf numFmtId="0" fontId="39" fillId="0" borderId="11" xfId="3" applyFont="1" applyBorder="1" applyAlignment="1">
      <alignment horizontal="left" vertical="center" wrapText="1"/>
    </xf>
    <xf numFmtId="0" fontId="39" fillId="0" borderId="4" xfId="3" applyFont="1" applyBorder="1" applyAlignment="1">
      <alignment horizontal="left" vertical="center" wrapText="1"/>
    </xf>
    <xf numFmtId="49" fontId="34" fillId="0" borderId="98" xfId="3" applyNumberFormat="1" applyFont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34" fillId="0" borderId="1" xfId="3" applyFont="1" applyBorder="1" applyAlignment="1">
      <alignment horizontal="center" vertical="center"/>
    </xf>
    <xf numFmtId="0" fontId="35" fillId="0" borderId="1" xfId="4" applyFont="1" applyBorder="1" applyAlignment="1">
      <alignment horizontal="center" vertical="center"/>
    </xf>
    <xf numFmtId="0" fontId="35" fillId="0" borderId="1" xfId="4" applyFont="1" applyBorder="1" applyAlignment="1">
      <alignment horizontal="center" vertical="center" wrapText="1"/>
    </xf>
    <xf numFmtId="0" fontId="34" fillId="0" borderId="1" xfId="2" applyFont="1" applyBorder="1" applyAlignment="1">
      <alignment horizontal="center" vertical="center" wrapText="1"/>
    </xf>
    <xf numFmtId="0" fontId="34" fillId="0" borderId="70" xfId="2" applyFont="1" applyBorder="1" applyAlignment="1">
      <alignment horizontal="center" vertical="center" wrapText="1"/>
    </xf>
    <xf numFmtId="0" fontId="34" fillId="0" borderId="105" xfId="2" applyFont="1" applyBorder="1" applyAlignment="1">
      <alignment horizontal="center" vertical="center" wrapText="1"/>
    </xf>
    <xf numFmtId="0" fontId="46" fillId="3" borderId="12" xfId="2" applyFont="1" applyFill="1" applyBorder="1" applyAlignment="1">
      <alignment horizontal="center" vertical="center"/>
    </xf>
    <xf numFmtId="0" fontId="100" fillId="6" borderId="39" xfId="11" applyFont="1" applyFill="1" applyBorder="1" applyAlignment="1">
      <alignment horizontal="center" vertical="center"/>
    </xf>
    <xf numFmtId="0" fontId="100" fillId="6" borderId="40" xfId="11" applyFont="1" applyFill="1" applyBorder="1" applyAlignment="1">
      <alignment horizontal="center" vertical="center"/>
    </xf>
    <xf numFmtId="0" fontId="100" fillId="6" borderId="43" xfId="11" applyFont="1" applyFill="1" applyBorder="1" applyAlignment="1">
      <alignment horizontal="center" vertical="center"/>
    </xf>
    <xf numFmtId="0" fontId="68" fillId="0" borderId="0" xfId="11" applyFont="1" applyAlignment="1">
      <alignment horizontal="left" vertical="center"/>
    </xf>
    <xf numFmtId="0" fontId="69" fillId="0" borderId="0" xfId="11" applyFont="1" applyAlignment="1">
      <alignment horizontal="left" vertical="center"/>
    </xf>
    <xf numFmtId="49" fontId="100" fillId="0" borderId="29" xfId="11" applyNumberFormat="1" applyFont="1" applyBorder="1" applyAlignment="1">
      <alignment horizontal="center" vertical="center"/>
    </xf>
    <xf numFmtId="49" fontId="100" fillId="0" borderId="36" xfId="11" applyNumberFormat="1" applyFont="1" applyBorder="1" applyAlignment="1">
      <alignment horizontal="center" vertical="center"/>
    </xf>
    <xf numFmtId="0" fontId="100" fillId="0" borderId="32" xfId="11" applyFont="1" applyBorder="1" applyAlignment="1">
      <alignment horizontal="center" vertical="center"/>
    </xf>
    <xf numFmtId="0" fontId="100" fillId="0" borderId="37" xfId="11" applyFont="1" applyBorder="1" applyAlignment="1">
      <alignment horizontal="center" vertical="center"/>
    </xf>
    <xf numFmtId="3" fontId="150" fillId="0" borderId="173" xfId="11" applyNumberFormat="1" applyFont="1" applyBorder="1" applyAlignment="1">
      <alignment horizontal="left" vertical="top" wrapText="1"/>
    </xf>
    <xf numFmtId="3" fontId="150" fillId="0" borderId="35" xfId="11" applyNumberFormat="1" applyFont="1" applyBorder="1" applyAlignment="1">
      <alignment horizontal="left" vertical="top" wrapText="1"/>
    </xf>
    <xf numFmtId="0" fontId="59" fillId="0" borderId="192" xfId="11" applyFont="1" applyBorder="1" applyAlignment="1">
      <alignment horizontal="left" vertical="center"/>
    </xf>
    <xf numFmtId="0" fontId="59" fillId="0" borderId="192" xfId="11" applyFont="1" applyBorder="1" applyAlignment="1">
      <alignment horizontal="left" vertical="center" wrapText="1"/>
    </xf>
    <xf numFmtId="3" fontId="150" fillId="0" borderId="28" xfId="11" applyNumberFormat="1" applyFont="1" applyBorder="1" applyAlignment="1">
      <alignment horizontal="left" vertical="top" wrapText="1"/>
    </xf>
    <xf numFmtId="0" fontId="100" fillId="0" borderId="31" xfId="11" applyFont="1" applyBorder="1" applyAlignment="1">
      <alignment horizontal="center" vertical="center"/>
    </xf>
    <xf numFmtId="0" fontId="100" fillId="0" borderId="192" xfId="11" applyFont="1" applyBorder="1" applyAlignment="1">
      <alignment horizontal="center" vertical="center"/>
    </xf>
    <xf numFmtId="0" fontId="100" fillId="0" borderId="163" xfId="11" applyFont="1" applyBorder="1" applyAlignment="1">
      <alignment horizontal="center" vertical="center"/>
    </xf>
    <xf numFmtId="3" fontId="152" fillId="0" borderId="28" xfId="11" applyNumberFormat="1" applyFont="1" applyBorder="1" applyAlignment="1">
      <alignment horizontal="left" vertical="top" wrapText="1"/>
    </xf>
    <xf numFmtId="3" fontId="152" fillId="0" borderId="173" xfId="11" applyNumberFormat="1" applyFont="1" applyBorder="1" applyAlignment="1">
      <alignment horizontal="left" vertical="top"/>
    </xf>
    <xf numFmtId="3" fontId="152" fillId="0" borderId="35" xfId="11" applyNumberFormat="1" applyFont="1" applyBorder="1" applyAlignment="1">
      <alignment horizontal="left" vertical="top"/>
    </xf>
    <xf numFmtId="3" fontId="152" fillId="0" borderId="173" xfId="11" applyNumberFormat="1" applyFont="1" applyBorder="1" applyAlignment="1">
      <alignment horizontal="left" vertical="top" wrapText="1"/>
    </xf>
    <xf numFmtId="3" fontId="152" fillId="0" borderId="148" xfId="11" applyNumberFormat="1" applyFont="1" applyBorder="1" applyAlignment="1">
      <alignment horizontal="left" vertical="top" wrapText="1"/>
    </xf>
    <xf numFmtId="49" fontId="100" fillId="0" borderId="53" xfId="11" applyNumberFormat="1" applyFont="1" applyBorder="1" applyAlignment="1">
      <alignment horizontal="center" vertical="center"/>
    </xf>
    <xf numFmtId="49" fontId="100" fillId="0" borderId="147" xfId="11" applyNumberFormat="1" applyFont="1" applyBorder="1" applyAlignment="1">
      <alignment horizontal="center" vertical="center"/>
    </xf>
    <xf numFmtId="0" fontId="100" fillId="0" borderId="154" xfId="11" applyFont="1" applyBorder="1" applyAlignment="1">
      <alignment horizontal="center" vertical="center"/>
    </xf>
    <xf numFmtId="3" fontId="150" fillId="0" borderId="148" xfId="11" applyNumberFormat="1" applyFont="1" applyBorder="1" applyAlignment="1">
      <alignment horizontal="left" vertical="top" wrapText="1"/>
    </xf>
    <xf numFmtId="3" fontId="152" fillId="0" borderId="28" xfId="11" applyNumberFormat="1" applyFont="1" applyBorder="1" applyAlignment="1">
      <alignment horizontal="center" vertical="top" wrapText="1"/>
    </xf>
    <xf numFmtId="3" fontId="152" fillId="0" borderId="173" xfId="11" applyNumberFormat="1" applyFont="1" applyBorder="1" applyAlignment="1">
      <alignment horizontal="center" vertical="top" wrapText="1"/>
    </xf>
    <xf numFmtId="3" fontId="152" fillId="0" borderId="148" xfId="11" applyNumberFormat="1" applyFont="1" applyBorder="1" applyAlignment="1">
      <alignment horizontal="center" vertical="top" wrapText="1"/>
    </xf>
    <xf numFmtId="0" fontId="100" fillId="0" borderId="175" xfId="11" applyFont="1" applyBorder="1" applyAlignment="1">
      <alignment horizontal="center" vertical="center"/>
    </xf>
    <xf numFmtId="3" fontId="151" fillId="0" borderId="28" xfId="11" applyNumberFormat="1" applyFont="1" applyBorder="1" applyAlignment="1">
      <alignment horizontal="left" vertical="top" wrapText="1"/>
    </xf>
    <xf numFmtId="3" fontId="151" fillId="0" borderId="173" xfId="11" applyNumberFormat="1" applyFont="1" applyBorder="1" applyAlignment="1">
      <alignment horizontal="left" vertical="top" wrapText="1"/>
    </xf>
    <xf numFmtId="3" fontId="151" fillId="0" borderId="148" xfId="11" applyNumberFormat="1" applyFont="1" applyBorder="1" applyAlignment="1">
      <alignment horizontal="left" vertical="top" wrapText="1"/>
    </xf>
    <xf numFmtId="0" fontId="151" fillId="0" borderId="173" xfId="11" applyFont="1" applyBorder="1" applyAlignment="1">
      <alignment horizontal="left" vertical="top" wrapText="1"/>
    </xf>
    <xf numFmtId="0" fontId="151" fillId="0" borderId="148" xfId="11" applyFont="1" applyBorder="1" applyAlignment="1">
      <alignment horizontal="left" vertical="top" wrapText="1"/>
    </xf>
    <xf numFmtId="0" fontId="152" fillId="0" borderId="28" xfId="11" applyFont="1" applyBorder="1" applyAlignment="1">
      <alignment horizontal="left" vertical="top" wrapText="1"/>
    </xf>
    <xf numFmtId="0" fontId="152" fillId="0" borderId="173" xfId="11" applyFont="1" applyBorder="1" applyAlignment="1">
      <alignment horizontal="left" vertical="top" wrapText="1"/>
    </xf>
    <xf numFmtId="0" fontId="152" fillId="0" borderId="35" xfId="11" applyFont="1" applyBorder="1" applyAlignment="1">
      <alignment horizontal="left" vertical="top" wrapText="1"/>
    </xf>
    <xf numFmtId="0" fontId="100" fillId="0" borderId="115" xfId="11" applyFont="1" applyBorder="1" applyAlignment="1">
      <alignment horizontal="center" vertical="center"/>
    </xf>
    <xf numFmtId="0" fontId="103" fillId="0" borderId="0" xfId="11" applyFont="1" applyAlignment="1">
      <alignment horizontal="center" vertical="center" wrapText="1"/>
    </xf>
    <xf numFmtId="0" fontId="103" fillId="0" borderId="0" xfId="11" applyFont="1" applyAlignment="1">
      <alignment horizontal="center" vertical="center"/>
    </xf>
    <xf numFmtId="0" fontId="93" fillId="0" borderId="19" xfId="11" applyFont="1" applyBorder="1" applyAlignment="1">
      <alignment horizontal="center" vertical="center"/>
    </xf>
    <xf numFmtId="0" fontId="93" fillId="0" borderId="162" xfId="11" applyFont="1" applyBorder="1" applyAlignment="1">
      <alignment horizontal="center" vertical="center"/>
    </xf>
    <xf numFmtId="0" fontId="93" fillId="0" borderId="20" xfId="11" applyFont="1" applyBorder="1" applyAlignment="1">
      <alignment horizontal="center" vertical="center"/>
    </xf>
    <xf numFmtId="0" fontId="93" fillId="0" borderId="22" xfId="11" applyFont="1" applyBorder="1" applyAlignment="1">
      <alignment horizontal="center" vertical="center"/>
    </xf>
    <xf numFmtId="0" fontId="93" fillId="0" borderId="20" xfId="53" applyFont="1" applyBorder="1" applyAlignment="1">
      <alignment horizontal="center" vertical="center" wrapText="1"/>
    </xf>
    <xf numFmtId="0" fontId="93" fillId="0" borderId="22" xfId="53" applyFont="1" applyBorder="1" applyAlignment="1">
      <alignment horizontal="center" vertical="center"/>
    </xf>
    <xf numFmtId="0" fontId="93" fillId="0" borderId="22" xfId="53" applyFont="1" applyBorder="1" applyAlignment="1">
      <alignment horizontal="center" vertical="center" wrapText="1"/>
    </xf>
    <xf numFmtId="49" fontId="86" fillId="0" borderId="23" xfId="11" applyNumberFormat="1" applyFont="1" applyBorder="1" applyAlignment="1">
      <alignment horizontal="center" vertical="center"/>
    </xf>
    <xf numFmtId="49" fontId="100" fillId="0" borderId="31" xfId="11" applyNumberFormat="1" applyFont="1" applyBorder="1" applyAlignment="1">
      <alignment horizontal="center" vertical="center"/>
    </xf>
    <xf numFmtId="49" fontId="100" fillId="0" borderId="32" xfId="11" applyNumberFormat="1" applyFont="1" applyBorder="1" applyAlignment="1">
      <alignment horizontal="center" vertical="center"/>
    </xf>
    <xf numFmtId="49" fontId="100" fillId="0" borderId="37" xfId="11" applyNumberFormat="1" applyFont="1" applyBorder="1" applyAlignment="1">
      <alignment horizontal="center" vertical="center"/>
    </xf>
    <xf numFmtId="0" fontId="138" fillId="0" borderId="177" xfId="11" applyFont="1" applyBorder="1" applyAlignment="1">
      <alignment horizontal="left" vertical="top"/>
    </xf>
    <xf numFmtId="3" fontId="150" fillId="0" borderId="124" xfId="11" applyNumberFormat="1" applyFont="1" applyBorder="1" applyAlignment="1">
      <alignment vertical="top" wrapText="1"/>
    </xf>
    <xf numFmtId="3" fontId="150" fillId="0" borderId="173" xfId="11" applyNumberFormat="1" applyFont="1" applyBorder="1" applyAlignment="1">
      <alignment vertical="top" wrapText="1"/>
    </xf>
    <xf numFmtId="49" fontId="100" fillId="0" borderId="128" xfId="11" applyNumberFormat="1" applyFont="1" applyBorder="1" applyAlignment="1">
      <alignment horizontal="center" vertical="center"/>
    </xf>
    <xf numFmtId="49" fontId="100" fillId="0" borderId="175" xfId="11" applyNumberFormat="1" applyFont="1" applyBorder="1" applyAlignment="1">
      <alignment horizontal="center" vertical="center"/>
    </xf>
    <xf numFmtId="0" fontId="152" fillId="0" borderId="124" xfId="53" applyFont="1" applyBorder="1" applyAlignment="1">
      <alignment horizontal="left" vertical="top" wrapText="1"/>
    </xf>
    <xf numFmtId="0" fontId="151" fillId="0" borderId="173" xfId="53" applyFont="1" applyBorder="1" applyAlignment="1">
      <alignment horizontal="left" vertical="top" wrapText="1"/>
    </xf>
    <xf numFmtId="0" fontId="34" fillId="0" borderId="0" xfId="7" applyFont="1" applyBorder="1" applyAlignment="1">
      <alignment horizontal="center" vertical="center" wrapText="1"/>
    </xf>
    <xf numFmtId="0" fontId="85" fillId="0" borderId="23" xfId="11" applyFont="1" applyBorder="1" applyAlignment="1">
      <alignment horizontal="center" vertical="center"/>
    </xf>
    <xf numFmtId="49" fontId="85" fillId="0" borderId="20" xfId="11" applyNumberFormat="1" applyFont="1" applyBorder="1" applyAlignment="1">
      <alignment horizontal="center" vertical="center"/>
    </xf>
    <xf numFmtId="49" fontId="85" fillId="0" borderId="23" xfId="11" applyNumberFormat="1" applyFont="1" applyBorder="1" applyAlignment="1">
      <alignment horizontal="center" vertical="center"/>
    </xf>
    <xf numFmtId="0" fontId="54" fillId="0" borderId="22" xfId="53" applyFont="1" applyBorder="1" applyAlignment="1">
      <alignment horizontal="center" vertical="center" wrapText="1"/>
    </xf>
    <xf numFmtId="0" fontId="85" fillId="0" borderId="20" xfId="11" applyFont="1" applyBorder="1" applyAlignment="1">
      <alignment horizontal="center" vertical="center" wrapText="1"/>
    </xf>
    <xf numFmtId="0" fontId="85" fillId="0" borderId="22" xfId="11" applyFont="1" applyBorder="1" applyAlignment="1">
      <alignment horizontal="center" vertical="center" wrapText="1"/>
    </xf>
    <xf numFmtId="0" fontId="54" fillId="0" borderId="20" xfId="90" applyFont="1" applyBorder="1" applyAlignment="1">
      <alignment horizontal="center" vertical="center" wrapText="1"/>
    </xf>
    <xf numFmtId="0" fontId="54" fillId="0" borderId="22" xfId="90" applyFont="1" applyBorder="1" applyAlignment="1">
      <alignment horizontal="center" vertical="center" wrapText="1"/>
    </xf>
    <xf numFmtId="49" fontId="85" fillId="0" borderId="46" xfId="11" applyNumberFormat="1" applyFont="1" applyBorder="1" applyAlignment="1">
      <alignment horizontal="center" vertical="center"/>
    </xf>
    <xf numFmtId="49" fontId="85" fillId="0" borderId="57" xfId="11" applyNumberFormat="1" applyFont="1" applyBorder="1" applyAlignment="1">
      <alignment horizontal="center" vertical="center"/>
    </xf>
    <xf numFmtId="0" fontId="71" fillId="0" borderId="133" xfId="11" applyFont="1" applyBorder="1" applyAlignment="1">
      <alignment vertical="top" wrapText="1"/>
    </xf>
    <xf numFmtId="0" fontId="71" fillId="0" borderId="133" xfId="11" applyFont="1" applyBorder="1" applyAlignment="1">
      <alignment vertical="top"/>
    </xf>
    <xf numFmtId="0" fontId="71" fillId="0" borderId="42" xfId="11" applyFont="1" applyBorder="1" applyAlignment="1">
      <alignment vertical="top" wrapText="1"/>
    </xf>
    <xf numFmtId="0" fontId="71" fillId="0" borderId="42" xfId="11" applyFont="1" applyBorder="1" applyAlignment="1">
      <alignment vertical="top"/>
    </xf>
    <xf numFmtId="0" fontId="71" fillId="0" borderId="28" xfId="11" applyFont="1" applyBorder="1" applyAlignment="1">
      <alignment vertical="top"/>
    </xf>
    <xf numFmtId="0" fontId="69" fillId="0" borderId="42" xfId="11" applyFont="1" applyBorder="1" applyAlignment="1">
      <alignment vertical="top" wrapText="1"/>
    </xf>
    <xf numFmtId="0" fontId="69" fillId="0" borderId="42" xfId="11" applyFont="1" applyBorder="1" applyAlignment="1">
      <alignment vertical="top"/>
    </xf>
    <xf numFmtId="0" fontId="69" fillId="0" borderId="133" xfId="11" applyFont="1" applyBorder="1" applyAlignment="1">
      <alignment vertical="top"/>
    </xf>
    <xf numFmtId="0" fontId="88" fillId="0" borderId="32" xfId="11" applyFont="1" applyBorder="1" applyAlignment="1">
      <alignment horizontal="left" vertical="center" wrapText="1"/>
    </xf>
    <xf numFmtId="49" fontId="85" fillId="0" borderId="54" xfId="11" applyNumberFormat="1" applyFont="1" applyBorder="1" applyAlignment="1">
      <alignment horizontal="center" vertical="center"/>
    </xf>
    <xf numFmtId="0" fontId="69" fillId="0" borderId="28" xfId="11" applyFont="1" applyBorder="1" applyAlignment="1">
      <alignment horizontal="left" vertical="top" wrapText="1"/>
    </xf>
    <xf numFmtId="0" fontId="69" fillId="0" borderId="30" xfId="11" applyFont="1" applyBorder="1" applyAlignment="1">
      <alignment horizontal="left" vertical="top" wrapText="1"/>
    </xf>
    <xf numFmtId="0" fontId="88" fillId="0" borderId="32" xfId="11" applyFont="1" applyBorder="1" applyAlignment="1">
      <alignment horizontal="left" vertical="center"/>
    </xf>
    <xf numFmtId="0" fontId="88" fillId="0" borderId="54" xfId="11" applyFont="1" applyBorder="1" applyAlignment="1">
      <alignment horizontal="left" vertical="center"/>
    </xf>
    <xf numFmtId="0" fontId="88" fillId="0" borderId="112" xfId="11" applyFont="1" applyBorder="1" applyAlignment="1">
      <alignment horizontal="left" vertical="center" wrapText="1"/>
    </xf>
    <xf numFmtId="0" fontId="88" fillId="0" borderId="113" xfId="11" applyFont="1" applyBorder="1" applyAlignment="1">
      <alignment horizontal="left" vertical="center" wrapText="1"/>
    </xf>
    <xf numFmtId="0" fontId="88" fillId="0" borderId="111" xfId="11" applyFont="1" applyBorder="1" applyAlignment="1">
      <alignment horizontal="left" vertical="center" wrapText="1"/>
    </xf>
    <xf numFmtId="49" fontId="85" fillId="0" borderId="141" xfId="11" applyNumberFormat="1" applyFont="1" applyBorder="1" applyAlignment="1">
      <alignment horizontal="center" vertical="center"/>
    </xf>
    <xf numFmtId="0" fontId="88" fillId="0" borderId="139" xfId="11" applyFont="1" applyBorder="1" applyAlignment="1">
      <alignment horizontal="left" vertical="center" wrapText="1"/>
    </xf>
    <xf numFmtId="0" fontId="88" fillId="0" borderId="140" xfId="11" applyFont="1" applyBorder="1" applyAlignment="1">
      <alignment horizontal="left" vertical="center" wrapText="1"/>
    </xf>
    <xf numFmtId="0" fontId="88" fillId="0" borderId="142" xfId="11" applyFont="1" applyBorder="1" applyAlignment="1">
      <alignment horizontal="left" vertical="center" wrapText="1"/>
    </xf>
    <xf numFmtId="0" fontId="108" fillId="0" borderId="28" xfId="11" applyFont="1" applyBorder="1" applyAlignment="1">
      <alignment horizontal="left" vertical="top" wrapText="1"/>
    </xf>
    <xf numFmtId="0" fontId="108" fillId="0" borderId="30" xfId="11" applyFont="1" applyBorder="1" applyAlignment="1">
      <alignment horizontal="left" vertical="top" wrapText="1"/>
    </xf>
    <xf numFmtId="0" fontId="71" fillId="0" borderId="30" xfId="11" applyFont="1" applyBorder="1" applyAlignment="1">
      <alignment horizontal="left" vertical="top" wrapText="1"/>
    </xf>
    <xf numFmtId="0" fontId="71" fillId="0" borderId="47" xfId="11" applyFont="1" applyBorder="1" applyAlignment="1">
      <alignment horizontal="left" vertical="top" wrapText="1"/>
    </xf>
    <xf numFmtId="0" fontId="88" fillId="0" borderId="141" xfId="11" applyFont="1" applyBorder="1" applyAlignment="1">
      <alignment horizontal="left" vertical="center"/>
    </xf>
    <xf numFmtId="0" fontId="69" fillId="0" borderId="148" xfId="11" applyFont="1" applyBorder="1" applyAlignment="1">
      <alignment horizontal="left" vertical="top" wrapText="1"/>
    </xf>
    <xf numFmtId="0" fontId="88" fillId="0" borderId="141" xfId="11" applyFont="1" applyBorder="1" applyAlignment="1">
      <alignment horizontal="left" vertical="center" wrapText="1"/>
    </xf>
    <xf numFmtId="0" fontId="88" fillId="0" borderId="54" xfId="11" applyFont="1" applyBorder="1" applyAlignment="1">
      <alignment horizontal="left" vertical="center" wrapText="1"/>
    </xf>
    <xf numFmtId="49" fontId="85" fillId="0" borderId="136" xfId="11" applyNumberFormat="1" applyFont="1" applyBorder="1" applyAlignment="1">
      <alignment horizontal="center" vertical="center"/>
    </xf>
    <xf numFmtId="0" fontId="71" fillId="0" borderId="47" xfId="11" applyFont="1" applyBorder="1" applyAlignment="1">
      <alignment vertical="top" wrapText="1"/>
    </xf>
    <xf numFmtId="0" fontId="71" fillId="0" borderId="143" xfId="11" applyFont="1" applyBorder="1" applyAlignment="1">
      <alignment vertical="top"/>
    </xf>
    <xf numFmtId="0" fontId="71" fillId="0" borderId="28" xfId="11" applyFont="1" applyBorder="1" applyAlignment="1">
      <alignment horizontal="left" vertical="top" wrapText="1"/>
    </xf>
    <xf numFmtId="0" fontId="88" fillId="0" borderId="112" xfId="11" applyFont="1" applyBorder="1" applyAlignment="1">
      <alignment horizontal="left" vertical="center"/>
    </xf>
    <xf numFmtId="0" fontId="88" fillId="0" borderId="113" xfId="11" applyFont="1" applyBorder="1" applyAlignment="1">
      <alignment horizontal="left" vertical="center"/>
    </xf>
    <xf numFmtId="0" fontId="88" fillId="0" borderId="111" xfId="11" applyFont="1" applyBorder="1" applyAlignment="1">
      <alignment horizontal="left" vertical="center"/>
    </xf>
    <xf numFmtId="0" fontId="88" fillId="0" borderId="112" xfId="11" applyFont="1" applyBorder="1" applyAlignment="1">
      <alignment horizontal="center" vertical="center" wrapText="1"/>
    </xf>
    <xf numFmtId="0" fontId="88" fillId="0" borderId="113" xfId="11" applyFont="1" applyBorder="1" applyAlignment="1">
      <alignment horizontal="center" vertical="center" wrapText="1"/>
    </xf>
    <xf numFmtId="0" fontId="88" fillId="0" borderId="111" xfId="11" applyFont="1" applyBorder="1" applyAlignment="1">
      <alignment horizontal="center" vertical="center" wrapText="1"/>
    </xf>
    <xf numFmtId="0" fontId="88" fillId="0" borderId="154" xfId="11" applyFont="1" applyBorder="1" applyAlignment="1">
      <alignment horizontal="left" vertical="center" wrapText="1"/>
    </xf>
    <xf numFmtId="0" fontId="112" fillId="0" borderId="0" xfId="53" applyFont="1" applyAlignment="1">
      <alignment horizontal="left" vertical="center"/>
    </xf>
    <xf numFmtId="0" fontId="100" fillId="0" borderId="0" xfId="53" applyFont="1" applyAlignment="1">
      <alignment horizontal="left" vertical="center"/>
    </xf>
    <xf numFmtId="0" fontId="111" fillId="0" borderId="0" xfId="53" applyFont="1" applyAlignment="1">
      <alignment horizontal="left" vertical="center"/>
    </xf>
    <xf numFmtId="0" fontId="111" fillId="0" borderId="30" xfId="11" applyFont="1" applyBorder="1" applyAlignment="1">
      <alignment horizontal="left" vertical="top" wrapText="1"/>
    </xf>
    <xf numFmtId="0" fontId="85" fillId="6" borderId="23" xfId="53" applyFont="1" applyFill="1" applyBorder="1" applyAlignment="1">
      <alignment horizontal="center" vertical="center"/>
    </xf>
    <xf numFmtId="0" fontId="85" fillId="6" borderId="39" xfId="53" applyFont="1" applyFill="1" applyBorder="1" applyAlignment="1">
      <alignment horizontal="center" vertical="center"/>
    </xf>
    <xf numFmtId="0" fontId="111" fillId="0" borderId="173" xfId="11" applyFont="1" applyBorder="1" applyAlignment="1">
      <alignment horizontal="left" vertical="top" wrapText="1"/>
    </xf>
    <xf numFmtId="0" fontId="85" fillId="6" borderId="40" xfId="53" applyFont="1" applyFill="1" applyBorder="1" applyAlignment="1">
      <alignment horizontal="center" vertical="center"/>
    </xf>
    <xf numFmtId="0" fontId="77" fillId="0" borderId="38" xfId="11" applyFont="1" applyBorder="1" applyAlignment="1">
      <alignment horizontal="left" vertical="center" wrapText="1"/>
    </xf>
    <xf numFmtId="0" fontId="158" fillId="0" borderId="0" xfId="53" applyFont="1" applyAlignment="1">
      <alignment horizontal="left" vertical="center"/>
    </xf>
    <xf numFmtId="0" fontId="137" fillId="0" borderId="0" xfId="53" applyFont="1" applyAlignment="1">
      <alignment horizontal="left" vertical="center"/>
    </xf>
    <xf numFmtId="0" fontId="88" fillId="0" borderId="136" xfId="11" applyFont="1" applyBorder="1" applyAlignment="1">
      <alignment horizontal="left" vertical="center"/>
    </xf>
    <xf numFmtId="0" fontId="144" fillId="0" borderId="28" xfId="11" applyFont="1" applyBorder="1" applyAlignment="1">
      <alignment vertical="top" wrapText="1"/>
    </xf>
    <xf numFmtId="0" fontId="144" fillId="0" borderId="173" xfId="11" applyFont="1" applyBorder="1" applyAlignment="1">
      <alignment vertical="top"/>
    </xf>
    <xf numFmtId="0" fontId="144" fillId="0" borderId="35" xfId="11" applyFont="1" applyBorder="1" applyAlignment="1">
      <alignment vertical="top"/>
    </xf>
    <xf numFmtId="0" fontId="144" fillId="0" borderId="170" xfId="11" applyFont="1" applyBorder="1" applyAlignment="1">
      <alignment horizontal="left" vertical="top" wrapText="1"/>
    </xf>
    <xf numFmtId="0" fontId="144" fillId="0" borderId="170" xfId="11" applyFont="1" applyBorder="1" applyAlignment="1">
      <alignment vertical="top" wrapText="1"/>
    </xf>
    <xf numFmtId="0" fontId="144" fillId="0" borderId="170" xfId="11" applyFont="1" applyBorder="1" applyAlignment="1">
      <alignment vertical="top"/>
    </xf>
    <xf numFmtId="0" fontId="144" fillId="0" borderId="28" xfId="11" applyFont="1" applyBorder="1" applyAlignment="1">
      <alignment vertical="top"/>
    </xf>
    <xf numFmtId="0" fontId="96" fillId="0" borderId="170" xfId="11" applyFont="1" applyBorder="1" applyAlignment="1">
      <alignment vertical="top"/>
    </xf>
    <xf numFmtId="0" fontId="156" fillId="0" borderId="170" xfId="0" applyFont="1" applyBorder="1" applyAlignment="1">
      <alignment horizontal="left" vertical="top" wrapText="1"/>
    </xf>
    <xf numFmtId="0" fontId="88" fillId="0" borderId="136" xfId="11" applyFont="1" applyBorder="1" applyAlignment="1">
      <alignment horizontal="left" vertical="center" wrapText="1"/>
    </xf>
    <xf numFmtId="0" fontId="96" fillId="0" borderId="170" xfId="11" applyFont="1" applyBorder="1" applyAlignment="1">
      <alignment vertical="top" wrapText="1"/>
    </xf>
    <xf numFmtId="0" fontId="139" fillId="0" borderId="170" xfId="11" applyFont="1" applyBorder="1" applyAlignment="1">
      <alignment vertical="top" wrapText="1"/>
    </xf>
    <xf numFmtId="0" fontId="139" fillId="0" borderId="170" xfId="11" applyFont="1" applyBorder="1" applyAlignment="1">
      <alignment horizontal="left" vertical="top" wrapText="1"/>
    </xf>
    <xf numFmtId="0" fontId="144" fillId="0" borderId="170" xfId="11" applyFont="1" applyBorder="1" applyAlignment="1">
      <alignment horizontal="left" vertical="top"/>
    </xf>
    <xf numFmtId="0" fontId="101" fillId="0" borderId="20" xfId="18" applyFont="1" applyBorder="1" applyAlignment="1">
      <alignment horizontal="center" vertical="center"/>
    </xf>
    <xf numFmtId="49" fontId="55" fillId="0" borderId="23" xfId="18" applyNumberFormat="1" applyFont="1" applyBorder="1" applyAlignment="1">
      <alignment horizontal="center" vertical="center"/>
    </xf>
    <xf numFmtId="0" fontId="144" fillId="9" borderId="148" xfId="11" applyFont="1" applyFill="1" applyBorder="1" applyAlignment="1">
      <alignment horizontal="left" vertical="top" wrapText="1"/>
    </xf>
    <xf numFmtId="0" fontId="115" fillId="0" borderId="0" xfId="53" applyFont="1" applyAlignment="1">
      <alignment horizontal="left" vertical="center"/>
    </xf>
    <xf numFmtId="0" fontId="144" fillId="9" borderId="173" xfId="11" applyFont="1" applyFill="1" applyBorder="1" applyAlignment="1">
      <alignment horizontal="left" vertical="top" wrapText="1"/>
    </xf>
    <xf numFmtId="0" fontId="54" fillId="6" borderId="39" xfId="53" applyFont="1" applyFill="1" applyBorder="1" applyAlignment="1">
      <alignment horizontal="center" vertical="center"/>
    </xf>
    <xf numFmtId="0" fontId="54" fillId="6" borderId="40" xfId="53" applyFont="1" applyFill="1" applyBorder="1" applyAlignment="1">
      <alignment horizontal="center" vertical="center"/>
    </xf>
    <xf numFmtId="0" fontId="54" fillId="6" borderId="43" xfId="53" applyFont="1" applyFill="1" applyBorder="1" applyAlignment="1">
      <alignment horizontal="center" vertical="center"/>
    </xf>
    <xf numFmtId="0" fontId="28" fillId="0" borderId="136" xfId="63" applyBorder="1" applyAlignment="1">
      <alignment horizontal="left" vertical="center" wrapText="1"/>
    </xf>
    <xf numFmtId="49" fontId="55" fillId="0" borderId="165" xfId="11" applyNumberFormat="1" applyFont="1" applyBorder="1" applyAlignment="1">
      <alignment horizontal="center"/>
    </xf>
    <xf numFmtId="0" fontId="148" fillId="0" borderId="170" xfId="11" applyFont="1" applyBorder="1" applyAlignment="1">
      <alignment horizontal="left" vertical="top"/>
    </xf>
    <xf numFmtId="0" fontId="0" fillId="0" borderId="36" xfId="0" applyBorder="1" applyAlignment="1">
      <alignment vertical="center"/>
    </xf>
    <xf numFmtId="0" fontId="139" fillId="0" borderId="28" xfId="11" applyFont="1" applyBorder="1" applyAlignment="1">
      <alignment horizontal="left" vertical="top" wrapText="1"/>
    </xf>
    <xf numFmtId="0" fontId="139" fillId="0" borderId="173" xfId="11" applyFont="1" applyBorder="1" applyAlignment="1">
      <alignment horizontal="left" vertical="top" wrapText="1"/>
    </xf>
    <xf numFmtId="0" fontId="139" fillId="0" borderId="148" xfId="11" applyFont="1" applyBorder="1" applyAlignment="1">
      <alignment horizontal="left" vertical="top" wrapText="1"/>
    </xf>
    <xf numFmtId="0" fontId="54" fillId="0" borderId="20" xfId="18" applyFont="1" applyBorder="1" applyAlignment="1">
      <alignment horizontal="center" vertical="center"/>
    </xf>
    <xf numFmtId="0" fontId="139" fillId="0" borderId="170" xfId="11" applyFont="1" applyBorder="1" applyAlignment="1">
      <alignment horizontal="left" vertical="top"/>
    </xf>
    <xf numFmtId="0" fontId="39" fillId="0" borderId="8" xfId="6" applyFont="1" applyBorder="1" applyAlignment="1">
      <alignment horizontal="center" vertical="center" wrapText="1"/>
    </xf>
    <xf numFmtId="0" fontId="0" fillId="0" borderId="104" xfId="0" applyBorder="1" applyAlignment="1">
      <alignment horizontal="center"/>
    </xf>
    <xf numFmtId="0" fontId="34" fillId="0" borderId="86" xfId="7" applyFont="1" applyBorder="1" applyAlignment="1">
      <alignment horizontal="center" vertical="center" wrapText="1"/>
    </xf>
    <xf numFmtId="0" fontId="34" fillId="0" borderId="62" xfId="7" applyFont="1" applyBorder="1" applyAlignment="1">
      <alignment horizontal="center" vertical="center" wrapText="1"/>
    </xf>
    <xf numFmtId="0" fontId="34" fillId="3" borderId="80" xfId="7" applyFont="1" applyFill="1" applyBorder="1" applyAlignment="1">
      <alignment horizontal="center" vertical="center"/>
    </xf>
    <xf numFmtId="0" fontId="34" fillId="3" borderId="81" xfId="7" applyFont="1" applyFill="1" applyBorder="1" applyAlignment="1">
      <alignment horizontal="center" vertical="center"/>
    </xf>
    <xf numFmtId="0" fontId="39" fillId="0" borderId="90" xfId="6" applyFont="1" applyBorder="1" applyAlignment="1">
      <alignment horizontal="left" vertical="center" wrapText="1"/>
    </xf>
    <xf numFmtId="49" fontId="54" fillId="0" borderId="26" xfId="11" applyNumberFormat="1" applyFont="1" applyBorder="1" applyAlignment="1">
      <alignment horizontal="center" vertical="center"/>
    </xf>
    <xf numFmtId="49" fontId="54" fillId="0" borderId="24" xfId="11" applyNumberFormat="1" applyFont="1" applyBorder="1" applyAlignment="1">
      <alignment horizontal="center" vertical="center"/>
    </xf>
    <xf numFmtId="49" fontId="54" fillId="0" borderId="25" xfId="11" applyNumberFormat="1" applyFont="1" applyBorder="1" applyAlignment="1">
      <alignment horizontal="center" vertical="center"/>
    </xf>
    <xf numFmtId="0" fontId="69" fillId="0" borderId="30" xfId="11" applyFont="1" applyBorder="1" applyAlignment="1">
      <alignment horizontal="left" vertical="top"/>
    </xf>
    <xf numFmtId="49" fontId="55" fillId="0" borderId="23" xfId="11" applyNumberFormat="1" applyFont="1" applyBorder="1" applyAlignment="1">
      <alignment horizontal="center"/>
    </xf>
    <xf numFmtId="0" fontId="94" fillId="0" borderId="28" xfId="11" applyFont="1" applyBorder="1" applyAlignment="1">
      <alignment horizontal="left" vertical="top" wrapText="1"/>
    </xf>
    <xf numFmtId="0" fontId="94" fillId="0" borderId="30" xfId="11" applyFont="1" applyBorder="1" applyAlignment="1">
      <alignment horizontal="left" vertical="top"/>
    </xf>
    <xf numFmtId="0" fontId="71" fillId="0" borderId="35" xfId="11" applyFont="1" applyBorder="1" applyAlignment="1">
      <alignment horizontal="left" vertical="top" wrapText="1"/>
    </xf>
    <xf numFmtId="0" fontId="52" fillId="0" borderId="0" xfId="14" applyFont="1" applyAlignment="1">
      <alignment horizontal="center" vertical="center" wrapText="1"/>
    </xf>
    <xf numFmtId="0" fontId="53" fillId="0" borderId="0" xfId="14" applyFont="1" applyAlignment="1">
      <alignment horizontal="center" vertical="center"/>
    </xf>
    <xf numFmtId="0" fontId="54" fillId="0" borderId="21" xfId="11" applyFont="1" applyBorder="1" applyAlignment="1">
      <alignment horizontal="center" vertical="center"/>
    </xf>
    <xf numFmtId="0" fontId="64" fillId="0" borderId="20" xfId="18" applyFont="1" applyBorder="1" applyAlignment="1">
      <alignment horizontal="center" vertical="center"/>
    </xf>
    <xf numFmtId="0" fontId="64" fillId="0" borderId="22" xfId="18" applyFont="1" applyBorder="1" applyAlignment="1">
      <alignment horizontal="center" vertical="center"/>
    </xf>
    <xf numFmtId="0" fontId="64" fillId="0" borderId="20" xfId="18" applyFont="1" applyBorder="1" applyAlignment="1">
      <alignment horizontal="center" vertical="center" wrapText="1"/>
    </xf>
    <xf numFmtId="0" fontId="64" fillId="0" borderId="22" xfId="18" applyFont="1" applyBorder="1" applyAlignment="1">
      <alignment horizontal="center" vertical="center" wrapText="1"/>
    </xf>
    <xf numFmtId="0" fontId="54" fillId="0" borderId="20" xfId="14" applyFont="1" applyBorder="1" applyAlignment="1">
      <alignment horizontal="center" vertical="center" wrapText="1"/>
    </xf>
    <xf numFmtId="0" fontId="54" fillId="0" borderId="22" xfId="14" applyFont="1" applyBorder="1" applyAlignment="1">
      <alignment horizontal="center" vertical="center"/>
    </xf>
    <xf numFmtId="0" fontId="54" fillId="0" borderId="22" xfId="14" applyFont="1" applyBorder="1" applyAlignment="1">
      <alignment horizontal="center" vertical="center" wrapText="1"/>
    </xf>
    <xf numFmtId="0" fontId="60" fillId="3" borderId="184" xfId="3" applyFont="1" applyFill="1" applyBorder="1" applyAlignment="1">
      <alignment horizontal="center" vertical="center"/>
    </xf>
    <xf numFmtId="0" fontId="60" fillId="3" borderId="185" xfId="3" applyFont="1" applyFill="1" applyBorder="1" applyAlignment="1">
      <alignment horizontal="center" vertical="center"/>
    </xf>
    <xf numFmtId="0" fontId="52" fillId="0" borderId="0" xfId="2" applyFont="1" applyAlignment="1">
      <alignment horizontal="center" vertical="center" wrapText="1"/>
    </xf>
    <xf numFmtId="0" fontId="81" fillId="0" borderId="6" xfId="0" applyFont="1" applyBorder="1"/>
    <xf numFmtId="0" fontId="81" fillId="0" borderId="49" xfId="0" applyFont="1" applyBorder="1"/>
    <xf numFmtId="49" fontId="54" fillId="0" borderId="7" xfId="3" applyNumberFormat="1" applyFont="1" applyBorder="1" applyAlignment="1">
      <alignment horizontal="center" vertical="center"/>
    </xf>
    <xf numFmtId="49" fontId="54" fillId="0" borderId="10" xfId="3" applyNumberFormat="1" applyFont="1" applyBorder="1" applyAlignment="1">
      <alignment horizontal="center" vertical="center"/>
    </xf>
    <xf numFmtId="0" fontId="97" fillId="0" borderId="181" xfId="3" applyFont="1" applyBorder="1" applyAlignment="1">
      <alignment horizontal="left" vertical="top" wrapText="1"/>
    </xf>
    <xf numFmtId="0" fontId="97" fillId="0" borderId="183" xfId="3" applyFont="1" applyBorder="1" applyAlignment="1">
      <alignment horizontal="left" vertical="top" wrapText="1"/>
    </xf>
    <xf numFmtId="49" fontId="59" fillId="0" borderId="10" xfId="3" applyNumberFormat="1" applyFont="1" applyBorder="1" applyAlignment="1">
      <alignment horizontal="left" vertical="center" wrapText="1"/>
    </xf>
    <xf numFmtId="49" fontId="59" fillId="0" borderId="11" xfId="3" applyNumberFormat="1" applyFont="1" applyBorder="1" applyAlignment="1">
      <alignment horizontal="left" vertical="center" wrapText="1"/>
    </xf>
    <xf numFmtId="49" fontId="59" fillId="0" borderId="4" xfId="3" applyNumberFormat="1" applyFont="1" applyBorder="1" applyAlignment="1">
      <alignment horizontal="left" vertical="center" wrapText="1"/>
    </xf>
    <xf numFmtId="0" fontId="81" fillId="0" borderId="65" xfId="0" applyFont="1" applyBorder="1"/>
    <xf numFmtId="0" fontId="81" fillId="0" borderId="67" xfId="0" applyFont="1" applyBorder="1"/>
    <xf numFmtId="0" fontId="97" fillId="0" borderId="66" xfId="3" applyFont="1" applyBorder="1" applyAlignment="1">
      <alignment horizontal="left" vertical="top" wrapText="1"/>
    </xf>
    <xf numFmtId="0" fontId="97" fillId="0" borderId="68" xfId="3" applyFont="1" applyBorder="1" applyAlignment="1">
      <alignment horizontal="left" vertical="top" wrapText="1"/>
    </xf>
    <xf numFmtId="0" fontId="52" fillId="0" borderId="0" xfId="21" applyFont="1" applyAlignment="1">
      <alignment horizontal="center" vertical="center" wrapText="1"/>
    </xf>
    <xf numFmtId="49" fontId="54" fillId="0" borderId="20" xfId="11" applyNumberFormat="1" applyFont="1" applyBorder="1" applyAlignment="1">
      <alignment horizontal="center" vertical="center"/>
    </xf>
    <xf numFmtId="49" fontId="54" fillId="0" borderId="22" xfId="11" applyNumberFormat="1" applyFont="1" applyBorder="1" applyAlignment="1">
      <alignment horizontal="center" vertical="center"/>
    </xf>
    <xf numFmtId="0" fontId="54" fillId="0" borderId="20" xfId="21" applyFont="1" applyBorder="1" applyAlignment="1">
      <alignment horizontal="center" vertical="center" wrapText="1"/>
    </xf>
    <xf numFmtId="0" fontId="54" fillId="0" borderId="22" xfId="21" applyFont="1" applyBorder="1" applyAlignment="1">
      <alignment horizontal="center" vertical="center"/>
    </xf>
    <xf numFmtId="0" fontId="54" fillId="0" borderId="22" xfId="21" applyFont="1" applyBorder="1" applyAlignment="1">
      <alignment horizontal="center" vertical="center" wrapText="1"/>
    </xf>
    <xf numFmtId="0" fontId="102" fillId="0" borderId="28" xfId="11" applyFont="1" applyBorder="1" applyAlignment="1">
      <alignment horizontal="left" vertical="top" wrapText="1"/>
    </xf>
    <xf numFmtId="0" fontId="102" fillId="0" borderId="30" xfId="11" applyFont="1" applyBorder="1" applyAlignment="1">
      <alignment horizontal="left" vertical="top" wrapText="1"/>
    </xf>
    <xf numFmtId="0" fontId="54" fillId="6" borderId="39" xfId="21" applyFont="1" applyFill="1" applyBorder="1" applyAlignment="1">
      <alignment horizontal="center" vertical="center"/>
    </xf>
    <xf numFmtId="0" fontId="54" fillId="6" borderId="40" xfId="21" applyFont="1" applyFill="1" applyBorder="1" applyAlignment="1">
      <alignment horizontal="center" vertical="center"/>
    </xf>
    <xf numFmtId="0" fontId="54" fillId="6" borderId="43" xfId="21" applyFont="1" applyFill="1" applyBorder="1" applyAlignment="1">
      <alignment horizontal="center" vertical="center"/>
    </xf>
    <xf numFmtId="0" fontId="93" fillId="0" borderId="20" xfId="60" applyFont="1" applyBorder="1" applyAlignment="1">
      <alignment horizontal="center" vertical="center" wrapText="1"/>
    </xf>
    <xf numFmtId="0" fontId="93" fillId="0" borderId="22" xfId="60" applyFont="1" applyBorder="1" applyAlignment="1">
      <alignment horizontal="center" vertical="center" wrapText="1"/>
    </xf>
    <xf numFmtId="49" fontId="55" fillId="0" borderId="39" xfId="11" applyNumberFormat="1" applyFont="1" applyBorder="1" applyAlignment="1">
      <alignment horizontal="center"/>
    </xf>
    <xf numFmtId="49" fontId="55" fillId="0" borderId="41" xfId="11" applyNumberFormat="1" applyFont="1" applyBorder="1" applyAlignment="1">
      <alignment horizontal="center"/>
    </xf>
    <xf numFmtId="0" fontId="91" fillId="6" borderId="39" xfId="11" applyFont="1" applyFill="1" applyBorder="1" applyAlignment="1">
      <alignment horizontal="center" vertical="center"/>
    </xf>
    <xf numFmtId="0" fontId="91" fillId="6" borderId="40" xfId="11" applyFont="1" applyFill="1" applyBorder="1" applyAlignment="1">
      <alignment horizontal="center" vertical="center"/>
    </xf>
    <xf numFmtId="0" fontId="91" fillId="6" borderId="43" xfId="11" applyFont="1" applyFill="1" applyBorder="1" applyAlignment="1">
      <alignment horizontal="center" vertical="center"/>
    </xf>
    <xf numFmtId="49" fontId="54" fillId="0" borderId="57" xfId="11" applyNumberFormat="1" applyFont="1" applyBorder="1" applyAlignment="1">
      <alignment horizontal="center" vertical="center"/>
    </xf>
    <xf numFmtId="0" fontId="97" fillId="0" borderId="30" xfId="11" applyFont="1" applyBorder="1" applyAlignment="1">
      <alignment horizontal="left" vertical="top" wrapText="1"/>
    </xf>
    <xf numFmtId="0" fontId="97" fillId="0" borderId="47" xfId="11" applyFont="1" applyBorder="1" applyAlignment="1">
      <alignment horizontal="left" vertical="top" wrapText="1"/>
    </xf>
    <xf numFmtId="0" fontId="74" fillId="6" borderId="148" xfId="11" applyFont="1" applyFill="1" applyBorder="1"/>
    <xf numFmtId="0" fontId="73" fillId="0" borderId="28" xfId="11" applyFont="1" applyBorder="1" applyAlignment="1">
      <alignment horizontal="left" vertical="top" wrapText="1"/>
    </xf>
    <xf numFmtId="0" fontId="73" fillId="0" borderId="173" xfId="11" applyFont="1" applyBorder="1" applyAlignment="1">
      <alignment horizontal="left" vertical="top"/>
    </xf>
    <xf numFmtId="0" fontId="73" fillId="0" borderId="35" xfId="11" applyFont="1" applyBorder="1" applyAlignment="1">
      <alignment horizontal="left" vertical="top"/>
    </xf>
    <xf numFmtId="0" fontId="59" fillId="6" borderId="35" xfId="91" applyFont="1" applyFill="1" applyBorder="1" applyAlignment="1">
      <alignment horizontal="left" vertical="center" wrapText="1"/>
    </xf>
    <xf numFmtId="0" fontId="54" fillId="0" borderId="0" xfId="14" applyFont="1" applyAlignment="1">
      <alignment horizontal="right" vertical="center"/>
    </xf>
  </cellXfs>
  <cellStyles count="98">
    <cellStyle name="Normalny" xfId="0" builtinId="0" customBuiltin="1"/>
    <cellStyle name="Normalny 10" xfId="73" xr:uid="{00000000-0005-0000-0000-000001000000}"/>
    <cellStyle name="Normalny 10 2" xfId="86" xr:uid="{00000000-0005-0000-0000-000002000000}"/>
    <cellStyle name="Normalny 10 2 2" xfId="94" xr:uid="{00000000-0005-0000-0000-000003000000}"/>
    <cellStyle name="Normalny 2" xfId="2" xr:uid="{00000000-0005-0000-0000-000004000000}"/>
    <cellStyle name="Normalny 2 2" xfId="3" xr:uid="{00000000-0005-0000-0000-000005000000}"/>
    <cellStyle name="Normalny 2 2 2" xfId="4" xr:uid="{00000000-0005-0000-0000-000006000000}"/>
    <cellStyle name="Normalny 2 2 3" xfId="5" xr:uid="{00000000-0005-0000-0000-000007000000}"/>
    <cellStyle name="Normalny 2 2 4" xfId="18" xr:uid="{00000000-0005-0000-0000-000008000000}"/>
    <cellStyle name="Normalny 2 3" xfId="6" xr:uid="{00000000-0005-0000-0000-000009000000}"/>
    <cellStyle name="Normalny 2 3 2" xfId="25" xr:uid="{00000000-0005-0000-0000-00000A000000}"/>
    <cellStyle name="Normalny 2 4" xfId="11" xr:uid="{00000000-0005-0000-0000-00000B000000}"/>
    <cellStyle name="Normalny 2 5" xfId="63" xr:uid="{00000000-0005-0000-0000-00000C000000}"/>
    <cellStyle name="Normalny 3" xfId="7" xr:uid="{00000000-0005-0000-0000-00000D000000}"/>
    <cellStyle name="Normalny 3 2" xfId="10" xr:uid="{00000000-0005-0000-0000-00000E000000}"/>
    <cellStyle name="Normalny 3 2 2" xfId="22" xr:uid="{00000000-0005-0000-0000-00000F000000}"/>
    <cellStyle name="Normalny 3 2 2 2" xfId="30" xr:uid="{00000000-0005-0000-0000-000010000000}"/>
    <cellStyle name="Normalny 3 2 2 3" xfId="38" xr:uid="{00000000-0005-0000-0000-000011000000}"/>
    <cellStyle name="Normalny 3 2 2 3 2" xfId="46" xr:uid="{00000000-0005-0000-0000-000012000000}"/>
    <cellStyle name="Normalny 3 2 2 3 2 2" xfId="57" xr:uid="{00000000-0005-0000-0000-000013000000}"/>
    <cellStyle name="Normalny 3 2 2 3 2 2 2" xfId="69" xr:uid="{00000000-0005-0000-0000-000014000000}"/>
    <cellStyle name="Normalny 3 2 2 3 2 2 2 2" xfId="76" xr:uid="{00000000-0005-0000-0000-000015000000}"/>
    <cellStyle name="Normalny 3 2 2 3 2 2 2 2 2" xfId="87" xr:uid="{00000000-0005-0000-0000-000016000000}"/>
    <cellStyle name="Normalny 3 2 2 3 2 2 2 2 2 2" xfId="96" xr:uid="{00000000-0005-0000-0000-000017000000}"/>
    <cellStyle name="Normalny 3 2 2 3 2 2 2 3" xfId="80" xr:uid="{00000000-0005-0000-0000-000018000000}"/>
    <cellStyle name="Normalny 3 2 3" xfId="23" xr:uid="{00000000-0005-0000-0000-000019000000}"/>
    <cellStyle name="Normalny 3 2 3 2" xfId="34" xr:uid="{00000000-0005-0000-0000-00001A000000}"/>
    <cellStyle name="Normalny 3 2 3 2 2" xfId="35" xr:uid="{00000000-0005-0000-0000-00001B000000}"/>
    <cellStyle name="Normalny 3 2 3 2 2 2" xfId="49" xr:uid="{00000000-0005-0000-0000-00001C000000}"/>
    <cellStyle name="Normalny 3 2 3 2 2 2 2" xfId="55" xr:uid="{00000000-0005-0000-0000-00001D000000}"/>
    <cellStyle name="Normalny 3 2 3 2 2 2 2 2" xfId="72" xr:uid="{00000000-0005-0000-0000-00001E000000}"/>
    <cellStyle name="Normalny 3 2 3 2 2 2 2 2 2" xfId="79" xr:uid="{00000000-0005-0000-0000-00001F000000}"/>
    <cellStyle name="Normalny 3 2 3 2 3" xfId="42" xr:uid="{00000000-0005-0000-0000-000020000000}"/>
    <cellStyle name="Normalny 3 2 3 2 3 2" xfId="45" xr:uid="{00000000-0005-0000-0000-000021000000}"/>
    <cellStyle name="Normalny 3 2 3 2 3 2 2" xfId="52" xr:uid="{00000000-0005-0000-0000-000022000000}"/>
    <cellStyle name="Normalny 3 2 3 2 3 2 2 2" xfId="68" xr:uid="{00000000-0005-0000-0000-000023000000}"/>
    <cellStyle name="Normalny 3 2 3 2 3 2 2 2 2" xfId="83" xr:uid="{00000000-0005-0000-0000-000024000000}"/>
    <cellStyle name="Normalny 3 2 4" xfId="28" xr:uid="{00000000-0005-0000-0000-000025000000}"/>
    <cellStyle name="Normalny 3 2 5" xfId="36" xr:uid="{00000000-0005-0000-0000-000026000000}"/>
    <cellStyle name="Normalny 3 2 5 2" xfId="43" xr:uid="{00000000-0005-0000-0000-000027000000}"/>
    <cellStyle name="Normalny 3 2 5 2 2" xfId="50" xr:uid="{00000000-0005-0000-0000-000028000000}"/>
    <cellStyle name="Normalny 3 2 5 2 2 2" xfId="64" xr:uid="{00000000-0005-0000-0000-000029000000}"/>
    <cellStyle name="Normalny 3 2 5 2 2 2 2" xfId="74" xr:uid="{00000000-0005-0000-0000-00002A000000}"/>
    <cellStyle name="Normalny 3 2 5 2 2 2 3" xfId="84" xr:uid="{00000000-0005-0000-0000-00002B000000}"/>
    <cellStyle name="Normalny 3 2 5 2 2 2 3 2" xfId="89" xr:uid="{00000000-0005-0000-0000-00002C000000}"/>
    <cellStyle name="Normalny 3 2 5 2 2 2 3 3" xfId="90" xr:uid="{00000000-0005-0000-0000-00002D000000}"/>
    <cellStyle name="Normalny 3 2 5 2 2 2 3 4" xfId="93" xr:uid="{00000000-0005-0000-0000-00002E000000}"/>
    <cellStyle name="Normalny 3 2 5 2 2 2 3 5" xfId="95" xr:uid="{00000000-0005-0000-0000-00002F000000}"/>
    <cellStyle name="Normalny 3 2 5 2 2 2 4" xfId="91" xr:uid="{00000000-0005-0000-0000-000030000000}"/>
    <cellStyle name="Normalny 3 3" xfId="19" xr:uid="{00000000-0005-0000-0000-000031000000}"/>
    <cellStyle name="Normalny 3 3 2" xfId="53" xr:uid="{00000000-0005-0000-0000-000032000000}"/>
    <cellStyle name="Normalny 4" xfId="14" xr:uid="{00000000-0005-0000-0000-000033000000}"/>
    <cellStyle name="Normalny 4 2" xfId="88" xr:uid="{00000000-0005-0000-0000-000034000000}"/>
    <cellStyle name="Normalny 5" xfId="24" xr:uid="{00000000-0005-0000-0000-000035000000}"/>
    <cellStyle name="Normalny 5 2" xfId="56" xr:uid="{00000000-0005-0000-0000-000036000000}"/>
    <cellStyle name="Normalny 6" xfId="20" xr:uid="{00000000-0005-0000-0000-000037000000}"/>
    <cellStyle name="Normalny 6 2" xfId="15" xr:uid="{00000000-0005-0000-0000-000038000000}"/>
    <cellStyle name="Normalny 6 2 2" xfId="60" xr:uid="{00000000-0005-0000-0000-000039000000}"/>
    <cellStyle name="Normalny 6 2 4" xfId="61" xr:uid="{00000000-0005-0000-0000-00003A000000}"/>
    <cellStyle name="Normalny 7" xfId="21" xr:uid="{00000000-0005-0000-0000-00003B000000}"/>
    <cellStyle name="Normalny 8" xfId="26" xr:uid="{00000000-0005-0000-0000-00003C000000}"/>
    <cellStyle name="Normalny 8 2" xfId="31" xr:uid="{00000000-0005-0000-0000-00003D000000}"/>
    <cellStyle name="Normalny 8 3" xfId="39" xr:uid="{00000000-0005-0000-0000-00003E000000}"/>
    <cellStyle name="Normalny 8 3 2" xfId="47" xr:uid="{00000000-0005-0000-0000-00003F000000}"/>
    <cellStyle name="Normalny 8 3 2 2" xfId="58" xr:uid="{00000000-0005-0000-0000-000040000000}"/>
    <cellStyle name="Normalny 8 3 2 2 2" xfId="70" xr:uid="{00000000-0005-0000-0000-000041000000}"/>
    <cellStyle name="Normalny 8 3 2 2 2 2" xfId="77" xr:uid="{00000000-0005-0000-0000-000042000000}"/>
    <cellStyle name="Normalny 8 3 2 2 2 3" xfId="81" xr:uid="{00000000-0005-0000-0000-000043000000}"/>
    <cellStyle name="Normalny 9" xfId="66" xr:uid="{00000000-0005-0000-0000-000044000000}"/>
    <cellStyle name="Normalny_wydatki" xfId="97" xr:uid="{00000000-0005-0000-0000-000045000000}"/>
    <cellStyle name="Procentowy" xfId="1" builtinId="5" customBuiltin="1"/>
    <cellStyle name="Procentowy 2" xfId="8" xr:uid="{00000000-0005-0000-0000-000047000000}"/>
    <cellStyle name="Procentowy 2 2" xfId="13" xr:uid="{00000000-0005-0000-0000-000048000000}"/>
    <cellStyle name="Procentowy 2 2 2" xfId="54" xr:uid="{00000000-0005-0000-0000-000049000000}"/>
    <cellStyle name="Procentowy 3" xfId="9" xr:uid="{00000000-0005-0000-0000-00004A000000}"/>
    <cellStyle name="Procentowy 3 2" xfId="16" xr:uid="{00000000-0005-0000-0000-00004B000000}"/>
    <cellStyle name="Procentowy 3 2 2" xfId="67" xr:uid="{00000000-0005-0000-0000-00004C000000}"/>
    <cellStyle name="Procentowy 3 2 3" xfId="62" xr:uid="{00000000-0005-0000-0000-00004D000000}"/>
    <cellStyle name="Procentowy 4" xfId="12" xr:uid="{00000000-0005-0000-0000-00004E000000}"/>
    <cellStyle name="Procentowy 4 2" xfId="29" xr:uid="{00000000-0005-0000-0000-00004F000000}"/>
    <cellStyle name="Procentowy 4 3" xfId="33" xr:uid="{00000000-0005-0000-0000-000050000000}"/>
    <cellStyle name="Procentowy 4 4" xfId="37" xr:uid="{00000000-0005-0000-0000-000051000000}"/>
    <cellStyle name="Procentowy 4 4 2" xfId="44" xr:uid="{00000000-0005-0000-0000-000052000000}"/>
    <cellStyle name="Procentowy 4 4 2 2" xfId="51" xr:uid="{00000000-0005-0000-0000-000053000000}"/>
    <cellStyle name="Procentowy 4 4 2 2 2" xfId="65" xr:uid="{00000000-0005-0000-0000-000054000000}"/>
    <cellStyle name="Procentowy 4 4 2 2 2 2" xfId="75" xr:uid="{00000000-0005-0000-0000-000055000000}"/>
    <cellStyle name="Procentowy 4 4 2 2 2 3" xfId="85" xr:uid="{00000000-0005-0000-0000-000056000000}"/>
    <cellStyle name="Procentowy 4 4 2 2 2 4" xfId="92" xr:uid="{00000000-0005-0000-0000-000057000000}"/>
    <cellStyle name="Procentowy 4 5" xfId="41" xr:uid="{00000000-0005-0000-0000-000058000000}"/>
    <cellStyle name="Procentowy 5" xfId="17" xr:uid="{00000000-0005-0000-0000-000059000000}"/>
    <cellStyle name="Procentowy 6" xfId="27" xr:uid="{00000000-0005-0000-0000-00005A000000}"/>
    <cellStyle name="Procentowy 6 2" xfId="32" xr:uid="{00000000-0005-0000-0000-00005B000000}"/>
    <cellStyle name="Procentowy 6 3" xfId="40" xr:uid="{00000000-0005-0000-0000-00005C000000}"/>
    <cellStyle name="Procentowy 6 3 2" xfId="48" xr:uid="{00000000-0005-0000-0000-00005D000000}"/>
    <cellStyle name="Procentowy 6 3 2 2" xfId="59" xr:uid="{00000000-0005-0000-0000-00005E000000}"/>
    <cellStyle name="Procentowy 6 3 2 2 2" xfId="71" xr:uid="{00000000-0005-0000-0000-00005F000000}"/>
    <cellStyle name="Procentowy 6 3 2 2 2 2" xfId="78" xr:uid="{00000000-0005-0000-0000-000060000000}"/>
    <cellStyle name="Procentowy 6 3 2 2 2 3" xfId="82" xr:uid="{00000000-0005-0000-0000-000061000000}"/>
  </cellStyles>
  <dxfs count="0"/>
  <tableStyles count="0" defaultTableStyle="TableStyleMedium2" defaultPivotStyle="PivotStyleLight16"/>
  <colors>
    <mruColors>
      <color rgb="FF00FFFF"/>
      <color rgb="FF99FF99"/>
      <color rgb="FFCCFF99"/>
      <color rgb="FFCCFFCC"/>
      <color rgb="FFFFCCFF"/>
      <color rgb="FFCC0099"/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P85"/>
  <sheetViews>
    <sheetView view="pageBreakPreview" zoomScaleSheetLayoutView="100" workbookViewId="0">
      <selection activeCell="O89" sqref="O89"/>
    </sheetView>
  </sheetViews>
  <sheetFormatPr defaultRowHeight="15"/>
  <cols>
    <col min="1" max="1" width="4.7109375" style="647" customWidth="1"/>
    <col min="2" max="2" width="6.5703125" style="647" customWidth="1"/>
    <col min="3" max="3" width="38.42578125" style="647" customWidth="1"/>
    <col min="4" max="4" width="7.140625" style="647" customWidth="1"/>
    <col min="5" max="5" width="13.85546875" style="647" customWidth="1"/>
    <col min="6" max="6" width="13.140625" style="718" customWidth="1"/>
    <col min="7" max="7" width="2" style="647" hidden="1" customWidth="1"/>
    <col min="8" max="8" width="14.85546875" style="647" hidden="1" customWidth="1"/>
    <col min="9" max="9" width="6.85546875" style="647" hidden="1" customWidth="1"/>
    <col min="10" max="10" width="13.85546875" style="647" hidden="1" customWidth="1"/>
    <col min="11" max="11" width="12" style="647" customWidth="1"/>
    <col min="12" max="12" width="7.140625" style="647" hidden="1" customWidth="1"/>
    <col min="13" max="13" width="51.7109375" style="647" customWidth="1"/>
    <col min="14" max="16384" width="9.140625" style="647"/>
  </cols>
  <sheetData>
    <row r="1" spans="1:13" ht="63.75" customHeight="1">
      <c r="A1" s="1917" t="s">
        <v>353</v>
      </c>
      <c r="B1" s="1918"/>
      <c r="C1" s="1918"/>
      <c r="D1" s="1918"/>
      <c r="E1" s="1918"/>
      <c r="F1" s="1918"/>
      <c r="G1" s="1918"/>
      <c r="H1" s="1918"/>
      <c r="I1" s="1918"/>
      <c r="J1" s="1918"/>
      <c r="K1" s="1918"/>
      <c r="L1" s="1918"/>
      <c r="M1" s="1918"/>
    </row>
    <row r="2" spans="1:13" ht="15" customHeight="1" thickBot="1">
      <c r="A2" s="648"/>
      <c r="B2" s="649"/>
      <c r="C2" s="649"/>
      <c r="D2" s="649"/>
      <c r="E2" s="649"/>
      <c r="F2" s="650"/>
      <c r="G2" s="649"/>
      <c r="H2" s="649"/>
      <c r="I2" s="649"/>
      <c r="J2" s="649"/>
      <c r="K2" s="649"/>
      <c r="L2" s="649"/>
      <c r="M2" s="1372" t="s">
        <v>0</v>
      </c>
    </row>
    <row r="3" spans="1:13" ht="15" customHeight="1">
      <c r="A3" s="1919" t="s">
        <v>37</v>
      </c>
      <c r="B3" s="1921" t="s">
        <v>3</v>
      </c>
      <c r="C3" s="1921"/>
      <c r="D3" s="1921" t="s">
        <v>354</v>
      </c>
      <c r="E3" s="1923" t="s">
        <v>355</v>
      </c>
      <c r="F3" s="1923" t="s">
        <v>150</v>
      </c>
      <c r="G3" s="1923"/>
      <c r="H3" s="1923" t="s">
        <v>356</v>
      </c>
      <c r="I3" s="1923" t="s">
        <v>5</v>
      </c>
      <c r="J3" s="1923" t="s">
        <v>178</v>
      </c>
      <c r="K3" s="1926" t="s">
        <v>166</v>
      </c>
      <c r="L3" s="1926" t="s">
        <v>357</v>
      </c>
      <c r="M3" s="1923" t="s">
        <v>358</v>
      </c>
    </row>
    <row r="4" spans="1:13" ht="61.5" customHeight="1" thickBot="1">
      <c r="A4" s="1920"/>
      <c r="B4" s="1922"/>
      <c r="C4" s="1922"/>
      <c r="D4" s="1922"/>
      <c r="E4" s="1924"/>
      <c r="F4" s="1924"/>
      <c r="G4" s="1925"/>
      <c r="H4" s="1925"/>
      <c r="I4" s="1924"/>
      <c r="J4" s="1925"/>
      <c r="K4" s="1927"/>
      <c r="L4" s="1927"/>
      <c r="M4" s="1925"/>
    </row>
    <row r="5" spans="1:13" ht="10.5" customHeight="1" thickBot="1">
      <c r="A5" s="386" t="s">
        <v>6</v>
      </c>
      <c r="B5" s="1928" t="s">
        <v>7</v>
      </c>
      <c r="C5" s="1928"/>
      <c r="D5" s="386" t="s">
        <v>359</v>
      </c>
      <c r="E5" s="651">
        <v>4</v>
      </c>
      <c r="F5" s="651">
        <v>5</v>
      </c>
      <c r="G5" s="389">
        <v>6</v>
      </c>
      <c r="H5" s="389" t="s">
        <v>10</v>
      </c>
      <c r="I5" s="651" t="s">
        <v>11</v>
      </c>
      <c r="J5" s="651" t="s">
        <v>11</v>
      </c>
      <c r="K5" s="652" t="s">
        <v>11</v>
      </c>
      <c r="L5" s="652" t="s">
        <v>202</v>
      </c>
      <c r="M5" s="653" t="s">
        <v>12</v>
      </c>
    </row>
    <row r="6" spans="1:13" ht="10.5" customHeight="1">
      <c r="A6" s="271" t="s">
        <v>217</v>
      </c>
      <c r="B6" s="654"/>
      <c r="C6" s="655" t="s">
        <v>360</v>
      </c>
      <c r="D6" s="656"/>
      <c r="E6" s="657">
        <f>SUM(E7)</f>
        <v>154500</v>
      </c>
      <c r="F6" s="657">
        <f>SUM(F7)</f>
        <v>154500</v>
      </c>
      <c r="G6" s="657">
        <f>SUM(G7)</f>
        <v>0</v>
      </c>
      <c r="H6" s="657">
        <f>SUM(H7)</f>
        <v>177675</v>
      </c>
      <c r="I6" s="658">
        <f>H6/E6</f>
        <v>1.1499999999999999</v>
      </c>
      <c r="J6" s="657">
        <f>SUM(J7)</f>
        <v>0</v>
      </c>
      <c r="K6" s="488">
        <f>SUM(K7)</f>
        <v>177675</v>
      </c>
      <c r="L6" s="659">
        <f>K6/E6</f>
        <v>1.1499999999999999</v>
      </c>
      <c r="M6" s="2074" t="s">
        <v>361</v>
      </c>
    </row>
    <row r="7" spans="1:13" ht="10.5" customHeight="1">
      <c r="A7" s="1936" t="s">
        <v>217</v>
      </c>
      <c r="B7" s="1932" t="s">
        <v>225</v>
      </c>
      <c r="C7" s="660" t="s">
        <v>362</v>
      </c>
      <c r="D7" s="661"/>
      <c r="E7" s="525">
        <f>SUM(E8+E19)</f>
        <v>154500</v>
      </c>
      <c r="F7" s="525">
        <f>SUM(F8+F19)</f>
        <v>154500</v>
      </c>
      <c r="G7" s="525">
        <f>SUM(G8+G19)</f>
        <v>0</v>
      </c>
      <c r="H7" s="525">
        <f>SUM(H8+H19)</f>
        <v>177675</v>
      </c>
      <c r="I7" s="662">
        <f>H7/E7</f>
        <v>1.1499999999999999</v>
      </c>
      <c r="J7" s="525">
        <f>SUM(J8+J19)</f>
        <v>0</v>
      </c>
      <c r="K7" s="445">
        <f>SUM(K8+K19)</f>
        <v>177675</v>
      </c>
      <c r="L7" s="663">
        <f>K7/E7</f>
        <v>1.1499999999999999</v>
      </c>
      <c r="M7" s="2075"/>
    </row>
    <row r="8" spans="1:13" ht="10.5" customHeight="1">
      <c r="A8" s="1936"/>
      <c r="B8" s="1932"/>
      <c r="C8" s="664" t="s">
        <v>18</v>
      </c>
      <c r="D8" s="665"/>
      <c r="E8" s="528">
        <f>SUM(E9+E12+E15+E16+E17+E18)</f>
        <v>154500</v>
      </c>
      <c r="F8" s="528">
        <f>SUM(F9+F12+F15+F16+F17+F18)</f>
        <v>154500</v>
      </c>
      <c r="G8" s="528">
        <f>SUM(G9+G13+G15+G16+G17+G18)</f>
        <v>0</v>
      </c>
      <c r="H8" s="528">
        <f>SUM(H9+H12+H15+H16+H17+H18)</f>
        <v>177675</v>
      </c>
      <c r="I8" s="666">
        <f>H8/E8</f>
        <v>1.1499999999999999</v>
      </c>
      <c r="J8" s="528">
        <f>SUM(J9+J12+J15+J16+J17+J18)</f>
        <v>0</v>
      </c>
      <c r="K8" s="447">
        <f>H8+J8</f>
        <v>177675</v>
      </c>
      <c r="L8" s="667">
        <f>K8/E8</f>
        <v>1.1499999999999999</v>
      </c>
      <c r="M8" s="2075"/>
    </row>
    <row r="9" spans="1:13" ht="10.5" customHeight="1">
      <c r="A9" s="1936"/>
      <c r="B9" s="1932"/>
      <c r="C9" s="668" t="s">
        <v>19</v>
      </c>
      <c r="D9" s="669"/>
      <c r="E9" s="513">
        <f>SUM(E10:E11)</f>
        <v>154500</v>
      </c>
      <c r="F9" s="513">
        <f>SUM(F10:F11)</f>
        <v>0</v>
      </c>
      <c r="G9" s="513">
        <f>SUM(G10:G11)</f>
        <v>0</v>
      </c>
      <c r="H9" s="513">
        <f>SUM(H10:H11)</f>
        <v>177675</v>
      </c>
      <c r="I9" s="670">
        <f>H9/E9</f>
        <v>1.1499999999999999</v>
      </c>
      <c r="J9" s="513"/>
      <c r="K9" s="406">
        <f>H9+J9</f>
        <v>177675</v>
      </c>
      <c r="L9" s="671">
        <f t="shared" ref="L9:L11" si="0">K9/E9</f>
        <v>1.1499999999999999</v>
      </c>
      <c r="M9" s="2075"/>
    </row>
    <row r="10" spans="1:13" ht="10.5" customHeight="1">
      <c r="A10" s="1936"/>
      <c r="B10" s="1932"/>
      <c r="C10" s="668" t="s">
        <v>20</v>
      </c>
      <c r="D10" s="669"/>
      <c r="E10" s="513"/>
      <c r="F10" s="513"/>
      <c r="G10" s="513"/>
      <c r="H10" s="513"/>
      <c r="I10" s="670"/>
      <c r="J10" s="513"/>
      <c r="K10" s="406"/>
      <c r="L10" s="671"/>
      <c r="M10" s="2075"/>
    </row>
    <row r="11" spans="1:13" ht="10.5" customHeight="1">
      <c r="A11" s="1936"/>
      <c r="B11" s="1932"/>
      <c r="C11" s="672" t="s">
        <v>34</v>
      </c>
      <c r="D11" s="673">
        <v>4300</v>
      </c>
      <c r="E11" s="513">
        <v>154500</v>
      </c>
      <c r="F11" s="513">
        <v>0</v>
      </c>
      <c r="G11" s="513"/>
      <c r="H11" s="513">
        <v>177675</v>
      </c>
      <c r="I11" s="670">
        <f>H11/E11</f>
        <v>1.1499999999999999</v>
      </c>
      <c r="J11" s="513">
        <v>0</v>
      </c>
      <c r="K11" s="406">
        <f>H11+J11</f>
        <v>177675</v>
      </c>
      <c r="L11" s="671">
        <f t="shared" si="0"/>
        <v>1.1499999999999999</v>
      </c>
      <c r="M11" s="2075"/>
    </row>
    <row r="12" spans="1:13" ht="11.25" customHeight="1">
      <c r="A12" s="1936"/>
      <c r="B12" s="1932"/>
      <c r="C12" s="1938" t="s">
        <v>23</v>
      </c>
      <c r="D12" s="673">
        <v>2270</v>
      </c>
      <c r="E12" s="513">
        <v>0</v>
      </c>
      <c r="F12" s="513">
        <f>SUM(F14)</f>
        <v>154500</v>
      </c>
      <c r="G12" s="513"/>
      <c r="H12" s="513">
        <v>0</v>
      </c>
      <c r="I12" s="670"/>
      <c r="J12" s="513"/>
      <c r="K12" s="406"/>
      <c r="L12" s="667"/>
      <c r="M12" s="2075"/>
    </row>
    <row r="13" spans="1:13" hidden="1">
      <c r="A13" s="1936"/>
      <c r="B13" s="1932"/>
      <c r="C13" s="1939"/>
      <c r="D13" s="674">
        <v>2260</v>
      </c>
      <c r="E13" s="502"/>
      <c r="F13" s="502"/>
      <c r="G13" s="502"/>
      <c r="H13" s="502"/>
      <c r="I13" s="675"/>
      <c r="J13" s="502"/>
      <c r="K13" s="471"/>
      <c r="L13" s="667"/>
      <c r="M13" s="2075"/>
    </row>
    <row r="14" spans="1:13" hidden="1">
      <c r="A14" s="1936"/>
      <c r="B14" s="1932"/>
      <c r="C14" s="1940"/>
      <c r="D14" s="674">
        <v>2270</v>
      </c>
      <c r="E14" s="502"/>
      <c r="F14" s="502">
        <v>154500</v>
      </c>
      <c r="G14" s="502"/>
      <c r="H14" s="502"/>
      <c r="I14" s="675"/>
      <c r="J14" s="502"/>
      <c r="K14" s="471"/>
      <c r="L14" s="667"/>
      <c r="M14" s="2075"/>
    </row>
    <row r="15" spans="1:13" ht="10.5" customHeight="1">
      <c r="A15" s="1936"/>
      <c r="B15" s="1932"/>
      <c r="C15" s="668" t="s">
        <v>24</v>
      </c>
      <c r="D15" s="669"/>
      <c r="E15" s="513"/>
      <c r="F15" s="513"/>
      <c r="G15" s="513"/>
      <c r="H15" s="513"/>
      <c r="I15" s="666"/>
      <c r="J15" s="513"/>
      <c r="K15" s="471"/>
      <c r="L15" s="667"/>
      <c r="M15" s="2075"/>
    </row>
    <row r="16" spans="1:13" ht="10.5" customHeight="1">
      <c r="A16" s="1936"/>
      <c r="B16" s="1932"/>
      <c r="C16" s="672" t="s">
        <v>35</v>
      </c>
      <c r="D16" s="673"/>
      <c r="E16" s="513"/>
      <c r="F16" s="513"/>
      <c r="G16" s="513"/>
      <c r="H16" s="513"/>
      <c r="I16" s="666"/>
      <c r="J16" s="528"/>
      <c r="K16" s="471"/>
      <c r="L16" s="667"/>
      <c r="M16" s="2075"/>
    </row>
    <row r="17" spans="1:13" ht="10.5" customHeight="1">
      <c r="A17" s="1936"/>
      <c r="B17" s="1932"/>
      <c r="C17" s="668" t="s">
        <v>26</v>
      </c>
      <c r="D17" s="669"/>
      <c r="E17" s="513"/>
      <c r="F17" s="513"/>
      <c r="G17" s="513"/>
      <c r="H17" s="513"/>
      <c r="I17" s="666"/>
      <c r="J17" s="528"/>
      <c r="K17" s="471"/>
      <c r="L17" s="667"/>
      <c r="M17" s="2075"/>
    </row>
    <row r="18" spans="1:13" ht="10.5" customHeight="1">
      <c r="A18" s="1936"/>
      <c r="B18" s="1932"/>
      <c r="C18" s="668" t="s">
        <v>27</v>
      </c>
      <c r="D18" s="669"/>
      <c r="E18" s="513"/>
      <c r="F18" s="513"/>
      <c r="G18" s="513"/>
      <c r="H18" s="513"/>
      <c r="I18" s="666"/>
      <c r="J18" s="528"/>
      <c r="K18" s="471"/>
      <c r="L18" s="667"/>
      <c r="M18" s="2075"/>
    </row>
    <row r="19" spans="1:13" ht="10.5" customHeight="1">
      <c r="A19" s="1936"/>
      <c r="B19" s="1932"/>
      <c r="C19" s="676" t="s">
        <v>28</v>
      </c>
      <c r="D19" s="677"/>
      <c r="E19" s="528">
        <f>SUM(E20+E22+E23)</f>
        <v>0</v>
      </c>
      <c r="F19" s="528">
        <f>SUM(F20+F22+F23)</f>
        <v>0</v>
      </c>
      <c r="G19" s="528">
        <f>SUM(G20+G22+G23)</f>
        <v>0</v>
      </c>
      <c r="H19" s="528">
        <f>SUM(H20+H22+H23)</f>
        <v>0</v>
      </c>
      <c r="I19" s="678"/>
      <c r="J19" s="528">
        <f>SUM(J20+J22+J23)</f>
        <v>0</v>
      </c>
      <c r="K19" s="447"/>
      <c r="L19" s="667"/>
      <c r="M19" s="2075"/>
    </row>
    <row r="20" spans="1:13" ht="10.5" customHeight="1">
      <c r="A20" s="1936"/>
      <c r="B20" s="1932"/>
      <c r="C20" s="668" t="s">
        <v>29</v>
      </c>
      <c r="D20" s="669"/>
      <c r="E20" s="513"/>
      <c r="F20" s="513"/>
      <c r="G20" s="513"/>
      <c r="H20" s="513"/>
      <c r="I20" s="666"/>
      <c r="J20" s="528"/>
      <c r="K20" s="471"/>
      <c r="L20" s="667"/>
      <c r="M20" s="2075"/>
    </row>
    <row r="21" spans="1:13" ht="10.5" customHeight="1">
      <c r="A21" s="1936"/>
      <c r="B21" s="1932"/>
      <c r="C21" s="672" t="s">
        <v>36</v>
      </c>
      <c r="D21" s="673"/>
      <c r="E21" s="513"/>
      <c r="F21" s="513"/>
      <c r="G21" s="513"/>
      <c r="H21" s="513"/>
      <c r="I21" s="666"/>
      <c r="J21" s="528"/>
      <c r="K21" s="471"/>
      <c r="L21" s="667"/>
      <c r="M21" s="2075"/>
    </row>
    <row r="22" spans="1:13" ht="10.5" customHeight="1">
      <c r="A22" s="1936"/>
      <c r="B22" s="1932"/>
      <c r="C22" s="668" t="s">
        <v>31</v>
      </c>
      <c r="D22" s="669"/>
      <c r="E22" s="513"/>
      <c r="F22" s="513"/>
      <c r="G22" s="513"/>
      <c r="H22" s="513"/>
      <c r="I22" s="666"/>
      <c r="J22" s="528"/>
      <c r="K22" s="471"/>
      <c r="L22" s="667"/>
      <c r="M22" s="2075"/>
    </row>
    <row r="23" spans="1:13" ht="10.5" customHeight="1" thickBot="1">
      <c r="A23" s="1937"/>
      <c r="B23" s="1933"/>
      <c r="C23" s="679" t="s">
        <v>32</v>
      </c>
      <c r="D23" s="680"/>
      <c r="E23" s="681"/>
      <c r="F23" s="681"/>
      <c r="G23" s="681"/>
      <c r="H23" s="681"/>
      <c r="I23" s="682"/>
      <c r="J23" s="683"/>
      <c r="K23" s="627"/>
      <c r="L23" s="667"/>
      <c r="M23" s="2076"/>
    </row>
    <row r="24" spans="1:13">
      <c r="A24" s="271" t="s">
        <v>14</v>
      </c>
      <c r="B24" s="684"/>
      <c r="C24" s="685" t="s">
        <v>363</v>
      </c>
      <c r="D24" s="684"/>
      <c r="E24" s="657">
        <f>SUM(E25+E45+E63)</f>
        <v>1703175</v>
      </c>
      <c r="F24" s="657">
        <f>SUM(F25+F45+F63)</f>
        <v>1703175</v>
      </c>
      <c r="G24" s="657">
        <f>SUM(G25+G45+G63)</f>
        <v>0</v>
      </c>
      <c r="H24" s="657">
        <f>SUM(H25+H45+H63)</f>
        <v>1958652</v>
      </c>
      <c r="I24" s="658">
        <f>H24/E24</f>
        <v>1.1500004403540447</v>
      </c>
      <c r="J24" s="657">
        <f>SUM(J25+J45+J63)</f>
        <v>0</v>
      </c>
      <c r="K24" s="488">
        <f>SUM(K25+K45+K63)</f>
        <v>1958652</v>
      </c>
      <c r="L24" s="686">
        <f>K24/E24</f>
        <v>1.1500004403540447</v>
      </c>
      <c r="M24" s="2573"/>
    </row>
    <row r="25" spans="1:13">
      <c r="A25" s="1929" t="s">
        <v>14</v>
      </c>
      <c r="B25" s="1932" t="s">
        <v>364</v>
      </c>
      <c r="C25" s="660" t="s">
        <v>365</v>
      </c>
      <c r="D25" s="661"/>
      <c r="E25" s="525">
        <f>SUM(E26,E40)</f>
        <v>1369227</v>
      </c>
      <c r="F25" s="525">
        <f>SUM(F26,F40)</f>
        <v>1352227</v>
      </c>
      <c r="G25" s="525">
        <f>SUM(G26,G40)</f>
        <v>0</v>
      </c>
      <c r="H25" s="525">
        <f>SUM(H26,H40)</f>
        <v>1574611</v>
      </c>
      <c r="I25" s="687">
        <f t="shared" ref="I25:I34" si="1">H25/E25</f>
        <v>1.1499999634830456</v>
      </c>
      <c r="J25" s="525">
        <f>SUM(J26,J40)</f>
        <v>0</v>
      </c>
      <c r="K25" s="445">
        <f>SUM(K26,K40)</f>
        <v>1603534</v>
      </c>
      <c r="L25" s="663">
        <f>K25/E25</f>
        <v>1.1711235609581172</v>
      </c>
      <c r="M25" s="2574" t="s">
        <v>618</v>
      </c>
    </row>
    <row r="26" spans="1:13">
      <c r="A26" s="1930"/>
      <c r="B26" s="1932"/>
      <c r="C26" s="664" t="s">
        <v>18</v>
      </c>
      <c r="D26" s="665"/>
      <c r="E26" s="528">
        <f>SUM(E27,E35,E36,E37,E38,E39)</f>
        <v>1369227</v>
      </c>
      <c r="F26" s="528">
        <f>SUM(F27,F35,F36,F37,F38,F39)</f>
        <v>1352227</v>
      </c>
      <c r="G26" s="528">
        <f>SUM(G27,G35,G36,G37,G38,G39)</f>
        <v>0</v>
      </c>
      <c r="H26" s="528">
        <f>SUM(H27,H35,H36,H37,H38,H39)</f>
        <v>1574611</v>
      </c>
      <c r="I26" s="666">
        <f t="shared" si="1"/>
        <v>1.1499999634830456</v>
      </c>
      <c r="J26" s="528">
        <f>SUM(J27,J35,J36,J37,J38,J39)</f>
        <v>0</v>
      </c>
      <c r="K26" s="447">
        <f>H26+J26+23000+5923</f>
        <v>1603534</v>
      </c>
      <c r="L26" s="667">
        <f>K26/E26</f>
        <v>1.1711235609581172</v>
      </c>
      <c r="M26" s="2575"/>
    </row>
    <row r="27" spans="1:13">
      <c r="A27" s="1930"/>
      <c r="B27" s="1932"/>
      <c r="C27" s="668" t="s">
        <v>19</v>
      </c>
      <c r="D27" s="669"/>
      <c r="E27" s="513">
        <f>E28+E29</f>
        <v>168987</v>
      </c>
      <c r="F27" s="513">
        <f>F28+F29</f>
        <v>151987</v>
      </c>
      <c r="G27" s="513">
        <f>G28+G29</f>
        <v>0</v>
      </c>
      <c r="H27" s="513">
        <f>H28+H29</f>
        <v>194335</v>
      </c>
      <c r="I27" s="666">
        <f t="shared" si="1"/>
        <v>1.1499997041192518</v>
      </c>
      <c r="J27" s="513">
        <f>J28+J29</f>
        <v>0</v>
      </c>
      <c r="K27" s="406">
        <f>H27+J27+5923</f>
        <v>200258</v>
      </c>
      <c r="L27" s="671">
        <f>K27/E27</f>
        <v>1.1850497375537763</v>
      </c>
      <c r="M27" s="2575"/>
    </row>
    <row r="28" spans="1:13">
      <c r="A28" s="1930"/>
      <c r="B28" s="1932"/>
      <c r="C28" s="169" t="s">
        <v>20</v>
      </c>
      <c r="D28" s="669">
        <v>4170</v>
      </c>
      <c r="E28" s="513">
        <v>2100</v>
      </c>
      <c r="F28" s="513">
        <v>2100</v>
      </c>
      <c r="G28" s="688"/>
      <c r="H28" s="689">
        <v>2415</v>
      </c>
      <c r="I28" s="670">
        <f t="shared" si="1"/>
        <v>1.1499999999999999</v>
      </c>
      <c r="J28" s="689"/>
      <c r="K28" s="406">
        <f>H28+J28</f>
        <v>2415</v>
      </c>
      <c r="L28" s="671">
        <f t="shared" ref="L28:L36" si="2">K28/E28</f>
        <v>1.1499999999999999</v>
      </c>
      <c r="M28" s="2575"/>
    </row>
    <row r="29" spans="1:13">
      <c r="A29" s="1930"/>
      <c r="B29" s="1932"/>
      <c r="C29" s="1934" t="s">
        <v>34</v>
      </c>
      <c r="D29" s="673" t="s">
        <v>366</v>
      </c>
      <c r="E29" s="513">
        <f>SUM(E30:E34)</f>
        <v>166887</v>
      </c>
      <c r="F29" s="513">
        <f>SUM(F30:F34)</f>
        <v>149887</v>
      </c>
      <c r="G29" s="513">
        <f>SUM(G30:G34)</f>
        <v>0</v>
      </c>
      <c r="H29" s="513">
        <f>SUM(H30:H34)</f>
        <v>191920</v>
      </c>
      <c r="I29" s="670">
        <f t="shared" si="1"/>
        <v>1.1499997003960765</v>
      </c>
      <c r="J29" s="513">
        <f>SUM(J30:J34)</f>
        <v>0</v>
      </c>
      <c r="K29" s="406">
        <f>H29+J29+5923</f>
        <v>197843</v>
      </c>
      <c r="L29" s="671">
        <f t="shared" si="2"/>
        <v>1.1854907811872704</v>
      </c>
      <c r="M29" s="2575"/>
    </row>
    <row r="30" spans="1:13">
      <c r="A30" s="1930"/>
      <c r="B30" s="1932"/>
      <c r="C30" s="1935"/>
      <c r="D30" s="690">
        <v>4210</v>
      </c>
      <c r="E30" s="502">
        <v>48746</v>
      </c>
      <c r="F30" s="502">
        <v>33746</v>
      </c>
      <c r="G30" s="502"/>
      <c r="H30" s="691">
        <v>56058</v>
      </c>
      <c r="I30" s="675">
        <f t="shared" si="1"/>
        <v>1.1500020514503755</v>
      </c>
      <c r="J30" s="691"/>
      <c r="K30" s="471">
        <f>H30+J30</f>
        <v>56058</v>
      </c>
      <c r="L30" s="671">
        <f t="shared" si="2"/>
        <v>1.1500020514503755</v>
      </c>
      <c r="M30" s="2575"/>
    </row>
    <row r="31" spans="1:13">
      <c r="A31" s="1930"/>
      <c r="B31" s="1932"/>
      <c r="C31" s="1935"/>
      <c r="D31" s="690">
        <v>4220</v>
      </c>
      <c r="E31" s="502">
        <v>12566</v>
      </c>
      <c r="F31" s="502">
        <v>12566</v>
      </c>
      <c r="G31" s="502"/>
      <c r="H31" s="691">
        <v>14451</v>
      </c>
      <c r="I31" s="675">
        <f>H31/E31</f>
        <v>1.1500079579818558</v>
      </c>
      <c r="J31" s="691"/>
      <c r="K31" s="471">
        <f t="shared" ref="K31:K34" si="3">H31+J31</f>
        <v>14451</v>
      </c>
      <c r="L31" s="671">
        <f t="shared" si="2"/>
        <v>1.1500079579818558</v>
      </c>
      <c r="M31" s="2575"/>
    </row>
    <row r="32" spans="1:13">
      <c r="A32" s="1930"/>
      <c r="B32" s="1932"/>
      <c r="C32" s="1935"/>
      <c r="D32" s="690">
        <v>4270</v>
      </c>
      <c r="E32" s="502">
        <v>4120</v>
      </c>
      <c r="F32" s="502">
        <v>2120</v>
      </c>
      <c r="G32" s="502"/>
      <c r="H32" s="691">
        <v>4738</v>
      </c>
      <c r="I32" s="675">
        <f>H32/E32</f>
        <v>1.1499999999999999</v>
      </c>
      <c r="J32" s="691"/>
      <c r="K32" s="471">
        <f t="shared" si="3"/>
        <v>4738</v>
      </c>
      <c r="L32" s="671">
        <f t="shared" si="2"/>
        <v>1.1499999999999999</v>
      </c>
      <c r="M32" s="2575"/>
    </row>
    <row r="33" spans="1:13">
      <c r="A33" s="1930"/>
      <c r="B33" s="1932"/>
      <c r="C33" s="1935"/>
      <c r="D33" s="690">
        <v>4300</v>
      </c>
      <c r="E33" s="502">
        <v>96202</v>
      </c>
      <c r="F33" s="502">
        <v>96202</v>
      </c>
      <c r="G33" s="502"/>
      <c r="H33" s="691">
        <v>110632</v>
      </c>
      <c r="I33" s="675">
        <f t="shared" si="1"/>
        <v>1.1499968815617139</v>
      </c>
      <c r="J33" s="691"/>
      <c r="K33" s="471">
        <f>H33+J33+5923</f>
        <v>116555</v>
      </c>
      <c r="L33" s="671">
        <f t="shared" si="2"/>
        <v>1.2115652481237396</v>
      </c>
      <c r="M33" s="2575"/>
    </row>
    <row r="34" spans="1:13">
      <c r="A34" s="1930"/>
      <c r="B34" s="1932"/>
      <c r="C34" s="1935"/>
      <c r="D34" s="690">
        <v>4360</v>
      </c>
      <c r="E34" s="502">
        <v>5253</v>
      </c>
      <c r="F34" s="502">
        <v>5253</v>
      </c>
      <c r="G34" s="502"/>
      <c r="H34" s="691">
        <v>6041</v>
      </c>
      <c r="I34" s="675">
        <f t="shared" si="1"/>
        <v>1.1500095183704551</v>
      </c>
      <c r="J34" s="691"/>
      <c r="K34" s="471">
        <f t="shared" si="3"/>
        <v>6041</v>
      </c>
      <c r="L34" s="671">
        <f t="shared" si="2"/>
        <v>1.1500095183704551</v>
      </c>
      <c r="M34" s="2575"/>
    </row>
    <row r="35" spans="1:13">
      <c r="A35" s="1930"/>
      <c r="B35" s="1932"/>
      <c r="C35" s="668" t="s">
        <v>23</v>
      </c>
      <c r="D35" s="669"/>
      <c r="E35" s="513"/>
      <c r="F35" s="513"/>
      <c r="G35" s="513"/>
      <c r="H35" s="689"/>
      <c r="I35" s="670"/>
      <c r="J35" s="689"/>
      <c r="K35" s="406"/>
      <c r="L35" s="671"/>
      <c r="M35" s="2575"/>
    </row>
    <row r="36" spans="1:13">
      <c r="A36" s="1930"/>
      <c r="B36" s="1932"/>
      <c r="C36" s="668" t="s">
        <v>24</v>
      </c>
      <c r="D36" s="669">
        <v>3030</v>
      </c>
      <c r="E36" s="513">
        <v>1200240</v>
      </c>
      <c r="F36" s="513">
        <v>1200240</v>
      </c>
      <c r="G36" s="513"/>
      <c r="H36" s="689">
        <v>1380276</v>
      </c>
      <c r="I36" s="670">
        <f>H36/E36</f>
        <v>1.1499999999999999</v>
      </c>
      <c r="J36" s="689">
        <v>0</v>
      </c>
      <c r="K36" s="406">
        <f>H36+J36+23000</f>
        <v>1403276</v>
      </c>
      <c r="L36" s="671">
        <f t="shared" si="2"/>
        <v>1.1691628340998468</v>
      </c>
      <c r="M36" s="2575"/>
    </row>
    <row r="37" spans="1:13" ht="22.5">
      <c r="A37" s="1930"/>
      <c r="B37" s="1932"/>
      <c r="C37" s="672" t="s">
        <v>35</v>
      </c>
      <c r="D37" s="673"/>
      <c r="E37" s="513"/>
      <c r="F37" s="692"/>
      <c r="G37" s="513"/>
      <c r="H37" s="689"/>
      <c r="I37" s="666"/>
      <c r="J37" s="689"/>
      <c r="K37" s="406"/>
      <c r="L37" s="671"/>
      <c r="M37" s="2575"/>
    </row>
    <row r="38" spans="1:13">
      <c r="A38" s="1930"/>
      <c r="B38" s="1932"/>
      <c r="C38" s="668" t="s">
        <v>26</v>
      </c>
      <c r="D38" s="669"/>
      <c r="E38" s="513"/>
      <c r="F38" s="692"/>
      <c r="G38" s="513"/>
      <c r="H38" s="689"/>
      <c r="I38" s="666"/>
      <c r="J38" s="689"/>
      <c r="K38" s="406"/>
      <c r="L38" s="671"/>
      <c r="M38" s="2575"/>
    </row>
    <row r="39" spans="1:13">
      <c r="A39" s="1930"/>
      <c r="B39" s="1932"/>
      <c r="C39" s="668" t="s">
        <v>27</v>
      </c>
      <c r="D39" s="669"/>
      <c r="E39" s="513"/>
      <c r="F39" s="513"/>
      <c r="G39" s="513"/>
      <c r="H39" s="689"/>
      <c r="I39" s="666"/>
      <c r="J39" s="689"/>
      <c r="K39" s="406"/>
      <c r="L39" s="671"/>
      <c r="M39" s="2575"/>
    </row>
    <row r="40" spans="1:13">
      <c r="A40" s="1930"/>
      <c r="B40" s="1932"/>
      <c r="C40" s="676" t="s">
        <v>28</v>
      </c>
      <c r="D40" s="677"/>
      <c r="E40" s="528">
        <f>SUM(E41,E43,E44)</f>
        <v>0</v>
      </c>
      <c r="F40" s="528">
        <f>SUM(F41,F43,F44)</f>
        <v>0</v>
      </c>
      <c r="G40" s="528">
        <f>SUM(G41,G43,G44)</f>
        <v>0</v>
      </c>
      <c r="H40" s="528">
        <f>SUM(H41,H43,H44)</f>
        <v>0</v>
      </c>
      <c r="I40" s="678"/>
      <c r="J40" s="528">
        <f>SUM(J41,J43,J44)</f>
        <v>0</v>
      </c>
      <c r="K40" s="528">
        <f>SUM(K41,K43,K44)</f>
        <v>0</v>
      </c>
      <c r="L40" s="667"/>
      <c r="M40" s="2575"/>
    </row>
    <row r="41" spans="1:13">
      <c r="A41" s="1930"/>
      <c r="B41" s="1932"/>
      <c r="C41" s="668" t="s">
        <v>29</v>
      </c>
      <c r="D41" s="669"/>
      <c r="E41" s="513"/>
      <c r="F41" s="513"/>
      <c r="G41" s="513"/>
      <c r="H41" s="689"/>
      <c r="I41" s="666"/>
      <c r="J41" s="513"/>
      <c r="K41" s="406"/>
      <c r="L41" s="671"/>
      <c r="M41" s="2575"/>
    </row>
    <row r="42" spans="1:13" ht="22.5">
      <c r="A42" s="1930"/>
      <c r="B42" s="1932"/>
      <c r="C42" s="672" t="s">
        <v>89</v>
      </c>
      <c r="D42" s="673"/>
      <c r="E42" s="513"/>
      <c r="F42" s="513"/>
      <c r="G42" s="513"/>
      <c r="H42" s="689"/>
      <c r="I42" s="666"/>
      <c r="J42" s="513"/>
      <c r="K42" s="406"/>
      <c r="L42" s="671"/>
      <c r="M42" s="2575"/>
    </row>
    <row r="43" spans="1:13">
      <c r="A43" s="1930"/>
      <c r="B43" s="1932"/>
      <c r="C43" s="668" t="s">
        <v>31</v>
      </c>
      <c r="D43" s="669"/>
      <c r="E43" s="513"/>
      <c r="F43" s="513"/>
      <c r="G43" s="513"/>
      <c r="H43" s="689"/>
      <c r="I43" s="666"/>
      <c r="J43" s="513"/>
      <c r="K43" s="406"/>
      <c r="L43" s="671"/>
      <c r="M43" s="2575"/>
    </row>
    <row r="44" spans="1:13" ht="15.75" thickBot="1">
      <c r="A44" s="1931"/>
      <c r="B44" s="1933"/>
      <c r="C44" s="679" t="s">
        <v>32</v>
      </c>
      <c r="D44" s="680"/>
      <c r="E44" s="683"/>
      <c r="F44" s="683"/>
      <c r="G44" s="683"/>
      <c r="H44" s="693"/>
      <c r="I44" s="694"/>
      <c r="J44" s="683"/>
      <c r="K44" s="627"/>
      <c r="L44" s="695"/>
      <c r="M44" s="2576"/>
    </row>
    <row r="45" spans="1:13">
      <c r="A45" s="1943" t="s">
        <v>14</v>
      </c>
      <c r="B45" s="1944" t="s">
        <v>67</v>
      </c>
      <c r="C45" s="696" t="s">
        <v>367</v>
      </c>
      <c r="D45" s="697"/>
      <c r="E45" s="698">
        <f>SUM(E46,E58)</f>
        <v>85771</v>
      </c>
      <c r="F45" s="698">
        <f>SUM(F46,F58)</f>
        <v>110605</v>
      </c>
      <c r="G45" s="698">
        <v>0</v>
      </c>
      <c r="H45" s="698">
        <f>SUM(H46,H58)</f>
        <v>98637</v>
      </c>
      <c r="I45" s="662">
        <f>H45/E45</f>
        <v>1.1500040806333143</v>
      </c>
      <c r="J45" s="698">
        <f>SUM(J46,J58)</f>
        <v>0</v>
      </c>
      <c r="K45" s="524">
        <f>SUM(K46,K58)</f>
        <v>98637</v>
      </c>
      <c r="L45" s="699">
        <f>K45/E45</f>
        <v>1.1500040806333143</v>
      </c>
      <c r="M45" s="2075" t="s">
        <v>368</v>
      </c>
    </row>
    <row r="46" spans="1:13">
      <c r="A46" s="1930"/>
      <c r="B46" s="1944"/>
      <c r="C46" s="664" t="s">
        <v>18</v>
      </c>
      <c r="D46" s="700"/>
      <c r="E46" s="528">
        <f>SUM(E47,E53,E54,E55,E56,E57)</f>
        <v>85771</v>
      </c>
      <c r="F46" s="528">
        <f>SUM(F47,F53,F54,F55,F56,F57)</f>
        <v>110605</v>
      </c>
      <c r="G46" s="528">
        <v>0</v>
      </c>
      <c r="H46" s="528">
        <f>SUM(H47,H53,H54,H55,H56,H57)</f>
        <v>98637</v>
      </c>
      <c r="I46" s="666">
        <f>H46/E46</f>
        <v>1.1500040806333143</v>
      </c>
      <c r="J46" s="528">
        <f>SUM(J47,J53,J54,J55,J56,J57)</f>
        <v>0</v>
      </c>
      <c r="K46" s="528">
        <f>SUM(K47,K53,K54,K55,K56,K57)</f>
        <v>98637</v>
      </c>
      <c r="L46" s="667">
        <f>K46/E46</f>
        <v>1.1500040806333143</v>
      </c>
      <c r="M46" s="2075"/>
    </row>
    <row r="47" spans="1:13">
      <c r="A47" s="1930"/>
      <c r="B47" s="1944"/>
      <c r="C47" s="668" t="s">
        <v>19</v>
      </c>
      <c r="D47" s="669"/>
      <c r="E47" s="513">
        <f>SUM(E48:E49)</f>
        <v>85771</v>
      </c>
      <c r="F47" s="513">
        <f>SUM(F48:F49)</f>
        <v>110605</v>
      </c>
      <c r="G47" s="513">
        <v>0</v>
      </c>
      <c r="H47" s="513">
        <f>SUM(H48:H49)</f>
        <v>98637</v>
      </c>
      <c r="I47" s="670">
        <f>H47/E47</f>
        <v>1.1500040806333143</v>
      </c>
      <c r="J47" s="513">
        <f>SUM(J48:J49)</f>
        <v>0</v>
      </c>
      <c r="K47" s="513">
        <f>SUM(K48:K49)</f>
        <v>98637</v>
      </c>
      <c r="L47" s="671">
        <f>K47/E47</f>
        <v>1.1500040806333143</v>
      </c>
      <c r="M47" s="2075"/>
    </row>
    <row r="48" spans="1:13">
      <c r="A48" s="1930"/>
      <c r="B48" s="1944"/>
      <c r="C48" s="668" t="s">
        <v>20</v>
      </c>
      <c r="D48" s="669"/>
      <c r="E48" s="513"/>
      <c r="F48" s="513"/>
      <c r="G48" s="513"/>
      <c r="H48" s="689"/>
      <c r="I48" s="670"/>
      <c r="J48" s="689"/>
      <c r="K48" s="689"/>
      <c r="L48" s="671"/>
      <c r="M48" s="2075"/>
    </row>
    <row r="49" spans="1:16">
      <c r="A49" s="1930"/>
      <c r="B49" s="1944"/>
      <c r="C49" s="1934" t="s">
        <v>369</v>
      </c>
      <c r="D49" s="673" t="s">
        <v>366</v>
      </c>
      <c r="E49" s="513">
        <f>SUM(E50:E52)</f>
        <v>85771</v>
      </c>
      <c r="F49" s="513">
        <f>SUM(F50:F52)</f>
        <v>110605</v>
      </c>
      <c r="G49" s="513">
        <f>SUM(G50:G52)</f>
        <v>0</v>
      </c>
      <c r="H49" s="513">
        <f>SUM(H50:H52)</f>
        <v>98637</v>
      </c>
      <c r="I49" s="670">
        <f>H49/E49</f>
        <v>1.1500040806333143</v>
      </c>
      <c r="J49" s="513">
        <f>SUM(J50:J52)</f>
        <v>0</v>
      </c>
      <c r="K49" s="513">
        <f>SUM(K50:K52)</f>
        <v>98637</v>
      </c>
      <c r="L49" s="671">
        <f>K49/E49</f>
        <v>1.1500040806333143</v>
      </c>
      <c r="M49" s="2075"/>
    </row>
    <row r="50" spans="1:16">
      <c r="A50" s="1930"/>
      <c r="B50" s="1944"/>
      <c r="C50" s="1935"/>
      <c r="D50" s="690">
        <v>4190</v>
      </c>
      <c r="E50" s="502">
        <v>5150</v>
      </c>
      <c r="F50" s="502">
        <v>29984</v>
      </c>
      <c r="G50" s="502"/>
      <c r="H50" s="691">
        <v>5923</v>
      </c>
      <c r="I50" s="670">
        <f>H50/E50</f>
        <v>1.1500970873786407</v>
      </c>
      <c r="J50" s="691"/>
      <c r="K50" s="691">
        <f>H50+J50</f>
        <v>5923</v>
      </c>
      <c r="L50" s="671">
        <f t="shared" ref="L50:L52" si="4">K50/E50</f>
        <v>1.1500970873786407</v>
      </c>
      <c r="M50" s="2075"/>
    </row>
    <row r="51" spans="1:16">
      <c r="A51" s="1930"/>
      <c r="B51" s="1944"/>
      <c r="C51" s="1935"/>
      <c r="D51" s="690">
        <v>4210</v>
      </c>
      <c r="E51" s="502">
        <v>49721</v>
      </c>
      <c r="F51" s="502">
        <v>49721</v>
      </c>
      <c r="G51" s="502"/>
      <c r="H51" s="691">
        <v>57179</v>
      </c>
      <c r="I51" s="675">
        <f>H51/E51</f>
        <v>1.1499969831660666</v>
      </c>
      <c r="J51" s="691"/>
      <c r="K51" s="691">
        <f t="shared" ref="K51:K52" si="5">H51+J51</f>
        <v>57179</v>
      </c>
      <c r="L51" s="671">
        <f t="shared" si="4"/>
        <v>1.1499969831660666</v>
      </c>
      <c r="M51" s="2075"/>
    </row>
    <row r="52" spans="1:16">
      <c r="A52" s="1930"/>
      <c r="B52" s="1944"/>
      <c r="C52" s="1946"/>
      <c r="D52" s="690">
        <v>4300</v>
      </c>
      <c r="E52" s="502">
        <v>30900</v>
      </c>
      <c r="F52" s="502">
        <v>30900</v>
      </c>
      <c r="G52" s="502"/>
      <c r="H52" s="691">
        <v>35535</v>
      </c>
      <c r="I52" s="675">
        <f>H52/E52</f>
        <v>1.1499999999999999</v>
      </c>
      <c r="J52" s="691"/>
      <c r="K52" s="691">
        <f t="shared" si="5"/>
        <v>35535</v>
      </c>
      <c r="L52" s="671">
        <f t="shared" si="4"/>
        <v>1.1499999999999999</v>
      </c>
      <c r="M52" s="2075"/>
    </row>
    <row r="53" spans="1:16">
      <c r="A53" s="1930"/>
      <c r="B53" s="1944"/>
      <c r="C53" s="668" t="s">
        <v>23</v>
      </c>
      <c r="D53" s="669"/>
      <c r="E53" s="513"/>
      <c r="F53" s="513"/>
      <c r="G53" s="513"/>
      <c r="H53" s="689"/>
      <c r="I53" s="666"/>
      <c r="J53" s="513"/>
      <c r="K53" s="471"/>
      <c r="L53" s="701"/>
      <c r="M53" s="2075"/>
    </row>
    <row r="54" spans="1:16">
      <c r="A54" s="1930"/>
      <c r="B54" s="1944"/>
      <c r="C54" s="668" t="s">
        <v>24</v>
      </c>
      <c r="D54" s="669"/>
      <c r="E54" s="513"/>
      <c r="F54" s="513"/>
      <c r="G54" s="513"/>
      <c r="H54" s="689"/>
      <c r="I54" s="666"/>
      <c r="J54" s="513"/>
      <c r="K54" s="471"/>
      <c r="L54" s="701"/>
      <c r="M54" s="2075"/>
    </row>
    <row r="55" spans="1:16" ht="22.5">
      <c r="A55" s="1930"/>
      <c r="B55" s="1944"/>
      <c r="C55" s="672" t="s">
        <v>25</v>
      </c>
      <c r="D55" s="673"/>
      <c r="E55" s="513"/>
      <c r="F55" s="513"/>
      <c r="G55" s="513"/>
      <c r="H55" s="689"/>
      <c r="I55" s="666"/>
      <c r="J55" s="513"/>
      <c r="K55" s="471"/>
      <c r="L55" s="701"/>
      <c r="M55" s="2075"/>
    </row>
    <row r="56" spans="1:16">
      <c r="A56" s="1930"/>
      <c r="B56" s="1944"/>
      <c r="C56" s="668" t="s">
        <v>26</v>
      </c>
      <c r="D56" s="669"/>
      <c r="E56" s="513"/>
      <c r="F56" s="513"/>
      <c r="G56" s="513"/>
      <c r="H56" s="689"/>
      <c r="I56" s="666"/>
      <c r="J56" s="513"/>
      <c r="K56" s="471"/>
      <c r="L56" s="701"/>
      <c r="M56" s="2075"/>
    </row>
    <row r="57" spans="1:16">
      <c r="A57" s="1930"/>
      <c r="B57" s="1944"/>
      <c r="C57" s="668" t="s">
        <v>27</v>
      </c>
      <c r="D57" s="669"/>
      <c r="E57" s="513"/>
      <c r="F57" s="513"/>
      <c r="G57" s="513"/>
      <c r="H57" s="689"/>
      <c r="I57" s="666"/>
      <c r="J57" s="513"/>
      <c r="K57" s="702"/>
      <c r="L57" s="701"/>
      <c r="M57" s="2075"/>
    </row>
    <row r="58" spans="1:16">
      <c r="A58" s="1930"/>
      <c r="B58" s="1944"/>
      <c r="C58" s="676" t="s">
        <v>28</v>
      </c>
      <c r="D58" s="677"/>
      <c r="E58" s="528">
        <f>SUM(E59,E61,E62)</f>
        <v>0</v>
      </c>
      <c r="F58" s="528">
        <f>SUM(F59,F61,F62)</f>
        <v>0</v>
      </c>
      <c r="G58" s="528">
        <f>SUM(G59,G61,G62)</f>
        <v>0</v>
      </c>
      <c r="H58" s="528">
        <f>SUM(H59,H61,H62)</f>
        <v>0</v>
      </c>
      <c r="I58" s="528">
        <f t="shared" ref="I58:L58" si="6">SUM(I59,I61,I62)</f>
        <v>0</v>
      </c>
      <c r="J58" s="528">
        <f t="shared" si="6"/>
        <v>0</v>
      </c>
      <c r="K58" s="703">
        <f t="shared" si="6"/>
        <v>0</v>
      </c>
      <c r="L58" s="704">
        <f t="shared" si="6"/>
        <v>0</v>
      </c>
      <c r="M58" s="2075"/>
      <c r="P58" s="705"/>
    </row>
    <row r="59" spans="1:16">
      <c r="A59" s="1930"/>
      <c r="B59" s="1944"/>
      <c r="C59" s="668" t="s">
        <v>29</v>
      </c>
      <c r="D59" s="669"/>
      <c r="E59" s="513"/>
      <c r="F59" s="513"/>
      <c r="G59" s="513"/>
      <c r="H59" s="689"/>
      <c r="I59" s="666"/>
      <c r="J59" s="513"/>
      <c r="K59" s="406"/>
      <c r="L59" s="671"/>
      <c r="M59" s="2075"/>
    </row>
    <row r="60" spans="1:16" ht="23.25" customHeight="1">
      <c r="A60" s="1930"/>
      <c r="B60" s="1944"/>
      <c r="C60" s="672" t="s">
        <v>89</v>
      </c>
      <c r="D60" s="673"/>
      <c r="E60" s="513"/>
      <c r="F60" s="513"/>
      <c r="G60" s="513"/>
      <c r="H60" s="689"/>
      <c r="I60" s="666"/>
      <c r="J60" s="513"/>
      <c r="K60" s="406"/>
      <c r="L60" s="671"/>
      <c r="M60" s="2075"/>
    </row>
    <row r="61" spans="1:16" ht="16.5" customHeight="1">
      <c r="A61" s="1930"/>
      <c r="B61" s="1944"/>
      <c r="C61" s="668" t="s">
        <v>31</v>
      </c>
      <c r="D61" s="669"/>
      <c r="E61" s="513"/>
      <c r="F61" s="513"/>
      <c r="G61" s="513"/>
      <c r="H61" s="689"/>
      <c r="I61" s="666"/>
      <c r="J61" s="513"/>
      <c r="K61" s="406"/>
      <c r="L61" s="671"/>
      <c r="M61" s="2075"/>
    </row>
    <row r="62" spans="1:16" ht="15.75" thickBot="1">
      <c r="A62" s="1930"/>
      <c r="B62" s="1945"/>
      <c r="C62" s="679" t="s">
        <v>32</v>
      </c>
      <c r="D62" s="680"/>
      <c r="E62" s="683"/>
      <c r="F62" s="683"/>
      <c r="G62" s="683"/>
      <c r="H62" s="693"/>
      <c r="I62" s="694"/>
      <c r="J62" s="683"/>
      <c r="K62" s="627"/>
      <c r="L62" s="706"/>
      <c r="M62" s="2076"/>
    </row>
    <row r="63" spans="1:16" ht="15.75" customHeight="1">
      <c r="A63" s="1930"/>
      <c r="B63" s="1947" t="s">
        <v>16</v>
      </c>
      <c r="C63" s="707" t="s">
        <v>362</v>
      </c>
      <c r="D63" s="708"/>
      <c r="E63" s="709">
        <f>SUM(E64,E76)</f>
        <v>248177</v>
      </c>
      <c r="F63" s="709">
        <f>SUM(F64,F76)</f>
        <v>240343</v>
      </c>
      <c r="G63" s="709">
        <v>0</v>
      </c>
      <c r="H63" s="709">
        <f>SUM(H64,H76)</f>
        <v>285404</v>
      </c>
      <c r="I63" s="710">
        <f>H63/E63</f>
        <v>1.1500018132220149</v>
      </c>
      <c r="J63" s="709">
        <f>SUM(J64,J76)</f>
        <v>0</v>
      </c>
      <c r="K63" s="709">
        <f>SUM(K64,K76)</f>
        <v>256481</v>
      </c>
      <c r="L63" s="699">
        <f>K63/E63</f>
        <v>1.033459990248895</v>
      </c>
      <c r="M63" s="2074" t="s">
        <v>617</v>
      </c>
    </row>
    <row r="64" spans="1:16">
      <c r="A64" s="1930"/>
      <c r="B64" s="1932"/>
      <c r="C64" s="664" t="s">
        <v>18</v>
      </c>
      <c r="D64" s="665"/>
      <c r="E64" s="528">
        <f>SUM(E65,E71,E72,E73,E74,E75)</f>
        <v>248177</v>
      </c>
      <c r="F64" s="528">
        <f>SUM(F65,F71,F72,F73,F74,F75)</f>
        <v>240343</v>
      </c>
      <c r="G64" s="528">
        <v>0</v>
      </c>
      <c r="H64" s="528">
        <f>SUM(H65,H71,H72,H73,H74,H75)</f>
        <v>285404</v>
      </c>
      <c r="I64" s="666">
        <f>H64/E64</f>
        <v>1.1500018132220149</v>
      </c>
      <c r="J64" s="528"/>
      <c r="K64" s="528">
        <f>SUM(K65,K71,K72,K73,K74,K75)</f>
        <v>256481</v>
      </c>
      <c r="L64" s="667">
        <f>K64/E64</f>
        <v>1.033459990248895</v>
      </c>
      <c r="M64" s="2075"/>
    </row>
    <row r="65" spans="1:13">
      <c r="A65" s="1930"/>
      <c r="B65" s="1932"/>
      <c r="C65" s="668" t="s">
        <v>19</v>
      </c>
      <c r="D65" s="669"/>
      <c r="E65" s="513">
        <f>E66+E67</f>
        <v>228177</v>
      </c>
      <c r="F65" s="513">
        <f>F66+F67</f>
        <v>220343</v>
      </c>
      <c r="G65" s="513">
        <f>G66+G67</f>
        <v>0</v>
      </c>
      <c r="H65" s="513">
        <f>H66+H67</f>
        <v>262404</v>
      </c>
      <c r="I65" s="711">
        <f>I66+I67</f>
        <v>1.1500019721531969</v>
      </c>
      <c r="J65" s="513"/>
      <c r="K65" s="513">
        <f>K66+K67</f>
        <v>256481</v>
      </c>
      <c r="L65" s="671">
        <f>K65/E65</f>
        <v>1.1240440535198553</v>
      </c>
      <c r="M65" s="2075"/>
    </row>
    <row r="66" spans="1:13" ht="15" customHeight="1">
      <c r="A66" s="1930"/>
      <c r="B66" s="1932"/>
      <c r="C66" s="668" t="s">
        <v>20</v>
      </c>
      <c r="D66" s="669"/>
      <c r="E66" s="513"/>
      <c r="F66" s="513"/>
      <c r="G66" s="513"/>
      <c r="H66" s="513"/>
      <c r="I66" s="670"/>
      <c r="J66" s="513"/>
      <c r="K66" s="513"/>
      <c r="L66" s="671"/>
      <c r="M66" s="2075"/>
    </row>
    <row r="67" spans="1:13">
      <c r="A67" s="1930"/>
      <c r="B67" s="1932"/>
      <c r="C67" s="1934" t="s">
        <v>21</v>
      </c>
      <c r="D67" s="673" t="s">
        <v>366</v>
      </c>
      <c r="E67" s="513">
        <f>SUM(E68:E70)</f>
        <v>228177</v>
      </c>
      <c r="F67" s="513">
        <f>SUM(F68:F70)</f>
        <v>220343</v>
      </c>
      <c r="G67" s="513">
        <f t="shared" ref="G67:H67" si="7">SUM(G68:G70)</f>
        <v>0</v>
      </c>
      <c r="H67" s="513">
        <f t="shared" si="7"/>
        <v>262404</v>
      </c>
      <c r="I67" s="670">
        <f>H67/E67</f>
        <v>1.1500019721531969</v>
      </c>
      <c r="J67" s="513"/>
      <c r="K67" s="513">
        <f t="shared" ref="K67" si="8">SUM(K68:K70)</f>
        <v>256481</v>
      </c>
      <c r="L67" s="671">
        <f>K67/E67</f>
        <v>1.1240440535198553</v>
      </c>
      <c r="M67" s="2075"/>
    </row>
    <row r="68" spans="1:13" hidden="1">
      <c r="A68" s="1930"/>
      <c r="B68" s="1932"/>
      <c r="C68" s="1935"/>
      <c r="D68" s="690">
        <v>4210</v>
      </c>
      <c r="E68" s="502">
        <v>0</v>
      </c>
      <c r="F68" s="502"/>
      <c r="G68" s="502"/>
      <c r="H68" s="502">
        <v>0</v>
      </c>
      <c r="I68" s="670"/>
      <c r="J68" s="513"/>
      <c r="K68" s="502">
        <v>0</v>
      </c>
      <c r="L68" s="671"/>
      <c r="M68" s="2075"/>
    </row>
    <row r="69" spans="1:13">
      <c r="A69" s="1930"/>
      <c r="B69" s="1932"/>
      <c r="C69" s="1935"/>
      <c r="D69" s="690">
        <v>4300</v>
      </c>
      <c r="E69" s="502">
        <v>5150</v>
      </c>
      <c r="F69" s="502">
        <v>5150</v>
      </c>
      <c r="G69" s="502"/>
      <c r="H69" s="502">
        <v>5923</v>
      </c>
      <c r="I69" s="670">
        <f>H69/E69</f>
        <v>1.1500970873786407</v>
      </c>
      <c r="J69" s="513"/>
      <c r="K69" s="502">
        <f>H69+J69-5923</f>
        <v>0</v>
      </c>
      <c r="L69" s="671">
        <f>K69/E69</f>
        <v>0</v>
      </c>
      <c r="M69" s="2075"/>
    </row>
    <row r="70" spans="1:13">
      <c r="A70" s="1930"/>
      <c r="B70" s="1932"/>
      <c r="C70" s="1946"/>
      <c r="D70" s="690">
        <v>4430</v>
      </c>
      <c r="E70" s="502">
        <v>223027</v>
      </c>
      <c r="F70" s="502">
        <v>215193</v>
      </c>
      <c r="G70" s="502"/>
      <c r="H70" s="502">
        <v>256481</v>
      </c>
      <c r="I70" s="675">
        <f>H70/E70</f>
        <v>1.1499997758118972</v>
      </c>
      <c r="J70" s="513"/>
      <c r="K70" s="502">
        <f t="shared" ref="K70" si="9">H70+J70</f>
        <v>256481</v>
      </c>
      <c r="L70" s="671">
        <f t="shared" ref="L70:L72" si="10">K70/E70</f>
        <v>1.1499997758118972</v>
      </c>
      <c r="M70" s="2075"/>
    </row>
    <row r="71" spans="1:13" ht="18.75" customHeight="1">
      <c r="A71" s="1930"/>
      <c r="B71" s="1932"/>
      <c r="C71" s="668" t="s">
        <v>23</v>
      </c>
      <c r="D71" s="669"/>
      <c r="E71" s="513"/>
      <c r="F71" s="692"/>
      <c r="G71" s="513"/>
      <c r="H71" s="513"/>
      <c r="I71" s="666"/>
      <c r="J71" s="513"/>
      <c r="K71" s="502"/>
      <c r="L71" s="671"/>
      <c r="M71" s="2075"/>
    </row>
    <row r="72" spans="1:13">
      <c r="A72" s="1930"/>
      <c r="B72" s="1932"/>
      <c r="C72" s="668" t="s">
        <v>24</v>
      </c>
      <c r="D72" s="669">
        <v>3030</v>
      </c>
      <c r="E72" s="513">
        <v>20000</v>
      </c>
      <c r="F72" s="513">
        <v>20000</v>
      </c>
      <c r="G72" s="513"/>
      <c r="H72" s="689">
        <v>23000</v>
      </c>
      <c r="I72" s="670">
        <f>H72/E72</f>
        <v>1.1499999999999999</v>
      </c>
      <c r="J72" s="513"/>
      <c r="K72" s="513">
        <f>H72+J72-23000</f>
        <v>0</v>
      </c>
      <c r="L72" s="671">
        <f t="shared" si="10"/>
        <v>0</v>
      </c>
      <c r="M72" s="2075"/>
    </row>
    <row r="73" spans="1:13" ht="22.5">
      <c r="A73" s="1930"/>
      <c r="B73" s="1932"/>
      <c r="C73" s="672" t="s">
        <v>35</v>
      </c>
      <c r="D73" s="673"/>
      <c r="E73" s="513"/>
      <c r="F73" s="692"/>
      <c r="G73" s="513"/>
      <c r="H73" s="513"/>
      <c r="I73" s="666"/>
      <c r="J73" s="513"/>
      <c r="K73" s="513"/>
      <c r="L73" s="671"/>
      <c r="M73" s="2075"/>
    </row>
    <row r="74" spans="1:13">
      <c r="A74" s="1930"/>
      <c r="B74" s="1932"/>
      <c r="C74" s="668" t="s">
        <v>26</v>
      </c>
      <c r="D74" s="669"/>
      <c r="E74" s="513"/>
      <c r="F74" s="692"/>
      <c r="G74" s="513"/>
      <c r="H74" s="513"/>
      <c r="I74" s="666"/>
      <c r="J74" s="513"/>
      <c r="K74" s="513"/>
      <c r="L74" s="671"/>
      <c r="M74" s="2075"/>
    </row>
    <row r="75" spans="1:13">
      <c r="A75" s="1930"/>
      <c r="B75" s="1932"/>
      <c r="C75" s="668" t="s">
        <v>27</v>
      </c>
      <c r="D75" s="669"/>
      <c r="E75" s="513"/>
      <c r="F75" s="692"/>
      <c r="G75" s="513"/>
      <c r="H75" s="513"/>
      <c r="I75" s="666"/>
      <c r="J75" s="513"/>
      <c r="K75" s="513"/>
      <c r="L75" s="671"/>
      <c r="M75" s="2075"/>
    </row>
    <row r="76" spans="1:13">
      <c r="A76" s="1930"/>
      <c r="B76" s="1932"/>
      <c r="C76" s="676" t="s">
        <v>28</v>
      </c>
      <c r="D76" s="677"/>
      <c r="E76" s="528">
        <f>SUM(E77,E79,E80)</f>
        <v>0</v>
      </c>
      <c r="F76" s="528">
        <f>SUM(F77,F79,F80)</f>
        <v>0</v>
      </c>
      <c r="G76" s="528">
        <f>SUM(G77,G79,G80)</f>
        <v>0</v>
      </c>
      <c r="H76" s="528">
        <f>SUM(H77,H79,H80)</f>
        <v>0</v>
      </c>
      <c r="I76" s="678"/>
      <c r="J76" s="528"/>
      <c r="K76" s="528">
        <f>SUM(K77,K79,K80)</f>
        <v>0</v>
      </c>
      <c r="L76" s="671"/>
      <c r="M76" s="2075"/>
    </row>
    <row r="77" spans="1:13">
      <c r="A77" s="1930"/>
      <c r="B77" s="1932"/>
      <c r="C77" s="668" t="s">
        <v>29</v>
      </c>
      <c r="D77" s="669"/>
      <c r="E77" s="513"/>
      <c r="F77" s="513"/>
      <c r="G77" s="513"/>
      <c r="H77" s="513"/>
      <c r="I77" s="666"/>
      <c r="J77" s="513"/>
      <c r="K77" s="406"/>
      <c r="L77" s="671"/>
      <c r="M77" s="2075"/>
    </row>
    <row r="78" spans="1:13" ht="22.5">
      <c r="A78" s="1930"/>
      <c r="B78" s="1932"/>
      <c r="C78" s="672" t="s">
        <v>89</v>
      </c>
      <c r="D78" s="673"/>
      <c r="E78" s="513"/>
      <c r="F78" s="513"/>
      <c r="G78" s="513"/>
      <c r="H78" s="513"/>
      <c r="I78" s="666"/>
      <c r="J78" s="513"/>
      <c r="K78" s="406"/>
      <c r="L78" s="671"/>
      <c r="M78" s="2075"/>
    </row>
    <row r="79" spans="1:13">
      <c r="A79" s="1930"/>
      <c r="B79" s="1932"/>
      <c r="C79" s="668" t="s">
        <v>31</v>
      </c>
      <c r="D79" s="669"/>
      <c r="E79" s="513"/>
      <c r="F79" s="513"/>
      <c r="G79" s="513"/>
      <c r="H79" s="513"/>
      <c r="I79" s="666"/>
      <c r="J79" s="513"/>
      <c r="K79" s="406"/>
      <c r="L79" s="671"/>
      <c r="M79" s="2075"/>
    </row>
    <row r="80" spans="1:13" ht="15.75" thickBot="1">
      <c r="A80" s="1931"/>
      <c r="B80" s="1933"/>
      <c r="C80" s="679" t="s">
        <v>32</v>
      </c>
      <c r="D80" s="680"/>
      <c r="E80" s="683"/>
      <c r="F80" s="683"/>
      <c r="G80" s="683"/>
      <c r="H80" s="683"/>
      <c r="I80" s="694"/>
      <c r="J80" s="683"/>
      <c r="K80" s="627"/>
      <c r="L80" s="695"/>
      <c r="M80" s="2076"/>
    </row>
    <row r="81" spans="1:13" ht="19.5" customHeight="1" thickBot="1">
      <c r="A81" s="1941" t="s">
        <v>33</v>
      </c>
      <c r="B81" s="1942"/>
      <c r="C81" s="1942"/>
      <c r="D81" s="712"/>
      <c r="E81" s="713">
        <f>SUM(E6,E24)</f>
        <v>1857675</v>
      </c>
      <c r="F81" s="713">
        <f>SUM(F6,F24)</f>
        <v>1857675</v>
      </c>
      <c r="G81" s="713">
        <f>SUM(G6,G24)</f>
        <v>0</v>
      </c>
      <c r="H81" s="713">
        <f>SUM(H6,H24)</f>
        <v>2136327</v>
      </c>
      <c r="I81" s="658">
        <f>H81/E81</f>
        <v>1.1500004037304696</v>
      </c>
      <c r="J81" s="713">
        <f>SUM(J6,J24)</f>
        <v>0</v>
      </c>
      <c r="K81" s="714">
        <f>SUM(K6,K24)</f>
        <v>2136327</v>
      </c>
      <c r="L81" s="715">
        <f>K81/E81</f>
        <v>1.1500004037304696</v>
      </c>
      <c r="M81" s="2577"/>
    </row>
    <row r="84" spans="1:13">
      <c r="E84" s="716"/>
    </row>
    <row r="85" spans="1:13">
      <c r="E85" s="716"/>
    </row>
  </sheetData>
  <mergeCells count="30">
    <mergeCell ref="A81:C81"/>
    <mergeCell ref="A45:A80"/>
    <mergeCell ref="B45:B62"/>
    <mergeCell ref="M45:M62"/>
    <mergeCell ref="C49:C52"/>
    <mergeCell ref="B63:B80"/>
    <mergeCell ref="M63:M80"/>
    <mergeCell ref="C67:C70"/>
    <mergeCell ref="B5:C5"/>
    <mergeCell ref="M6:M23"/>
    <mergeCell ref="A25:A44"/>
    <mergeCell ref="B25:B44"/>
    <mergeCell ref="M25:M44"/>
    <mergeCell ref="C29:C34"/>
    <mergeCell ref="A7:A23"/>
    <mergeCell ref="B7:B23"/>
    <mergeCell ref="C12:C1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FF"/>
  </sheetPr>
  <dimension ref="A1:L131"/>
  <sheetViews>
    <sheetView view="pageBreakPreview" topLeftCell="A88" zoomScaleSheetLayoutView="100" workbookViewId="0">
      <pane xSplit="4" topLeftCell="E1" activePane="topRight" state="frozen"/>
      <selection activeCell="L62" sqref="L62"/>
      <selection pane="topRight" activeCell="L74" sqref="L74:L114"/>
    </sheetView>
  </sheetViews>
  <sheetFormatPr defaultRowHeight="12.75"/>
  <cols>
    <col min="1" max="2" width="5.42578125" style="101" customWidth="1"/>
    <col min="3" max="3" width="39.7109375" style="101" customWidth="1"/>
    <col min="4" max="4" width="5.42578125" style="101" customWidth="1"/>
    <col min="5" max="5" width="10" style="101" customWidth="1"/>
    <col min="6" max="6" width="12.5703125" style="101" customWidth="1"/>
    <col min="7" max="7" width="5.7109375" style="101" hidden="1" customWidth="1"/>
    <col min="8" max="8" width="12.5703125" style="101" hidden="1" customWidth="1"/>
    <col min="9" max="9" width="9.7109375" style="101" hidden="1" customWidth="1"/>
    <col min="10" max="10" width="11.7109375" style="101" hidden="1" customWidth="1"/>
    <col min="11" max="11" width="12.28515625" style="101" customWidth="1"/>
    <col min="12" max="12" width="98.42578125" style="101" customWidth="1"/>
    <col min="13" max="241" width="9.140625" style="101" customWidth="1"/>
    <col min="242" max="242" width="4.28515625" style="101" bestFit="1" customWidth="1"/>
    <col min="243" max="243" width="6.85546875" style="101" bestFit="1" customWidth="1"/>
    <col min="244" max="244" width="11" style="101" customWidth="1"/>
    <col min="245" max="245" width="11.140625" style="101" bestFit="1" customWidth="1"/>
    <col min="246" max="246" width="10.85546875" style="101" customWidth="1"/>
    <col min="247" max="247" width="11.5703125" style="101" customWidth="1"/>
    <col min="248" max="248" width="11.140625" style="101" bestFit="1" customWidth="1"/>
    <col min="249" max="249" width="11" style="101" customWidth="1"/>
    <col min="250" max="250" width="10.42578125" style="101" customWidth="1"/>
    <col min="251" max="251" width="11.28515625" style="101" customWidth="1"/>
    <col min="252" max="253" width="9.140625" style="101" bestFit="1" customWidth="1"/>
    <col min="254" max="255" width="11.140625" style="101" bestFit="1" customWidth="1"/>
    <col min="256" max="256" width="11.5703125" style="101" bestFit="1" customWidth="1"/>
    <col min="257" max="257" width="9.140625" style="101" bestFit="1" customWidth="1"/>
    <col min="258" max="258" width="10.28515625" style="101" customWidth="1"/>
    <col min="259" max="497" width="9.140625" style="101" customWidth="1"/>
    <col min="498" max="498" width="4.28515625" style="101" bestFit="1" customWidth="1"/>
    <col min="499" max="499" width="6.85546875" style="101" bestFit="1" customWidth="1"/>
    <col min="500" max="500" width="11" style="101" customWidth="1"/>
    <col min="501" max="501" width="11.140625" style="101" bestFit="1" customWidth="1"/>
    <col min="502" max="502" width="10.85546875" style="101" customWidth="1"/>
    <col min="503" max="503" width="11.5703125" style="101" customWidth="1"/>
    <col min="504" max="504" width="11.140625" style="101" bestFit="1" customWidth="1"/>
    <col min="505" max="505" width="11" style="101" customWidth="1"/>
    <col min="506" max="506" width="10.42578125" style="101" customWidth="1"/>
    <col min="507" max="507" width="11.28515625" style="101" customWidth="1"/>
    <col min="508" max="509" width="9.140625" style="101" bestFit="1" customWidth="1"/>
    <col min="510" max="511" width="11.140625" style="101" bestFit="1" customWidth="1"/>
    <col min="512" max="512" width="11.5703125" style="101" bestFit="1" customWidth="1"/>
    <col min="513" max="513" width="9.140625" style="101" bestFit="1" customWidth="1"/>
    <col min="514" max="514" width="10.28515625" style="101" customWidth="1"/>
    <col min="515" max="753" width="9.140625" style="101" customWidth="1"/>
    <col min="754" max="754" width="4.28515625" style="101" bestFit="1" customWidth="1"/>
    <col min="755" max="755" width="6.85546875" style="101" bestFit="1" customWidth="1"/>
    <col min="756" max="756" width="11" style="101" customWidth="1"/>
    <col min="757" max="757" width="11.140625" style="101" bestFit="1" customWidth="1"/>
    <col min="758" max="758" width="10.85546875" style="101" customWidth="1"/>
    <col min="759" max="759" width="11.5703125" style="101" customWidth="1"/>
    <col min="760" max="760" width="11.140625" style="101" bestFit="1" customWidth="1"/>
    <col min="761" max="761" width="11" style="101" customWidth="1"/>
    <col min="762" max="762" width="10.42578125" style="101" customWidth="1"/>
    <col min="763" max="763" width="11.28515625" style="101" customWidth="1"/>
    <col min="764" max="765" width="9.140625" style="101" bestFit="1" customWidth="1"/>
    <col min="766" max="767" width="11.140625" style="101" bestFit="1" customWidth="1"/>
    <col min="768" max="768" width="11.5703125" style="101" bestFit="1" customWidth="1"/>
    <col min="769" max="769" width="9.140625" style="101" bestFit="1" customWidth="1"/>
    <col min="770" max="770" width="10.28515625" style="101" customWidth="1"/>
    <col min="771" max="1009" width="9.140625" style="101" customWidth="1"/>
    <col min="1010" max="1010" width="4.28515625" style="101" bestFit="1" customWidth="1"/>
    <col min="1011" max="1011" width="6.85546875" style="101" bestFit="1" customWidth="1"/>
    <col min="1012" max="1012" width="11" style="101" customWidth="1"/>
    <col min="1013" max="1013" width="11.140625" style="101" bestFit="1" customWidth="1"/>
    <col min="1014" max="1014" width="10.85546875" style="101" customWidth="1"/>
    <col min="1015" max="1015" width="11.5703125" style="101" customWidth="1"/>
    <col min="1016" max="1016" width="11.140625" style="101" bestFit="1" customWidth="1"/>
    <col min="1017" max="1017" width="11" style="101" customWidth="1"/>
    <col min="1018" max="1018" width="10.42578125" style="101" customWidth="1"/>
    <col min="1019" max="1019" width="11.28515625" style="101" customWidth="1"/>
    <col min="1020" max="1021" width="9.140625" style="101" bestFit="1" customWidth="1"/>
    <col min="1022" max="1023" width="11.140625" style="101" bestFit="1" customWidth="1"/>
    <col min="1024" max="1024" width="11.5703125" style="101" bestFit="1" customWidth="1"/>
    <col min="1025" max="1025" width="9.140625" style="101" bestFit="1" customWidth="1"/>
    <col min="1026" max="1026" width="10.28515625" style="101" customWidth="1"/>
    <col min="1027" max="1265" width="9.140625" style="101" customWidth="1"/>
    <col min="1266" max="1266" width="4.28515625" style="101" bestFit="1" customWidth="1"/>
    <col min="1267" max="1267" width="6.85546875" style="101" bestFit="1" customWidth="1"/>
    <col min="1268" max="1268" width="11" style="101" customWidth="1"/>
    <col min="1269" max="1269" width="11.140625" style="101" bestFit="1" customWidth="1"/>
    <col min="1270" max="1270" width="10.85546875" style="101" customWidth="1"/>
    <col min="1271" max="1271" width="11.5703125" style="101" customWidth="1"/>
    <col min="1272" max="1272" width="11.140625" style="101" bestFit="1" customWidth="1"/>
    <col min="1273" max="1273" width="11" style="101" customWidth="1"/>
    <col min="1274" max="1274" width="10.42578125" style="101" customWidth="1"/>
    <col min="1275" max="1275" width="11.28515625" style="101" customWidth="1"/>
    <col min="1276" max="1277" width="9.140625" style="101" bestFit="1" customWidth="1"/>
    <col min="1278" max="1279" width="11.140625" style="101" bestFit="1" customWidth="1"/>
    <col min="1280" max="1280" width="11.5703125" style="101" bestFit="1" customWidth="1"/>
    <col min="1281" max="1281" width="9.140625" style="101" bestFit="1" customWidth="1"/>
    <col min="1282" max="1282" width="10.28515625" style="101" customWidth="1"/>
    <col min="1283" max="1521" width="9.140625" style="101" customWidth="1"/>
    <col min="1522" max="1522" width="4.28515625" style="101" bestFit="1" customWidth="1"/>
    <col min="1523" max="1523" width="6.85546875" style="101" bestFit="1" customWidth="1"/>
    <col min="1524" max="1524" width="11" style="101" customWidth="1"/>
    <col min="1525" max="1525" width="11.140625" style="101" bestFit="1" customWidth="1"/>
    <col min="1526" max="1526" width="10.85546875" style="101" customWidth="1"/>
    <col min="1527" max="1527" width="11.5703125" style="101" customWidth="1"/>
    <col min="1528" max="1528" width="11.140625" style="101" bestFit="1" customWidth="1"/>
    <col min="1529" max="1529" width="11" style="101" customWidth="1"/>
    <col min="1530" max="1530" width="10.42578125" style="101" customWidth="1"/>
    <col min="1531" max="1531" width="11.28515625" style="101" customWidth="1"/>
    <col min="1532" max="1533" width="9.140625" style="101" bestFit="1" customWidth="1"/>
    <col min="1534" max="1535" width="11.140625" style="101" bestFit="1" customWidth="1"/>
    <col min="1536" max="1536" width="11.5703125" style="101" bestFit="1" customWidth="1"/>
    <col min="1537" max="1537" width="9.140625" style="101" bestFit="1" customWidth="1"/>
    <col min="1538" max="1538" width="10.28515625" style="101" customWidth="1"/>
    <col min="1539" max="1777" width="9.140625" style="101" customWidth="1"/>
    <col min="1778" max="1778" width="4.28515625" style="101" bestFit="1" customWidth="1"/>
    <col min="1779" max="1779" width="6.85546875" style="101" bestFit="1" customWidth="1"/>
    <col min="1780" max="1780" width="11" style="101" customWidth="1"/>
    <col min="1781" max="1781" width="11.140625" style="101" bestFit="1" customWidth="1"/>
    <col min="1782" max="1782" width="10.85546875" style="101" customWidth="1"/>
    <col min="1783" max="1783" width="11.5703125" style="101" customWidth="1"/>
    <col min="1784" max="1784" width="11.140625" style="101" bestFit="1" customWidth="1"/>
    <col min="1785" max="1785" width="11" style="101" customWidth="1"/>
    <col min="1786" max="1786" width="10.42578125" style="101" customWidth="1"/>
    <col min="1787" max="1787" width="11.28515625" style="101" customWidth="1"/>
    <col min="1788" max="1789" width="9.140625" style="101" bestFit="1" customWidth="1"/>
    <col min="1790" max="1791" width="11.140625" style="101" bestFit="1" customWidth="1"/>
    <col min="1792" max="1792" width="11.5703125" style="101" bestFit="1" customWidth="1"/>
    <col min="1793" max="1793" width="9.140625" style="101" bestFit="1" customWidth="1"/>
    <col min="1794" max="1794" width="10.28515625" style="101" customWidth="1"/>
    <col min="1795" max="2033" width="9.140625" style="101" customWidth="1"/>
    <col min="2034" max="2034" width="4.28515625" style="101" bestFit="1" customWidth="1"/>
    <col min="2035" max="2035" width="6.85546875" style="101" bestFit="1" customWidth="1"/>
    <col min="2036" max="2036" width="11" style="101" customWidth="1"/>
    <col min="2037" max="2037" width="11.140625" style="101" bestFit="1" customWidth="1"/>
    <col min="2038" max="2038" width="10.85546875" style="101" customWidth="1"/>
    <col min="2039" max="2039" width="11.5703125" style="101" customWidth="1"/>
    <col min="2040" max="2040" width="11.140625" style="101" bestFit="1" customWidth="1"/>
    <col min="2041" max="2041" width="11" style="101" customWidth="1"/>
    <col min="2042" max="2042" width="10.42578125" style="101" customWidth="1"/>
    <col min="2043" max="2043" width="11.28515625" style="101" customWidth="1"/>
    <col min="2044" max="2045" width="9.140625" style="101" bestFit="1" customWidth="1"/>
    <col min="2046" max="2047" width="11.140625" style="101" bestFit="1" customWidth="1"/>
    <col min="2048" max="2048" width="11.5703125" style="101" bestFit="1" customWidth="1"/>
    <col min="2049" max="2049" width="9.140625" style="101" bestFit="1" customWidth="1"/>
    <col min="2050" max="2050" width="10.28515625" style="101" customWidth="1"/>
    <col min="2051" max="2289" width="9.140625" style="101" customWidth="1"/>
    <col min="2290" max="2290" width="4.28515625" style="101" bestFit="1" customWidth="1"/>
    <col min="2291" max="2291" width="6.85546875" style="101" bestFit="1" customWidth="1"/>
    <col min="2292" max="2292" width="11" style="101" customWidth="1"/>
    <col min="2293" max="2293" width="11.140625" style="101" bestFit="1" customWidth="1"/>
    <col min="2294" max="2294" width="10.85546875" style="101" customWidth="1"/>
    <col min="2295" max="2295" width="11.5703125" style="101" customWidth="1"/>
    <col min="2296" max="2296" width="11.140625" style="101" bestFit="1" customWidth="1"/>
    <col min="2297" max="2297" width="11" style="101" customWidth="1"/>
    <col min="2298" max="2298" width="10.42578125" style="101" customWidth="1"/>
    <col min="2299" max="2299" width="11.28515625" style="101" customWidth="1"/>
    <col min="2300" max="2301" width="9.140625" style="101" bestFit="1" customWidth="1"/>
    <col min="2302" max="2303" width="11.140625" style="101" bestFit="1" customWidth="1"/>
    <col min="2304" max="2304" width="11.5703125" style="101" bestFit="1" customWidth="1"/>
    <col min="2305" max="2305" width="9.140625" style="101" bestFit="1" customWidth="1"/>
    <col min="2306" max="2306" width="10.28515625" style="101" customWidth="1"/>
    <col min="2307" max="2545" width="9.140625" style="101" customWidth="1"/>
    <col min="2546" max="2546" width="4.28515625" style="101" bestFit="1" customWidth="1"/>
    <col min="2547" max="2547" width="6.85546875" style="101" bestFit="1" customWidth="1"/>
    <col min="2548" max="2548" width="11" style="101" customWidth="1"/>
    <col min="2549" max="2549" width="11.140625" style="101" bestFit="1" customWidth="1"/>
    <col min="2550" max="2550" width="10.85546875" style="101" customWidth="1"/>
    <col min="2551" max="2551" width="11.5703125" style="101" customWidth="1"/>
    <col min="2552" max="2552" width="11.140625" style="101" bestFit="1" customWidth="1"/>
    <col min="2553" max="2553" width="11" style="101" customWidth="1"/>
    <col min="2554" max="2554" width="10.42578125" style="101" customWidth="1"/>
    <col min="2555" max="2555" width="11.28515625" style="101" customWidth="1"/>
    <col min="2556" max="2557" width="9.140625" style="101" bestFit="1" customWidth="1"/>
    <col min="2558" max="2559" width="11.140625" style="101" bestFit="1" customWidth="1"/>
    <col min="2560" max="2560" width="11.5703125" style="101" bestFit="1" customWidth="1"/>
    <col min="2561" max="2561" width="9.140625" style="101" bestFit="1" customWidth="1"/>
    <col min="2562" max="2562" width="10.28515625" style="101" customWidth="1"/>
    <col min="2563" max="2801" width="9.140625" style="101" customWidth="1"/>
    <col min="2802" max="2802" width="4.28515625" style="101" bestFit="1" customWidth="1"/>
    <col min="2803" max="2803" width="6.85546875" style="101" bestFit="1" customWidth="1"/>
    <col min="2804" max="2804" width="11" style="101" customWidth="1"/>
    <col min="2805" max="2805" width="11.140625" style="101" bestFit="1" customWidth="1"/>
    <col min="2806" max="2806" width="10.85546875" style="101" customWidth="1"/>
    <col min="2807" max="2807" width="11.5703125" style="101" customWidth="1"/>
    <col min="2808" max="2808" width="11.140625" style="101" bestFit="1" customWidth="1"/>
    <col min="2809" max="2809" width="11" style="101" customWidth="1"/>
    <col min="2810" max="2810" width="10.42578125" style="101" customWidth="1"/>
    <col min="2811" max="2811" width="11.28515625" style="101" customWidth="1"/>
    <col min="2812" max="2813" width="9.140625" style="101" bestFit="1" customWidth="1"/>
    <col min="2814" max="2815" width="11.140625" style="101" bestFit="1" customWidth="1"/>
    <col min="2816" max="2816" width="11.5703125" style="101" bestFit="1" customWidth="1"/>
    <col min="2817" max="2817" width="9.140625" style="101" bestFit="1" customWidth="1"/>
    <col min="2818" max="2818" width="10.28515625" style="101" customWidth="1"/>
    <col min="2819" max="3057" width="9.140625" style="101" customWidth="1"/>
    <col min="3058" max="3058" width="4.28515625" style="101" bestFit="1" customWidth="1"/>
    <col min="3059" max="3059" width="6.85546875" style="101" bestFit="1" customWidth="1"/>
    <col min="3060" max="3060" width="11" style="101" customWidth="1"/>
    <col min="3061" max="3061" width="11.140625" style="101" bestFit="1" customWidth="1"/>
    <col min="3062" max="3062" width="10.85546875" style="101" customWidth="1"/>
    <col min="3063" max="3063" width="11.5703125" style="101" customWidth="1"/>
    <col min="3064" max="3064" width="11.140625" style="101" bestFit="1" customWidth="1"/>
    <col min="3065" max="3065" width="11" style="101" customWidth="1"/>
    <col min="3066" max="3066" width="10.42578125" style="101" customWidth="1"/>
    <col min="3067" max="3067" width="11.28515625" style="101" customWidth="1"/>
    <col min="3068" max="3069" width="9.140625" style="101" bestFit="1" customWidth="1"/>
    <col min="3070" max="3071" width="11.140625" style="101" bestFit="1" customWidth="1"/>
    <col min="3072" max="3072" width="11.5703125" style="101" bestFit="1" customWidth="1"/>
    <col min="3073" max="3073" width="9.140625" style="101" bestFit="1" customWidth="1"/>
    <col min="3074" max="3074" width="10.28515625" style="101" customWidth="1"/>
    <col min="3075" max="3313" width="9.140625" style="101" customWidth="1"/>
    <col min="3314" max="3314" width="4.28515625" style="101" bestFit="1" customWidth="1"/>
    <col min="3315" max="3315" width="6.85546875" style="101" bestFit="1" customWidth="1"/>
    <col min="3316" max="3316" width="11" style="101" customWidth="1"/>
    <col min="3317" max="3317" width="11.140625" style="101" bestFit="1" customWidth="1"/>
    <col min="3318" max="3318" width="10.85546875" style="101" customWidth="1"/>
    <col min="3319" max="3319" width="11.5703125" style="101" customWidth="1"/>
    <col min="3320" max="3320" width="11.140625" style="101" bestFit="1" customWidth="1"/>
    <col min="3321" max="3321" width="11" style="101" customWidth="1"/>
    <col min="3322" max="3322" width="10.42578125" style="101" customWidth="1"/>
    <col min="3323" max="3323" width="11.28515625" style="101" customWidth="1"/>
    <col min="3324" max="3325" width="9.140625" style="101" bestFit="1" customWidth="1"/>
    <col min="3326" max="3327" width="11.140625" style="101" bestFit="1" customWidth="1"/>
    <col min="3328" max="3328" width="11.5703125" style="101" bestFit="1" customWidth="1"/>
    <col min="3329" max="3329" width="9.140625" style="101" bestFit="1" customWidth="1"/>
    <col min="3330" max="3330" width="10.28515625" style="101" customWidth="1"/>
    <col min="3331" max="3569" width="9.140625" style="101" customWidth="1"/>
    <col min="3570" max="3570" width="4.28515625" style="101" bestFit="1" customWidth="1"/>
    <col min="3571" max="3571" width="6.85546875" style="101" bestFit="1" customWidth="1"/>
    <col min="3572" max="3572" width="11" style="101" customWidth="1"/>
    <col min="3573" max="3573" width="11.140625" style="101" bestFit="1" customWidth="1"/>
    <col min="3574" max="3574" width="10.85546875" style="101" customWidth="1"/>
    <col min="3575" max="3575" width="11.5703125" style="101" customWidth="1"/>
    <col min="3576" max="3576" width="11.140625" style="101" bestFit="1" customWidth="1"/>
    <col min="3577" max="3577" width="11" style="101" customWidth="1"/>
    <col min="3578" max="3578" width="10.42578125" style="101" customWidth="1"/>
    <col min="3579" max="3579" width="11.28515625" style="101" customWidth="1"/>
    <col min="3580" max="3581" width="9.140625" style="101" bestFit="1" customWidth="1"/>
    <col min="3582" max="3583" width="11.140625" style="101" bestFit="1" customWidth="1"/>
    <col min="3584" max="3584" width="11.5703125" style="101" bestFit="1" customWidth="1"/>
    <col min="3585" max="3585" width="9.140625" style="101" bestFit="1" customWidth="1"/>
    <col min="3586" max="3586" width="10.28515625" style="101" customWidth="1"/>
    <col min="3587" max="3825" width="9.140625" style="101" customWidth="1"/>
    <col min="3826" max="3826" width="4.28515625" style="101" bestFit="1" customWidth="1"/>
    <col min="3827" max="3827" width="6.85546875" style="101" bestFit="1" customWidth="1"/>
    <col min="3828" max="3828" width="11" style="101" customWidth="1"/>
    <col min="3829" max="3829" width="11.140625" style="101" bestFit="1" customWidth="1"/>
    <col min="3830" max="3830" width="10.85546875" style="101" customWidth="1"/>
    <col min="3831" max="3831" width="11.5703125" style="101" customWidth="1"/>
    <col min="3832" max="3832" width="11.140625" style="101" bestFit="1" customWidth="1"/>
    <col min="3833" max="3833" width="11" style="101" customWidth="1"/>
    <col min="3834" max="3834" width="10.42578125" style="101" customWidth="1"/>
    <col min="3835" max="3835" width="11.28515625" style="101" customWidth="1"/>
    <col min="3836" max="3837" width="9.140625" style="101" bestFit="1" customWidth="1"/>
    <col min="3838" max="3839" width="11.140625" style="101" bestFit="1" customWidth="1"/>
    <col min="3840" max="3840" width="11.5703125" style="101" bestFit="1" customWidth="1"/>
    <col min="3841" max="3841" width="9.140625" style="101" bestFit="1" customWidth="1"/>
    <col min="3842" max="3842" width="10.28515625" style="101" customWidth="1"/>
    <col min="3843" max="4081" width="9.140625" style="101" customWidth="1"/>
    <col min="4082" max="4082" width="4.28515625" style="101" bestFit="1" customWidth="1"/>
    <col min="4083" max="4083" width="6.85546875" style="101" bestFit="1" customWidth="1"/>
    <col min="4084" max="4084" width="11" style="101" customWidth="1"/>
    <col min="4085" max="4085" width="11.140625" style="101" bestFit="1" customWidth="1"/>
    <col min="4086" max="4086" width="10.85546875" style="101" customWidth="1"/>
    <col min="4087" max="4087" width="11.5703125" style="101" customWidth="1"/>
    <col min="4088" max="4088" width="11.140625" style="101" bestFit="1" customWidth="1"/>
    <col min="4089" max="4089" width="11" style="101" customWidth="1"/>
    <col min="4090" max="4090" width="10.42578125" style="101" customWidth="1"/>
    <col min="4091" max="4091" width="11.28515625" style="101" customWidth="1"/>
    <col min="4092" max="4093" width="9.140625" style="101" bestFit="1" customWidth="1"/>
    <col min="4094" max="4095" width="11.140625" style="101" bestFit="1" customWidth="1"/>
    <col min="4096" max="4096" width="11.5703125" style="101" bestFit="1" customWidth="1"/>
    <col min="4097" max="4097" width="9.140625" style="101" bestFit="1" customWidth="1"/>
    <col min="4098" max="4098" width="10.28515625" style="101" customWidth="1"/>
    <col min="4099" max="4337" width="9.140625" style="101" customWidth="1"/>
    <col min="4338" max="4338" width="4.28515625" style="101" bestFit="1" customWidth="1"/>
    <col min="4339" max="4339" width="6.85546875" style="101" bestFit="1" customWidth="1"/>
    <col min="4340" max="4340" width="11" style="101" customWidth="1"/>
    <col min="4341" max="4341" width="11.140625" style="101" bestFit="1" customWidth="1"/>
    <col min="4342" max="4342" width="10.85546875" style="101" customWidth="1"/>
    <col min="4343" max="4343" width="11.5703125" style="101" customWidth="1"/>
    <col min="4344" max="4344" width="11.140625" style="101" bestFit="1" customWidth="1"/>
    <col min="4345" max="4345" width="11" style="101" customWidth="1"/>
    <col min="4346" max="4346" width="10.42578125" style="101" customWidth="1"/>
    <col min="4347" max="4347" width="11.28515625" style="101" customWidth="1"/>
    <col min="4348" max="4349" width="9.140625" style="101" bestFit="1" customWidth="1"/>
    <col min="4350" max="4351" width="11.140625" style="101" bestFit="1" customWidth="1"/>
    <col min="4352" max="4352" width="11.5703125" style="101" bestFit="1" customWidth="1"/>
    <col min="4353" max="4353" width="9.140625" style="101" bestFit="1" customWidth="1"/>
    <col min="4354" max="4354" width="10.28515625" style="101" customWidth="1"/>
    <col min="4355" max="4593" width="9.140625" style="101" customWidth="1"/>
    <col min="4594" max="4594" width="4.28515625" style="101" bestFit="1" customWidth="1"/>
    <col min="4595" max="4595" width="6.85546875" style="101" bestFit="1" customWidth="1"/>
    <col min="4596" max="4596" width="11" style="101" customWidth="1"/>
    <col min="4597" max="4597" width="11.140625" style="101" bestFit="1" customWidth="1"/>
    <col min="4598" max="4598" width="10.85546875" style="101" customWidth="1"/>
    <col min="4599" max="4599" width="11.5703125" style="101" customWidth="1"/>
    <col min="4600" max="4600" width="11.140625" style="101" bestFit="1" customWidth="1"/>
    <col min="4601" max="4601" width="11" style="101" customWidth="1"/>
    <col min="4602" max="4602" width="10.42578125" style="101" customWidth="1"/>
    <col min="4603" max="4603" width="11.28515625" style="101" customWidth="1"/>
    <col min="4604" max="4605" width="9.140625" style="101" bestFit="1" customWidth="1"/>
    <col min="4606" max="4607" width="11.140625" style="101" bestFit="1" customWidth="1"/>
    <col min="4608" max="4608" width="11.5703125" style="101" bestFit="1" customWidth="1"/>
    <col min="4609" max="4609" width="9.140625" style="101" bestFit="1" customWidth="1"/>
    <col min="4610" max="4610" width="10.28515625" style="101" customWidth="1"/>
    <col min="4611" max="4849" width="9.140625" style="101" customWidth="1"/>
    <col min="4850" max="4850" width="4.28515625" style="101" bestFit="1" customWidth="1"/>
    <col min="4851" max="4851" width="6.85546875" style="101" bestFit="1" customWidth="1"/>
    <col min="4852" max="4852" width="11" style="101" customWidth="1"/>
    <col min="4853" max="4853" width="11.140625" style="101" bestFit="1" customWidth="1"/>
    <col min="4854" max="4854" width="10.85546875" style="101" customWidth="1"/>
    <col min="4855" max="4855" width="11.5703125" style="101" customWidth="1"/>
    <col min="4856" max="4856" width="11.140625" style="101" bestFit="1" customWidth="1"/>
    <col min="4857" max="4857" width="11" style="101" customWidth="1"/>
    <col min="4858" max="4858" width="10.42578125" style="101" customWidth="1"/>
    <col min="4859" max="4859" width="11.28515625" style="101" customWidth="1"/>
    <col min="4860" max="4861" width="9.140625" style="101" bestFit="1" customWidth="1"/>
    <col min="4862" max="4863" width="11.140625" style="101" bestFit="1" customWidth="1"/>
    <col min="4864" max="4864" width="11.5703125" style="101" bestFit="1" customWidth="1"/>
    <col min="4865" max="4865" width="9.140625" style="101" bestFit="1" customWidth="1"/>
    <col min="4866" max="4866" width="10.28515625" style="101" customWidth="1"/>
    <col min="4867" max="5105" width="9.140625" style="101" customWidth="1"/>
    <col min="5106" max="5106" width="4.28515625" style="101" bestFit="1" customWidth="1"/>
    <col min="5107" max="5107" width="6.85546875" style="101" bestFit="1" customWidth="1"/>
    <col min="5108" max="5108" width="11" style="101" customWidth="1"/>
    <col min="5109" max="5109" width="11.140625" style="101" bestFit="1" customWidth="1"/>
    <col min="5110" max="5110" width="10.85546875" style="101" customWidth="1"/>
    <col min="5111" max="5111" width="11.5703125" style="101" customWidth="1"/>
    <col min="5112" max="5112" width="11.140625" style="101" bestFit="1" customWidth="1"/>
    <col min="5113" max="5113" width="11" style="101" customWidth="1"/>
    <col min="5114" max="5114" width="10.42578125" style="101" customWidth="1"/>
    <col min="5115" max="5115" width="11.28515625" style="101" customWidth="1"/>
    <col min="5116" max="5117" width="9.140625" style="101" bestFit="1" customWidth="1"/>
    <col min="5118" max="5119" width="11.140625" style="101" bestFit="1" customWidth="1"/>
    <col min="5120" max="5120" width="11.5703125" style="101" bestFit="1" customWidth="1"/>
    <col min="5121" max="5121" width="9.140625" style="101" bestFit="1" customWidth="1"/>
    <col min="5122" max="5122" width="10.28515625" style="101" customWidth="1"/>
    <col min="5123" max="5361" width="9.140625" style="101" customWidth="1"/>
    <col min="5362" max="5362" width="4.28515625" style="101" bestFit="1" customWidth="1"/>
    <col min="5363" max="5363" width="6.85546875" style="101" bestFit="1" customWidth="1"/>
    <col min="5364" max="5364" width="11" style="101" customWidth="1"/>
    <col min="5365" max="5365" width="11.140625" style="101" bestFit="1" customWidth="1"/>
    <col min="5366" max="5366" width="10.85546875" style="101" customWidth="1"/>
    <col min="5367" max="5367" width="11.5703125" style="101" customWidth="1"/>
    <col min="5368" max="5368" width="11.140625" style="101" bestFit="1" customWidth="1"/>
    <col min="5369" max="5369" width="11" style="101" customWidth="1"/>
    <col min="5370" max="5370" width="10.42578125" style="101" customWidth="1"/>
    <col min="5371" max="5371" width="11.28515625" style="101" customWidth="1"/>
    <col min="5372" max="5373" width="9.140625" style="101" bestFit="1" customWidth="1"/>
    <col min="5374" max="5375" width="11.140625" style="101" bestFit="1" customWidth="1"/>
    <col min="5376" max="5376" width="11.5703125" style="101" bestFit="1" customWidth="1"/>
    <col min="5377" max="5377" width="9.140625" style="101" bestFit="1" customWidth="1"/>
    <col min="5378" max="5378" width="10.28515625" style="101" customWidth="1"/>
    <col min="5379" max="5617" width="9.140625" style="101" customWidth="1"/>
    <col min="5618" max="5618" width="4.28515625" style="101" bestFit="1" customWidth="1"/>
    <col min="5619" max="5619" width="6.85546875" style="101" bestFit="1" customWidth="1"/>
    <col min="5620" max="5620" width="11" style="101" customWidth="1"/>
    <col min="5621" max="5621" width="11.140625" style="101" bestFit="1" customWidth="1"/>
    <col min="5622" max="5622" width="10.85546875" style="101" customWidth="1"/>
    <col min="5623" max="5623" width="11.5703125" style="101" customWidth="1"/>
    <col min="5624" max="5624" width="11.140625" style="101" bestFit="1" customWidth="1"/>
    <col min="5625" max="5625" width="11" style="101" customWidth="1"/>
    <col min="5626" max="5626" width="10.42578125" style="101" customWidth="1"/>
    <col min="5627" max="5627" width="11.28515625" style="101" customWidth="1"/>
    <col min="5628" max="5629" width="9.140625" style="101" bestFit="1" customWidth="1"/>
    <col min="5630" max="5631" width="11.140625" style="101" bestFit="1" customWidth="1"/>
    <col min="5632" max="5632" width="11.5703125" style="101" bestFit="1" customWidth="1"/>
    <col min="5633" max="5633" width="9.140625" style="101" bestFit="1" customWidth="1"/>
    <col min="5634" max="5634" width="10.28515625" style="101" customWidth="1"/>
    <col min="5635" max="5873" width="9.140625" style="101" customWidth="1"/>
    <col min="5874" max="5874" width="4.28515625" style="101" bestFit="1" customWidth="1"/>
    <col min="5875" max="5875" width="6.85546875" style="101" bestFit="1" customWidth="1"/>
    <col min="5876" max="5876" width="11" style="101" customWidth="1"/>
    <col min="5877" max="5877" width="11.140625" style="101" bestFit="1" customWidth="1"/>
    <col min="5878" max="5878" width="10.85546875" style="101" customWidth="1"/>
    <col min="5879" max="5879" width="11.5703125" style="101" customWidth="1"/>
    <col min="5880" max="5880" width="11.140625" style="101" bestFit="1" customWidth="1"/>
    <col min="5881" max="5881" width="11" style="101" customWidth="1"/>
    <col min="5882" max="5882" width="10.42578125" style="101" customWidth="1"/>
    <col min="5883" max="5883" width="11.28515625" style="101" customWidth="1"/>
    <col min="5884" max="5885" width="9.140625" style="101" bestFit="1" customWidth="1"/>
    <col min="5886" max="5887" width="11.140625" style="101" bestFit="1" customWidth="1"/>
    <col min="5888" max="5888" width="11.5703125" style="101" bestFit="1" customWidth="1"/>
    <col min="5889" max="5889" width="9.140625" style="101" bestFit="1" customWidth="1"/>
    <col min="5890" max="5890" width="10.28515625" style="101" customWidth="1"/>
    <col min="5891" max="6129" width="9.140625" style="101" customWidth="1"/>
    <col min="6130" max="6130" width="4.28515625" style="101" bestFit="1" customWidth="1"/>
    <col min="6131" max="6131" width="6.85546875" style="101" bestFit="1" customWidth="1"/>
    <col min="6132" max="6132" width="11" style="101" customWidth="1"/>
    <col min="6133" max="6133" width="11.140625" style="101" bestFit="1" customWidth="1"/>
    <col min="6134" max="6134" width="10.85546875" style="101" customWidth="1"/>
    <col min="6135" max="6135" width="11.5703125" style="101" customWidth="1"/>
    <col min="6136" max="6136" width="11.140625" style="101" bestFit="1" customWidth="1"/>
    <col min="6137" max="6137" width="11" style="101" customWidth="1"/>
    <col min="6138" max="6138" width="10.42578125" style="101" customWidth="1"/>
    <col min="6139" max="6139" width="11.28515625" style="101" customWidth="1"/>
    <col min="6140" max="6141" width="9.140625" style="101" bestFit="1" customWidth="1"/>
    <col min="6142" max="6143" width="11.140625" style="101" bestFit="1" customWidth="1"/>
    <col min="6144" max="6144" width="11.5703125" style="101" bestFit="1" customWidth="1"/>
    <col min="6145" max="6145" width="9.140625" style="101" bestFit="1" customWidth="1"/>
    <col min="6146" max="6146" width="10.28515625" style="101" customWidth="1"/>
    <col min="6147" max="6385" width="9.140625" style="101" customWidth="1"/>
    <col min="6386" max="6386" width="4.28515625" style="101" bestFit="1" customWidth="1"/>
    <col min="6387" max="6387" width="6.85546875" style="101" bestFit="1" customWidth="1"/>
    <col min="6388" max="6388" width="11" style="101" customWidth="1"/>
    <col min="6389" max="6389" width="11.140625" style="101" bestFit="1" customWidth="1"/>
    <col min="6390" max="6390" width="10.85546875" style="101" customWidth="1"/>
    <col min="6391" max="6391" width="11.5703125" style="101" customWidth="1"/>
    <col min="6392" max="6392" width="11.140625" style="101" bestFit="1" customWidth="1"/>
    <col min="6393" max="6393" width="11" style="101" customWidth="1"/>
    <col min="6394" max="6394" width="10.42578125" style="101" customWidth="1"/>
    <col min="6395" max="6395" width="11.28515625" style="101" customWidth="1"/>
    <col min="6396" max="6397" width="9.140625" style="101" bestFit="1" customWidth="1"/>
    <col min="6398" max="6399" width="11.140625" style="101" bestFit="1" customWidth="1"/>
    <col min="6400" max="6400" width="11.5703125" style="101" bestFit="1" customWidth="1"/>
    <col min="6401" max="6401" width="9.140625" style="101" bestFit="1" customWidth="1"/>
    <col min="6402" max="6402" width="10.28515625" style="101" customWidth="1"/>
    <col min="6403" max="6641" width="9.140625" style="101" customWidth="1"/>
    <col min="6642" max="6642" width="4.28515625" style="101" bestFit="1" customWidth="1"/>
    <col min="6643" max="6643" width="6.85546875" style="101" bestFit="1" customWidth="1"/>
    <col min="6644" max="6644" width="11" style="101" customWidth="1"/>
    <col min="6645" max="6645" width="11.140625" style="101" bestFit="1" customWidth="1"/>
    <col min="6646" max="6646" width="10.85546875" style="101" customWidth="1"/>
    <col min="6647" max="6647" width="11.5703125" style="101" customWidth="1"/>
    <col min="6648" max="6648" width="11.140625" style="101" bestFit="1" customWidth="1"/>
    <col min="6649" max="6649" width="11" style="101" customWidth="1"/>
    <col min="6650" max="6650" width="10.42578125" style="101" customWidth="1"/>
    <col min="6651" max="6651" width="11.28515625" style="101" customWidth="1"/>
    <col min="6652" max="6653" width="9.140625" style="101" bestFit="1" customWidth="1"/>
    <col min="6654" max="6655" width="11.140625" style="101" bestFit="1" customWidth="1"/>
    <col min="6656" max="6656" width="11.5703125" style="101" bestFit="1" customWidth="1"/>
    <col min="6657" max="6657" width="9.140625" style="101" bestFit="1" customWidth="1"/>
    <col min="6658" max="6658" width="10.28515625" style="101" customWidth="1"/>
    <col min="6659" max="6897" width="9.140625" style="101" customWidth="1"/>
    <col min="6898" max="6898" width="4.28515625" style="101" bestFit="1" customWidth="1"/>
    <col min="6899" max="6899" width="6.85546875" style="101" bestFit="1" customWidth="1"/>
    <col min="6900" max="6900" width="11" style="101" customWidth="1"/>
    <col min="6901" max="6901" width="11.140625" style="101" bestFit="1" customWidth="1"/>
    <col min="6902" max="6902" width="10.85546875" style="101" customWidth="1"/>
    <col min="6903" max="6903" width="11.5703125" style="101" customWidth="1"/>
    <col min="6904" max="6904" width="11.140625" style="101" bestFit="1" customWidth="1"/>
    <col min="6905" max="6905" width="11" style="101" customWidth="1"/>
    <col min="6906" max="6906" width="10.42578125" style="101" customWidth="1"/>
    <col min="6907" max="6907" width="11.28515625" style="101" customWidth="1"/>
    <col min="6908" max="6909" width="9.140625" style="101" bestFit="1" customWidth="1"/>
    <col min="6910" max="6911" width="11.140625" style="101" bestFit="1" customWidth="1"/>
    <col min="6912" max="6912" width="11.5703125" style="101" bestFit="1" customWidth="1"/>
    <col min="6913" max="6913" width="9.140625" style="101" bestFit="1" customWidth="1"/>
    <col min="6914" max="6914" width="10.28515625" style="101" customWidth="1"/>
    <col min="6915" max="7153" width="9.140625" style="101" customWidth="1"/>
    <col min="7154" max="7154" width="4.28515625" style="101" bestFit="1" customWidth="1"/>
    <col min="7155" max="7155" width="6.85546875" style="101" bestFit="1" customWidth="1"/>
    <col min="7156" max="7156" width="11" style="101" customWidth="1"/>
    <col min="7157" max="7157" width="11.140625" style="101" bestFit="1" customWidth="1"/>
    <col min="7158" max="7158" width="10.85546875" style="101" customWidth="1"/>
    <col min="7159" max="7159" width="11.5703125" style="101" customWidth="1"/>
    <col min="7160" max="7160" width="11.140625" style="101" bestFit="1" customWidth="1"/>
    <col min="7161" max="7161" width="11" style="101" customWidth="1"/>
    <col min="7162" max="7162" width="10.42578125" style="101" customWidth="1"/>
    <col min="7163" max="7163" width="11.28515625" style="101" customWidth="1"/>
    <col min="7164" max="7165" width="9.140625" style="101" bestFit="1" customWidth="1"/>
    <col min="7166" max="7167" width="11.140625" style="101" bestFit="1" customWidth="1"/>
    <col min="7168" max="7168" width="11.5703125" style="101" bestFit="1" customWidth="1"/>
    <col min="7169" max="7169" width="9.140625" style="101" bestFit="1" customWidth="1"/>
    <col min="7170" max="7170" width="10.28515625" style="101" customWidth="1"/>
    <col min="7171" max="7409" width="9.140625" style="101" customWidth="1"/>
    <col min="7410" max="7410" width="4.28515625" style="101" bestFit="1" customWidth="1"/>
    <col min="7411" max="7411" width="6.85546875" style="101" bestFit="1" customWidth="1"/>
    <col min="7412" max="7412" width="11" style="101" customWidth="1"/>
    <col min="7413" max="7413" width="11.140625" style="101" bestFit="1" customWidth="1"/>
    <col min="7414" max="7414" width="10.85546875" style="101" customWidth="1"/>
    <col min="7415" max="7415" width="11.5703125" style="101" customWidth="1"/>
    <col min="7416" max="7416" width="11.140625" style="101" bestFit="1" customWidth="1"/>
    <col min="7417" max="7417" width="11" style="101" customWidth="1"/>
    <col min="7418" max="7418" width="10.42578125" style="101" customWidth="1"/>
    <col min="7419" max="7419" width="11.28515625" style="101" customWidth="1"/>
    <col min="7420" max="7421" width="9.140625" style="101" bestFit="1" customWidth="1"/>
    <col min="7422" max="7423" width="11.140625" style="101" bestFit="1" customWidth="1"/>
    <col min="7424" max="7424" width="11.5703125" style="101" bestFit="1" customWidth="1"/>
    <col min="7425" max="7425" width="9.140625" style="101" bestFit="1" customWidth="1"/>
    <col min="7426" max="7426" width="10.28515625" style="101" customWidth="1"/>
    <col min="7427" max="7665" width="9.140625" style="101" customWidth="1"/>
    <col min="7666" max="7666" width="4.28515625" style="101" bestFit="1" customWidth="1"/>
    <col min="7667" max="7667" width="6.85546875" style="101" bestFit="1" customWidth="1"/>
    <col min="7668" max="7668" width="11" style="101" customWidth="1"/>
    <col min="7669" max="7669" width="11.140625" style="101" bestFit="1" customWidth="1"/>
    <col min="7670" max="7670" width="10.85546875" style="101" customWidth="1"/>
    <col min="7671" max="7671" width="11.5703125" style="101" customWidth="1"/>
    <col min="7672" max="7672" width="11.140625" style="101" bestFit="1" customWidth="1"/>
    <col min="7673" max="7673" width="11" style="101" customWidth="1"/>
    <col min="7674" max="7674" width="10.42578125" style="101" customWidth="1"/>
    <col min="7675" max="7675" width="11.28515625" style="101" customWidth="1"/>
    <col min="7676" max="7677" width="9.140625" style="101" bestFit="1" customWidth="1"/>
    <col min="7678" max="7679" width="11.140625" style="101" bestFit="1" customWidth="1"/>
    <col min="7680" max="7680" width="11.5703125" style="101" bestFit="1" customWidth="1"/>
    <col min="7681" max="7681" width="9.140625" style="101" bestFit="1" customWidth="1"/>
    <col min="7682" max="7682" width="10.28515625" style="101" customWidth="1"/>
    <col min="7683" max="7921" width="9.140625" style="101" customWidth="1"/>
    <col min="7922" max="7922" width="4.28515625" style="101" bestFit="1" customWidth="1"/>
    <col min="7923" max="7923" width="6.85546875" style="101" bestFit="1" customWidth="1"/>
    <col min="7924" max="7924" width="11" style="101" customWidth="1"/>
    <col min="7925" max="7925" width="11.140625" style="101" bestFit="1" customWidth="1"/>
    <col min="7926" max="7926" width="10.85546875" style="101" customWidth="1"/>
    <col min="7927" max="7927" width="11.5703125" style="101" customWidth="1"/>
    <col min="7928" max="7928" width="11.140625" style="101" bestFit="1" customWidth="1"/>
    <col min="7929" max="7929" width="11" style="101" customWidth="1"/>
    <col min="7930" max="7930" width="10.42578125" style="101" customWidth="1"/>
    <col min="7931" max="7931" width="11.28515625" style="101" customWidth="1"/>
    <col min="7932" max="7933" width="9.140625" style="101" bestFit="1" customWidth="1"/>
    <col min="7934" max="7935" width="11.140625" style="101" bestFit="1" customWidth="1"/>
    <col min="7936" max="7936" width="11.5703125" style="101" bestFit="1" customWidth="1"/>
    <col min="7937" max="7937" width="9.140625" style="101" bestFit="1" customWidth="1"/>
    <col min="7938" max="7938" width="10.28515625" style="101" customWidth="1"/>
    <col min="7939" max="8177" width="9.140625" style="101" customWidth="1"/>
    <col min="8178" max="8178" width="4.28515625" style="101" bestFit="1" customWidth="1"/>
    <col min="8179" max="8179" width="6.85546875" style="101" bestFit="1" customWidth="1"/>
    <col min="8180" max="8180" width="11" style="101" customWidth="1"/>
    <col min="8181" max="8181" width="11.140625" style="101" bestFit="1" customWidth="1"/>
    <col min="8182" max="8182" width="10.85546875" style="101" customWidth="1"/>
    <col min="8183" max="8183" width="11.5703125" style="101" customWidth="1"/>
    <col min="8184" max="8184" width="11.140625" style="101" bestFit="1" customWidth="1"/>
    <col min="8185" max="8185" width="11" style="101" customWidth="1"/>
    <col min="8186" max="8186" width="10.42578125" style="101" customWidth="1"/>
    <col min="8187" max="8187" width="11.28515625" style="101" customWidth="1"/>
    <col min="8188" max="8189" width="9.140625" style="101" bestFit="1" customWidth="1"/>
    <col min="8190" max="8191" width="11.140625" style="101" bestFit="1" customWidth="1"/>
    <col min="8192" max="8192" width="11.5703125" style="101" bestFit="1" customWidth="1"/>
    <col min="8193" max="8193" width="9.140625" style="101" bestFit="1" customWidth="1"/>
    <col min="8194" max="8194" width="10.28515625" style="101" customWidth="1"/>
    <col min="8195" max="8433" width="9.140625" style="101" customWidth="1"/>
    <col min="8434" max="8434" width="4.28515625" style="101" bestFit="1" customWidth="1"/>
    <col min="8435" max="8435" width="6.85546875" style="101" bestFit="1" customWidth="1"/>
    <col min="8436" max="8436" width="11" style="101" customWidth="1"/>
    <col min="8437" max="8437" width="11.140625" style="101" bestFit="1" customWidth="1"/>
    <col min="8438" max="8438" width="10.85546875" style="101" customWidth="1"/>
    <col min="8439" max="8439" width="11.5703125" style="101" customWidth="1"/>
    <col min="8440" max="8440" width="11.140625" style="101" bestFit="1" customWidth="1"/>
    <col min="8441" max="8441" width="11" style="101" customWidth="1"/>
    <col min="8442" max="8442" width="10.42578125" style="101" customWidth="1"/>
    <col min="8443" max="8443" width="11.28515625" style="101" customWidth="1"/>
    <col min="8444" max="8445" width="9.140625" style="101" bestFit="1" customWidth="1"/>
    <col min="8446" max="8447" width="11.140625" style="101" bestFit="1" customWidth="1"/>
    <col min="8448" max="8448" width="11.5703125" style="101" bestFit="1" customWidth="1"/>
    <col min="8449" max="8449" width="9.140625" style="101" bestFit="1" customWidth="1"/>
    <col min="8450" max="8450" width="10.28515625" style="101" customWidth="1"/>
    <col min="8451" max="8689" width="9.140625" style="101" customWidth="1"/>
    <col min="8690" max="8690" width="4.28515625" style="101" bestFit="1" customWidth="1"/>
    <col min="8691" max="8691" width="6.85546875" style="101" bestFit="1" customWidth="1"/>
    <col min="8692" max="8692" width="11" style="101" customWidth="1"/>
    <col min="8693" max="8693" width="11.140625" style="101" bestFit="1" customWidth="1"/>
    <col min="8694" max="8694" width="10.85546875" style="101" customWidth="1"/>
    <col min="8695" max="8695" width="11.5703125" style="101" customWidth="1"/>
    <col min="8696" max="8696" width="11.140625" style="101" bestFit="1" customWidth="1"/>
    <col min="8697" max="8697" width="11" style="101" customWidth="1"/>
    <col min="8698" max="8698" width="10.42578125" style="101" customWidth="1"/>
    <col min="8699" max="8699" width="11.28515625" style="101" customWidth="1"/>
    <col min="8700" max="8701" width="9.140625" style="101" bestFit="1" customWidth="1"/>
    <col min="8702" max="8703" width="11.140625" style="101" bestFit="1" customWidth="1"/>
    <col min="8704" max="8704" width="11.5703125" style="101" bestFit="1" customWidth="1"/>
    <col min="8705" max="8705" width="9.140625" style="101" bestFit="1" customWidth="1"/>
    <col min="8706" max="8706" width="10.28515625" style="101" customWidth="1"/>
    <col min="8707" max="8945" width="9.140625" style="101" customWidth="1"/>
    <col min="8946" max="8946" width="4.28515625" style="101" bestFit="1" customWidth="1"/>
    <col min="8947" max="8947" width="6.85546875" style="101" bestFit="1" customWidth="1"/>
    <col min="8948" max="8948" width="11" style="101" customWidth="1"/>
    <col min="8949" max="8949" width="11.140625" style="101" bestFit="1" customWidth="1"/>
    <col min="8950" max="8950" width="10.85546875" style="101" customWidth="1"/>
    <col min="8951" max="8951" width="11.5703125" style="101" customWidth="1"/>
    <col min="8952" max="8952" width="11.140625" style="101" bestFit="1" customWidth="1"/>
    <col min="8953" max="8953" width="11" style="101" customWidth="1"/>
    <col min="8954" max="8954" width="10.42578125" style="101" customWidth="1"/>
    <col min="8955" max="8955" width="11.28515625" style="101" customWidth="1"/>
    <col min="8956" max="8957" width="9.140625" style="101" bestFit="1" customWidth="1"/>
    <col min="8958" max="8959" width="11.140625" style="101" bestFit="1" customWidth="1"/>
    <col min="8960" max="8960" width="11.5703125" style="101" bestFit="1" customWidth="1"/>
    <col min="8961" max="8961" width="9.140625" style="101" bestFit="1" customWidth="1"/>
    <col min="8962" max="8962" width="10.28515625" style="101" customWidth="1"/>
    <col min="8963" max="9201" width="9.140625" style="101" customWidth="1"/>
    <col min="9202" max="9202" width="4.28515625" style="101" bestFit="1" customWidth="1"/>
    <col min="9203" max="9203" width="6.85546875" style="101" bestFit="1" customWidth="1"/>
    <col min="9204" max="9204" width="11" style="101" customWidth="1"/>
    <col min="9205" max="9205" width="11.140625" style="101" bestFit="1" customWidth="1"/>
    <col min="9206" max="9206" width="10.85546875" style="101" customWidth="1"/>
    <col min="9207" max="9207" width="11.5703125" style="101" customWidth="1"/>
    <col min="9208" max="9208" width="11.140625" style="101" bestFit="1" customWidth="1"/>
    <col min="9209" max="9209" width="11" style="101" customWidth="1"/>
    <col min="9210" max="9210" width="10.42578125" style="101" customWidth="1"/>
    <col min="9211" max="9211" width="11.28515625" style="101" customWidth="1"/>
    <col min="9212" max="9213" width="9.140625" style="101" bestFit="1" customWidth="1"/>
    <col min="9214" max="9215" width="11.140625" style="101" bestFit="1" customWidth="1"/>
    <col min="9216" max="9216" width="11.5703125" style="101" bestFit="1" customWidth="1"/>
    <col min="9217" max="9217" width="9.140625" style="101" bestFit="1" customWidth="1"/>
    <col min="9218" max="9218" width="10.28515625" style="101" customWidth="1"/>
    <col min="9219" max="9457" width="9.140625" style="101" customWidth="1"/>
    <col min="9458" max="9458" width="4.28515625" style="101" bestFit="1" customWidth="1"/>
    <col min="9459" max="9459" width="6.85546875" style="101" bestFit="1" customWidth="1"/>
    <col min="9460" max="9460" width="11" style="101" customWidth="1"/>
    <col min="9461" max="9461" width="11.140625" style="101" bestFit="1" customWidth="1"/>
    <col min="9462" max="9462" width="10.85546875" style="101" customWidth="1"/>
    <col min="9463" max="9463" width="11.5703125" style="101" customWidth="1"/>
    <col min="9464" max="9464" width="11.140625" style="101" bestFit="1" customWidth="1"/>
    <col min="9465" max="9465" width="11" style="101" customWidth="1"/>
    <col min="9466" max="9466" width="10.42578125" style="101" customWidth="1"/>
    <col min="9467" max="9467" width="11.28515625" style="101" customWidth="1"/>
    <col min="9468" max="9469" width="9.140625" style="101" bestFit="1" customWidth="1"/>
    <col min="9470" max="9471" width="11.140625" style="101" bestFit="1" customWidth="1"/>
    <col min="9472" max="9472" width="11.5703125" style="101" bestFit="1" customWidth="1"/>
    <col min="9473" max="9473" width="9.140625" style="101" bestFit="1" customWidth="1"/>
    <col min="9474" max="9474" width="10.28515625" style="101" customWidth="1"/>
    <col min="9475" max="9713" width="9.140625" style="101" customWidth="1"/>
    <col min="9714" max="9714" width="4.28515625" style="101" bestFit="1" customWidth="1"/>
    <col min="9715" max="9715" width="6.85546875" style="101" bestFit="1" customWidth="1"/>
    <col min="9716" max="9716" width="11" style="101" customWidth="1"/>
    <col min="9717" max="9717" width="11.140625" style="101" bestFit="1" customWidth="1"/>
    <col min="9718" max="9718" width="10.85546875" style="101" customWidth="1"/>
    <col min="9719" max="9719" width="11.5703125" style="101" customWidth="1"/>
    <col min="9720" max="9720" width="11.140625" style="101" bestFit="1" customWidth="1"/>
    <col min="9721" max="9721" width="11" style="101" customWidth="1"/>
    <col min="9722" max="9722" width="10.42578125" style="101" customWidth="1"/>
    <col min="9723" max="9723" width="11.28515625" style="101" customWidth="1"/>
    <col min="9724" max="9725" width="9.140625" style="101" bestFit="1" customWidth="1"/>
    <col min="9726" max="9727" width="11.140625" style="101" bestFit="1" customWidth="1"/>
    <col min="9728" max="9728" width="11.5703125" style="101" bestFit="1" customWidth="1"/>
    <col min="9729" max="9729" width="9.140625" style="101" bestFit="1" customWidth="1"/>
    <col min="9730" max="9730" width="10.28515625" style="101" customWidth="1"/>
    <col min="9731" max="9969" width="9.140625" style="101" customWidth="1"/>
    <col min="9970" max="9970" width="4.28515625" style="101" bestFit="1" customWidth="1"/>
    <col min="9971" max="9971" width="6.85546875" style="101" bestFit="1" customWidth="1"/>
    <col min="9972" max="9972" width="11" style="101" customWidth="1"/>
    <col min="9973" max="9973" width="11.140625" style="101" bestFit="1" customWidth="1"/>
    <col min="9974" max="9974" width="10.85546875" style="101" customWidth="1"/>
    <col min="9975" max="9975" width="11.5703125" style="101" customWidth="1"/>
    <col min="9976" max="9976" width="11.140625" style="101" bestFit="1" customWidth="1"/>
    <col min="9977" max="9977" width="11" style="101" customWidth="1"/>
    <col min="9978" max="9978" width="10.42578125" style="101" customWidth="1"/>
    <col min="9979" max="9979" width="11.28515625" style="101" customWidth="1"/>
    <col min="9980" max="9981" width="9.140625" style="101" bestFit="1" customWidth="1"/>
    <col min="9982" max="9983" width="11.140625" style="101" bestFit="1" customWidth="1"/>
    <col min="9984" max="9984" width="11.5703125" style="101" bestFit="1" customWidth="1"/>
    <col min="9985" max="9985" width="9.140625" style="101" bestFit="1" customWidth="1"/>
    <col min="9986" max="9986" width="10.28515625" style="101" customWidth="1"/>
    <col min="9987" max="10225" width="9.140625" style="101" customWidth="1"/>
    <col min="10226" max="10226" width="4.28515625" style="101" bestFit="1" customWidth="1"/>
    <col min="10227" max="10227" width="6.85546875" style="101" bestFit="1" customWidth="1"/>
    <col min="10228" max="10228" width="11" style="101" customWidth="1"/>
    <col min="10229" max="10229" width="11.140625" style="101" bestFit="1" customWidth="1"/>
    <col min="10230" max="10230" width="10.85546875" style="101" customWidth="1"/>
    <col min="10231" max="10231" width="11.5703125" style="101" customWidth="1"/>
    <col min="10232" max="10232" width="11.140625" style="101" bestFit="1" customWidth="1"/>
    <col min="10233" max="10233" width="11" style="101" customWidth="1"/>
    <col min="10234" max="10234" width="10.42578125" style="101" customWidth="1"/>
    <col min="10235" max="10235" width="11.28515625" style="101" customWidth="1"/>
    <col min="10236" max="10237" width="9.140625" style="101" bestFit="1" customWidth="1"/>
    <col min="10238" max="10239" width="11.140625" style="101" bestFit="1" customWidth="1"/>
    <col min="10240" max="10240" width="11.5703125" style="101" bestFit="1" customWidth="1"/>
    <col min="10241" max="10241" width="9.140625" style="101" bestFit="1" customWidth="1"/>
    <col min="10242" max="10242" width="10.28515625" style="101" customWidth="1"/>
    <col min="10243" max="10481" width="9.140625" style="101" customWidth="1"/>
    <col min="10482" max="10482" width="4.28515625" style="101" bestFit="1" customWidth="1"/>
    <col min="10483" max="10483" width="6.85546875" style="101" bestFit="1" customWidth="1"/>
    <col min="10484" max="10484" width="11" style="101" customWidth="1"/>
    <col min="10485" max="10485" width="11.140625" style="101" bestFit="1" customWidth="1"/>
    <col min="10486" max="10486" width="10.85546875" style="101" customWidth="1"/>
    <col min="10487" max="10487" width="11.5703125" style="101" customWidth="1"/>
    <col min="10488" max="10488" width="11.140625" style="101" bestFit="1" customWidth="1"/>
    <col min="10489" max="10489" width="11" style="101" customWidth="1"/>
    <col min="10490" max="10490" width="10.42578125" style="101" customWidth="1"/>
    <col min="10491" max="10491" width="11.28515625" style="101" customWidth="1"/>
    <col min="10492" max="10493" width="9.140625" style="101" bestFit="1" customWidth="1"/>
    <col min="10494" max="10495" width="11.140625" style="101" bestFit="1" customWidth="1"/>
    <col min="10496" max="10496" width="11.5703125" style="101" bestFit="1" customWidth="1"/>
    <col min="10497" max="10497" width="9.140625" style="101" bestFit="1" customWidth="1"/>
    <col min="10498" max="10498" width="10.28515625" style="101" customWidth="1"/>
    <col min="10499" max="10737" width="9.140625" style="101" customWidth="1"/>
    <col min="10738" max="10738" width="4.28515625" style="101" bestFit="1" customWidth="1"/>
    <col min="10739" max="10739" width="6.85546875" style="101" bestFit="1" customWidth="1"/>
    <col min="10740" max="10740" width="11" style="101" customWidth="1"/>
    <col min="10741" max="10741" width="11.140625" style="101" bestFit="1" customWidth="1"/>
    <col min="10742" max="10742" width="10.85546875" style="101" customWidth="1"/>
    <col min="10743" max="10743" width="11.5703125" style="101" customWidth="1"/>
    <col min="10744" max="10744" width="11.140625" style="101" bestFit="1" customWidth="1"/>
    <col min="10745" max="10745" width="11" style="101" customWidth="1"/>
    <col min="10746" max="10746" width="10.42578125" style="101" customWidth="1"/>
    <col min="10747" max="10747" width="11.28515625" style="101" customWidth="1"/>
    <col min="10748" max="10749" width="9.140625" style="101" bestFit="1" customWidth="1"/>
    <col min="10750" max="10751" width="11.140625" style="101" bestFit="1" customWidth="1"/>
    <col min="10752" max="10752" width="11.5703125" style="101" bestFit="1" customWidth="1"/>
    <col min="10753" max="10753" width="9.140625" style="101" bestFit="1" customWidth="1"/>
    <col min="10754" max="10754" width="10.28515625" style="101" customWidth="1"/>
    <col min="10755" max="10993" width="9.140625" style="101" customWidth="1"/>
    <col min="10994" max="10994" width="4.28515625" style="101" bestFit="1" customWidth="1"/>
    <col min="10995" max="10995" width="6.85546875" style="101" bestFit="1" customWidth="1"/>
    <col min="10996" max="10996" width="11" style="101" customWidth="1"/>
    <col min="10997" max="10997" width="11.140625" style="101" bestFit="1" customWidth="1"/>
    <col min="10998" max="10998" width="10.85546875" style="101" customWidth="1"/>
    <col min="10999" max="10999" width="11.5703125" style="101" customWidth="1"/>
    <col min="11000" max="11000" width="11.140625" style="101" bestFit="1" customWidth="1"/>
    <col min="11001" max="11001" width="11" style="101" customWidth="1"/>
    <col min="11002" max="11002" width="10.42578125" style="101" customWidth="1"/>
    <col min="11003" max="11003" width="11.28515625" style="101" customWidth="1"/>
    <col min="11004" max="11005" width="9.140625" style="101" bestFit="1" customWidth="1"/>
    <col min="11006" max="11007" width="11.140625" style="101" bestFit="1" customWidth="1"/>
    <col min="11008" max="11008" width="11.5703125" style="101" bestFit="1" customWidth="1"/>
    <col min="11009" max="11009" width="9.140625" style="101" bestFit="1" customWidth="1"/>
    <col min="11010" max="11010" width="10.28515625" style="101" customWidth="1"/>
    <col min="11011" max="11249" width="9.140625" style="101" customWidth="1"/>
    <col min="11250" max="11250" width="4.28515625" style="101" bestFit="1" customWidth="1"/>
    <col min="11251" max="11251" width="6.85546875" style="101" bestFit="1" customWidth="1"/>
    <col min="11252" max="11252" width="11" style="101" customWidth="1"/>
    <col min="11253" max="11253" width="11.140625" style="101" bestFit="1" customWidth="1"/>
    <col min="11254" max="11254" width="10.85546875" style="101" customWidth="1"/>
    <col min="11255" max="11255" width="11.5703125" style="101" customWidth="1"/>
    <col min="11256" max="11256" width="11.140625" style="101" bestFit="1" customWidth="1"/>
    <col min="11257" max="11257" width="11" style="101" customWidth="1"/>
    <col min="11258" max="11258" width="10.42578125" style="101" customWidth="1"/>
    <col min="11259" max="11259" width="11.28515625" style="101" customWidth="1"/>
    <col min="11260" max="11261" width="9.140625" style="101" bestFit="1" customWidth="1"/>
    <col min="11262" max="11263" width="11.140625" style="101" bestFit="1" customWidth="1"/>
    <col min="11264" max="11264" width="11.5703125" style="101" bestFit="1" customWidth="1"/>
    <col min="11265" max="11265" width="9.140625" style="101" bestFit="1" customWidth="1"/>
    <col min="11266" max="11266" width="10.28515625" style="101" customWidth="1"/>
    <col min="11267" max="11505" width="9.140625" style="101" customWidth="1"/>
    <col min="11506" max="11506" width="4.28515625" style="101" bestFit="1" customWidth="1"/>
    <col min="11507" max="11507" width="6.85546875" style="101" bestFit="1" customWidth="1"/>
    <col min="11508" max="11508" width="11" style="101" customWidth="1"/>
    <col min="11509" max="11509" width="11.140625" style="101" bestFit="1" customWidth="1"/>
    <col min="11510" max="11510" width="10.85546875" style="101" customWidth="1"/>
    <col min="11511" max="11511" width="11.5703125" style="101" customWidth="1"/>
    <col min="11512" max="11512" width="11.140625" style="101" bestFit="1" customWidth="1"/>
    <col min="11513" max="11513" width="11" style="101" customWidth="1"/>
    <col min="11514" max="11514" width="10.42578125" style="101" customWidth="1"/>
    <col min="11515" max="11515" width="11.28515625" style="101" customWidth="1"/>
    <col min="11516" max="11517" width="9.140625" style="101" bestFit="1" customWidth="1"/>
    <col min="11518" max="11519" width="11.140625" style="101" bestFit="1" customWidth="1"/>
    <col min="11520" max="11520" width="11.5703125" style="101" bestFit="1" customWidth="1"/>
    <col min="11521" max="11521" width="9.140625" style="101" bestFit="1" customWidth="1"/>
    <col min="11522" max="11522" width="10.28515625" style="101" customWidth="1"/>
    <col min="11523" max="11761" width="9.140625" style="101" customWidth="1"/>
    <col min="11762" max="11762" width="4.28515625" style="101" bestFit="1" customWidth="1"/>
    <col min="11763" max="11763" width="6.85546875" style="101" bestFit="1" customWidth="1"/>
    <col min="11764" max="11764" width="11" style="101" customWidth="1"/>
    <col min="11765" max="11765" width="11.140625" style="101" bestFit="1" customWidth="1"/>
    <col min="11766" max="11766" width="10.85546875" style="101" customWidth="1"/>
    <col min="11767" max="11767" width="11.5703125" style="101" customWidth="1"/>
    <col min="11768" max="11768" width="11.140625" style="101" bestFit="1" customWidth="1"/>
    <col min="11769" max="11769" width="11" style="101" customWidth="1"/>
    <col min="11770" max="11770" width="10.42578125" style="101" customWidth="1"/>
    <col min="11771" max="11771" width="11.28515625" style="101" customWidth="1"/>
    <col min="11772" max="11773" width="9.140625" style="101" bestFit="1" customWidth="1"/>
    <col min="11774" max="11775" width="11.140625" style="101" bestFit="1" customWidth="1"/>
    <col min="11776" max="11776" width="11.5703125" style="101" bestFit="1" customWidth="1"/>
    <col min="11777" max="11777" width="9.140625" style="101" bestFit="1" customWidth="1"/>
    <col min="11778" max="11778" width="10.28515625" style="101" customWidth="1"/>
    <col min="11779" max="12017" width="9.140625" style="101" customWidth="1"/>
    <col min="12018" max="12018" width="4.28515625" style="101" bestFit="1" customWidth="1"/>
    <col min="12019" max="12019" width="6.85546875" style="101" bestFit="1" customWidth="1"/>
    <col min="12020" max="12020" width="11" style="101" customWidth="1"/>
    <col min="12021" max="12021" width="11.140625" style="101" bestFit="1" customWidth="1"/>
    <col min="12022" max="12022" width="10.85546875" style="101" customWidth="1"/>
    <col min="12023" max="12023" width="11.5703125" style="101" customWidth="1"/>
    <col min="12024" max="12024" width="11.140625" style="101" bestFit="1" customWidth="1"/>
    <col min="12025" max="12025" width="11" style="101" customWidth="1"/>
    <col min="12026" max="12026" width="10.42578125" style="101" customWidth="1"/>
    <col min="12027" max="12027" width="11.28515625" style="101" customWidth="1"/>
    <col min="12028" max="12029" width="9.140625" style="101" bestFit="1" customWidth="1"/>
    <col min="12030" max="12031" width="11.140625" style="101" bestFit="1" customWidth="1"/>
    <col min="12032" max="12032" width="11.5703125" style="101" bestFit="1" customWidth="1"/>
    <col min="12033" max="12033" width="9.140625" style="101" bestFit="1" customWidth="1"/>
    <col min="12034" max="12034" width="10.28515625" style="101" customWidth="1"/>
    <col min="12035" max="12273" width="9.140625" style="101" customWidth="1"/>
    <col min="12274" max="12274" width="4.28515625" style="101" bestFit="1" customWidth="1"/>
    <col min="12275" max="12275" width="6.85546875" style="101" bestFit="1" customWidth="1"/>
    <col min="12276" max="12276" width="11" style="101" customWidth="1"/>
    <col min="12277" max="12277" width="11.140625" style="101" bestFit="1" customWidth="1"/>
    <col min="12278" max="12278" width="10.85546875" style="101" customWidth="1"/>
    <col min="12279" max="12279" width="11.5703125" style="101" customWidth="1"/>
    <col min="12280" max="12280" width="11.140625" style="101" bestFit="1" customWidth="1"/>
    <col min="12281" max="12281" width="11" style="101" customWidth="1"/>
    <col min="12282" max="12282" width="10.42578125" style="101" customWidth="1"/>
    <col min="12283" max="12283" width="11.28515625" style="101" customWidth="1"/>
    <col min="12284" max="12285" width="9.140625" style="101" bestFit="1" customWidth="1"/>
    <col min="12286" max="12287" width="11.140625" style="101" bestFit="1" customWidth="1"/>
    <col min="12288" max="12288" width="11.5703125" style="101" bestFit="1" customWidth="1"/>
    <col min="12289" max="12289" width="9.140625" style="101" bestFit="1" customWidth="1"/>
    <col min="12290" max="12290" width="10.28515625" style="101" customWidth="1"/>
    <col min="12291" max="12529" width="9.140625" style="101" customWidth="1"/>
    <col min="12530" max="12530" width="4.28515625" style="101" bestFit="1" customWidth="1"/>
    <col min="12531" max="12531" width="6.85546875" style="101" bestFit="1" customWidth="1"/>
    <col min="12532" max="12532" width="11" style="101" customWidth="1"/>
    <col min="12533" max="12533" width="11.140625" style="101" bestFit="1" customWidth="1"/>
    <col min="12534" max="12534" width="10.85546875" style="101" customWidth="1"/>
    <col min="12535" max="12535" width="11.5703125" style="101" customWidth="1"/>
    <col min="12536" max="12536" width="11.140625" style="101" bestFit="1" customWidth="1"/>
    <col min="12537" max="12537" width="11" style="101" customWidth="1"/>
    <col min="12538" max="12538" width="10.42578125" style="101" customWidth="1"/>
    <col min="12539" max="12539" width="11.28515625" style="101" customWidth="1"/>
    <col min="12540" max="12541" width="9.140625" style="101" bestFit="1" customWidth="1"/>
    <col min="12542" max="12543" width="11.140625" style="101" bestFit="1" customWidth="1"/>
    <col min="12544" max="12544" width="11.5703125" style="101" bestFit="1" customWidth="1"/>
    <col min="12545" max="12545" width="9.140625" style="101" bestFit="1" customWidth="1"/>
    <col min="12546" max="12546" width="10.28515625" style="101" customWidth="1"/>
    <col min="12547" max="12785" width="9.140625" style="101" customWidth="1"/>
    <col min="12786" max="12786" width="4.28515625" style="101" bestFit="1" customWidth="1"/>
    <col min="12787" max="12787" width="6.85546875" style="101" bestFit="1" customWidth="1"/>
    <col min="12788" max="12788" width="11" style="101" customWidth="1"/>
    <col min="12789" max="12789" width="11.140625" style="101" bestFit="1" customWidth="1"/>
    <col min="12790" max="12790" width="10.85546875" style="101" customWidth="1"/>
    <col min="12791" max="12791" width="11.5703125" style="101" customWidth="1"/>
    <col min="12792" max="12792" width="11.140625" style="101" bestFit="1" customWidth="1"/>
    <col min="12793" max="12793" width="11" style="101" customWidth="1"/>
    <col min="12794" max="12794" width="10.42578125" style="101" customWidth="1"/>
    <col min="12795" max="12795" width="11.28515625" style="101" customWidth="1"/>
    <col min="12796" max="12797" width="9.140625" style="101" bestFit="1" customWidth="1"/>
    <col min="12798" max="12799" width="11.140625" style="101" bestFit="1" customWidth="1"/>
    <col min="12800" max="12800" width="11.5703125" style="101" bestFit="1" customWidth="1"/>
    <col min="12801" max="12801" width="9.140625" style="101" bestFit="1" customWidth="1"/>
    <col min="12802" max="12802" width="10.28515625" style="101" customWidth="1"/>
    <col min="12803" max="13041" width="9.140625" style="101" customWidth="1"/>
    <col min="13042" max="13042" width="4.28515625" style="101" bestFit="1" customWidth="1"/>
    <col min="13043" max="13043" width="6.85546875" style="101" bestFit="1" customWidth="1"/>
    <col min="13044" max="13044" width="11" style="101" customWidth="1"/>
    <col min="13045" max="13045" width="11.140625" style="101" bestFit="1" customWidth="1"/>
    <col min="13046" max="13046" width="10.85546875" style="101" customWidth="1"/>
    <col min="13047" max="13047" width="11.5703125" style="101" customWidth="1"/>
    <col min="13048" max="13048" width="11.140625" style="101" bestFit="1" customWidth="1"/>
    <col min="13049" max="13049" width="11" style="101" customWidth="1"/>
    <col min="13050" max="13050" width="10.42578125" style="101" customWidth="1"/>
    <col min="13051" max="13051" width="11.28515625" style="101" customWidth="1"/>
    <col min="13052" max="13053" width="9.140625" style="101" bestFit="1" customWidth="1"/>
    <col min="13054" max="13055" width="11.140625" style="101" bestFit="1" customWidth="1"/>
    <col min="13056" max="13056" width="11.5703125" style="101" bestFit="1" customWidth="1"/>
    <col min="13057" max="13057" width="9.140625" style="101" bestFit="1" customWidth="1"/>
    <col min="13058" max="13058" width="10.28515625" style="101" customWidth="1"/>
    <col min="13059" max="13297" width="9.140625" style="101" customWidth="1"/>
    <col min="13298" max="13298" width="4.28515625" style="101" bestFit="1" customWidth="1"/>
    <col min="13299" max="13299" width="6.85546875" style="101" bestFit="1" customWidth="1"/>
    <col min="13300" max="13300" width="11" style="101" customWidth="1"/>
    <col min="13301" max="13301" width="11.140625" style="101" bestFit="1" customWidth="1"/>
    <col min="13302" max="13302" width="10.85546875" style="101" customWidth="1"/>
    <col min="13303" max="13303" width="11.5703125" style="101" customWidth="1"/>
    <col min="13304" max="13304" width="11.140625" style="101" bestFit="1" customWidth="1"/>
    <col min="13305" max="13305" width="11" style="101" customWidth="1"/>
    <col min="13306" max="13306" width="10.42578125" style="101" customWidth="1"/>
    <col min="13307" max="13307" width="11.28515625" style="101" customWidth="1"/>
    <col min="13308" max="13309" width="9.140625" style="101" bestFit="1" customWidth="1"/>
    <col min="13310" max="13311" width="11.140625" style="101" bestFit="1" customWidth="1"/>
    <col min="13312" max="13312" width="11.5703125" style="101" bestFit="1" customWidth="1"/>
    <col min="13313" max="13313" width="9.140625" style="101" bestFit="1" customWidth="1"/>
    <col min="13314" max="13314" width="10.28515625" style="101" customWidth="1"/>
    <col min="13315" max="13553" width="9.140625" style="101" customWidth="1"/>
    <col min="13554" max="13554" width="4.28515625" style="101" bestFit="1" customWidth="1"/>
    <col min="13555" max="13555" width="6.85546875" style="101" bestFit="1" customWidth="1"/>
    <col min="13556" max="13556" width="11" style="101" customWidth="1"/>
    <col min="13557" max="13557" width="11.140625" style="101" bestFit="1" customWidth="1"/>
    <col min="13558" max="13558" width="10.85546875" style="101" customWidth="1"/>
    <col min="13559" max="13559" width="11.5703125" style="101" customWidth="1"/>
    <col min="13560" max="13560" width="11.140625" style="101" bestFit="1" customWidth="1"/>
    <col min="13561" max="13561" width="11" style="101" customWidth="1"/>
    <col min="13562" max="13562" width="10.42578125" style="101" customWidth="1"/>
    <col min="13563" max="13563" width="11.28515625" style="101" customWidth="1"/>
    <col min="13564" max="13565" width="9.140625" style="101" bestFit="1" customWidth="1"/>
    <col min="13566" max="13567" width="11.140625" style="101" bestFit="1" customWidth="1"/>
    <col min="13568" max="13568" width="11.5703125" style="101" bestFit="1" customWidth="1"/>
    <col min="13569" max="13569" width="9.140625" style="101" bestFit="1" customWidth="1"/>
    <col min="13570" max="13570" width="10.28515625" style="101" customWidth="1"/>
    <col min="13571" max="13809" width="9.140625" style="101" customWidth="1"/>
    <col min="13810" max="13810" width="4.28515625" style="101" bestFit="1" customWidth="1"/>
    <col min="13811" max="13811" width="6.85546875" style="101" bestFit="1" customWidth="1"/>
    <col min="13812" max="13812" width="11" style="101" customWidth="1"/>
    <col min="13813" max="13813" width="11.140625" style="101" bestFit="1" customWidth="1"/>
    <col min="13814" max="13814" width="10.85546875" style="101" customWidth="1"/>
    <col min="13815" max="13815" width="11.5703125" style="101" customWidth="1"/>
    <col min="13816" max="13816" width="11.140625" style="101" bestFit="1" customWidth="1"/>
    <col min="13817" max="13817" width="11" style="101" customWidth="1"/>
    <col min="13818" max="13818" width="10.42578125" style="101" customWidth="1"/>
    <col min="13819" max="13819" width="11.28515625" style="101" customWidth="1"/>
    <col min="13820" max="13821" width="9.140625" style="101" bestFit="1" customWidth="1"/>
    <col min="13822" max="13823" width="11.140625" style="101" bestFit="1" customWidth="1"/>
    <col min="13824" max="13824" width="11.5703125" style="101" bestFit="1" customWidth="1"/>
    <col min="13825" max="13825" width="9.140625" style="101" bestFit="1" customWidth="1"/>
    <col min="13826" max="13826" width="10.28515625" style="101" customWidth="1"/>
    <col min="13827" max="14065" width="9.140625" style="101" customWidth="1"/>
    <col min="14066" max="14066" width="4.28515625" style="101" bestFit="1" customWidth="1"/>
    <col min="14067" max="14067" width="6.85546875" style="101" bestFit="1" customWidth="1"/>
    <col min="14068" max="14068" width="11" style="101" customWidth="1"/>
    <col min="14069" max="14069" width="11.140625" style="101" bestFit="1" customWidth="1"/>
    <col min="14070" max="14070" width="10.85546875" style="101" customWidth="1"/>
    <col min="14071" max="14071" width="11.5703125" style="101" customWidth="1"/>
    <col min="14072" max="14072" width="11.140625" style="101" bestFit="1" customWidth="1"/>
    <col min="14073" max="14073" width="11" style="101" customWidth="1"/>
    <col min="14074" max="14074" width="10.42578125" style="101" customWidth="1"/>
    <col min="14075" max="14075" width="11.28515625" style="101" customWidth="1"/>
    <col min="14076" max="14077" width="9.140625" style="101" bestFit="1" customWidth="1"/>
    <col min="14078" max="14079" width="11.140625" style="101" bestFit="1" customWidth="1"/>
    <col min="14080" max="14080" width="11.5703125" style="101" bestFit="1" customWidth="1"/>
    <col min="14081" max="14081" width="9.140625" style="101" bestFit="1" customWidth="1"/>
    <col min="14082" max="14082" width="10.28515625" style="101" customWidth="1"/>
    <col min="14083" max="14321" width="9.140625" style="101" customWidth="1"/>
    <col min="14322" max="14322" width="4.28515625" style="101" bestFit="1" customWidth="1"/>
    <col min="14323" max="14323" width="6.85546875" style="101" bestFit="1" customWidth="1"/>
    <col min="14324" max="14324" width="11" style="101" customWidth="1"/>
    <col min="14325" max="14325" width="11.140625" style="101" bestFit="1" customWidth="1"/>
    <col min="14326" max="14326" width="10.85546875" style="101" customWidth="1"/>
    <col min="14327" max="14327" width="11.5703125" style="101" customWidth="1"/>
    <col min="14328" max="14328" width="11.140625" style="101" bestFit="1" customWidth="1"/>
    <col min="14329" max="14329" width="11" style="101" customWidth="1"/>
    <col min="14330" max="14330" width="10.42578125" style="101" customWidth="1"/>
    <col min="14331" max="14331" width="11.28515625" style="101" customWidth="1"/>
    <col min="14332" max="14333" width="9.140625" style="101" bestFit="1" customWidth="1"/>
    <col min="14334" max="14335" width="11.140625" style="101" bestFit="1" customWidth="1"/>
    <col min="14336" max="14336" width="11.5703125" style="101" bestFit="1" customWidth="1"/>
    <col min="14337" max="14337" width="9.140625" style="101" bestFit="1" customWidth="1"/>
    <col min="14338" max="14338" width="10.28515625" style="101" customWidth="1"/>
    <col min="14339" max="14577" width="9.140625" style="101" customWidth="1"/>
    <col min="14578" max="14578" width="4.28515625" style="101" bestFit="1" customWidth="1"/>
    <col min="14579" max="14579" width="6.85546875" style="101" bestFit="1" customWidth="1"/>
    <col min="14580" max="14580" width="11" style="101" customWidth="1"/>
    <col min="14581" max="14581" width="11.140625" style="101" bestFit="1" customWidth="1"/>
    <col min="14582" max="14582" width="10.85546875" style="101" customWidth="1"/>
    <col min="14583" max="14583" width="11.5703125" style="101" customWidth="1"/>
    <col min="14584" max="14584" width="11.140625" style="101" bestFit="1" customWidth="1"/>
    <col min="14585" max="14585" width="11" style="101" customWidth="1"/>
    <col min="14586" max="14586" width="10.42578125" style="101" customWidth="1"/>
    <col min="14587" max="14587" width="11.28515625" style="101" customWidth="1"/>
    <col min="14588" max="14589" width="9.140625" style="101" bestFit="1" customWidth="1"/>
    <col min="14590" max="14591" width="11.140625" style="101" bestFit="1" customWidth="1"/>
    <col min="14592" max="14592" width="11.5703125" style="101" bestFit="1" customWidth="1"/>
    <col min="14593" max="14593" width="9.140625" style="101" bestFit="1" customWidth="1"/>
    <col min="14594" max="14594" width="10.28515625" style="101" customWidth="1"/>
    <col min="14595" max="14833" width="9.140625" style="101" customWidth="1"/>
    <col min="14834" max="14834" width="4.28515625" style="101" bestFit="1" customWidth="1"/>
    <col min="14835" max="14835" width="6.85546875" style="101" bestFit="1" customWidth="1"/>
    <col min="14836" max="14836" width="11" style="101" customWidth="1"/>
    <col min="14837" max="14837" width="11.140625" style="101" bestFit="1" customWidth="1"/>
    <col min="14838" max="14838" width="10.85546875" style="101" customWidth="1"/>
    <col min="14839" max="14839" width="11.5703125" style="101" customWidth="1"/>
    <col min="14840" max="14840" width="11.140625" style="101" bestFit="1" customWidth="1"/>
    <col min="14841" max="14841" width="11" style="101" customWidth="1"/>
    <col min="14842" max="14842" width="10.42578125" style="101" customWidth="1"/>
    <col min="14843" max="14843" width="11.28515625" style="101" customWidth="1"/>
    <col min="14844" max="14845" width="9.140625" style="101" bestFit="1" customWidth="1"/>
    <col min="14846" max="14847" width="11.140625" style="101" bestFit="1" customWidth="1"/>
    <col min="14848" max="14848" width="11.5703125" style="101" bestFit="1" customWidth="1"/>
    <col min="14849" max="14849" width="9.140625" style="101" bestFit="1" customWidth="1"/>
    <col min="14850" max="14850" width="10.28515625" style="101" customWidth="1"/>
    <col min="14851" max="15089" width="9.140625" style="101" customWidth="1"/>
    <col min="15090" max="15090" width="4.28515625" style="101" bestFit="1" customWidth="1"/>
    <col min="15091" max="15091" width="6.85546875" style="101" bestFit="1" customWidth="1"/>
    <col min="15092" max="15092" width="11" style="101" customWidth="1"/>
    <col min="15093" max="15093" width="11.140625" style="101" bestFit="1" customWidth="1"/>
    <col min="15094" max="15094" width="10.85546875" style="101" customWidth="1"/>
    <col min="15095" max="15095" width="11.5703125" style="101" customWidth="1"/>
    <col min="15096" max="15096" width="11.140625" style="101" bestFit="1" customWidth="1"/>
    <col min="15097" max="15097" width="11" style="101" customWidth="1"/>
    <col min="15098" max="15098" width="10.42578125" style="101" customWidth="1"/>
    <col min="15099" max="15099" width="11.28515625" style="101" customWidth="1"/>
    <col min="15100" max="15101" width="9.140625" style="101" bestFit="1" customWidth="1"/>
    <col min="15102" max="15103" width="11.140625" style="101" bestFit="1" customWidth="1"/>
    <col min="15104" max="15104" width="11.5703125" style="101" bestFit="1" customWidth="1"/>
    <col min="15105" max="15105" width="9.140625" style="101" bestFit="1" customWidth="1"/>
    <col min="15106" max="15106" width="10.28515625" style="101" customWidth="1"/>
    <col min="15107" max="15345" width="9.140625" style="101" customWidth="1"/>
    <col min="15346" max="15346" width="4.28515625" style="101" bestFit="1" customWidth="1"/>
    <col min="15347" max="15347" width="6.85546875" style="101" bestFit="1" customWidth="1"/>
    <col min="15348" max="15348" width="11" style="101" customWidth="1"/>
    <col min="15349" max="15349" width="11.140625" style="101" bestFit="1" customWidth="1"/>
    <col min="15350" max="15350" width="10.85546875" style="101" customWidth="1"/>
    <col min="15351" max="15351" width="11.5703125" style="101" customWidth="1"/>
    <col min="15352" max="15352" width="11.140625" style="101" bestFit="1" customWidth="1"/>
    <col min="15353" max="15353" width="11" style="101" customWidth="1"/>
    <col min="15354" max="15354" width="10.42578125" style="101" customWidth="1"/>
    <col min="15355" max="15355" width="11.28515625" style="101" customWidth="1"/>
    <col min="15356" max="15357" width="9.140625" style="101" bestFit="1" customWidth="1"/>
    <col min="15358" max="15359" width="11.140625" style="101" bestFit="1" customWidth="1"/>
    <col min="15360" max="15360" width="11.5703125" style="101" bestFit="1" customWidth="1"/>
    <col min="15361" max="15361" width="9.140625" style="101" bestFit="1" customWidth="1"/>
    <col min="15362" max="15362" width="10.28515625" style="101" customWidth="1"/>
    <col min="15363" max="15601" width="9.140625" style="101" customWidth="1"/>
    <col min="15602" max="15602" width="4.28515625" style="101" bestFit="1" customWidth="1"/>
    <col min="15603" max="15603" width="6.85546875" style="101" bestFit="1" customWidth="1"/>
    <col min="15604" max="15604" width="11" style="101" customWidth="1"/>
    <col min="15605" max="15605" width="11.140625" style="101" bestFit="1" customWidth="1"/>
    <col min="15606" max="15606" width="10.85546875" style="101" customWidth="1"/>
    <col min="15607" max="15607" width="11.5703125" style="101" customWidth="1"/>
    <col min="15608" max="15608" width="11.140625" style="101" bestFit="1" customWidth="1"/>
    <col min="15609" max="15609" width="11" style="101" customWidth="1"/>
    <col min="15610" max="15610" width="10.42578125" style="101" customWidth="1"/>
    <col min="15611" max="15611" width="11.28515625" style="101" customWidth="1"/>
    <col min="15612" max="15613" width="9.140625" style="101" bestFit="1" customWidth="1"/>
    <col min="15614" max="15615" width="11.140625" style="101" bestFit="1" customWidth="1"/>
    <col min="15616" max="15616" width="11.5703125" style="101" bestFit="1" customWidth="1"/>
    <col min="15617" max="15617" width="9.140625" style="101" bestFit="1" customWidth="1"/>
    <col min="15618" max="15618" width="10.28515625" style="101" customWidth="1"/>
    <col min="15619" max="15857" width="9.140625" style="101" customWidth="1"/>
    <col min="15858" max="15858" width="4.28515625" style="101" bestFit="1" customWidth="1"/>
    <col min="15859" max="15859" width="6.85546875" style="101" bestFit="1" customWidth="1"/>
    <col min="15860" max="15860" width="11" style="101" customWidth="1"/>
    <col min="15861" max="15861" width="11.140625" style="101" bestFit="1" customWidth="1"/>
    <col min="15862" max="15862" width="10.85546875" style="101" customWidth="1"/>
    <col min="15863" max="15863" width="11.5703125" style="101" customWidth="1"/>
    <col min="15864" max="15864" width="11.140625" style="101" bestFit="1" customWidth="1"/>
    <col min="15865" max="15865" width="11" style="101" customWidth="1"/>
    <col min="15866" max="15866" width="10.42578125" style="101" customWidth="1"/>
    <col min="15867" max="15867" width="11.28515625" style="101" customWidth="1"/>
    <col min="15868" max="15869" width="9.140625" style="101" bestFit="1" customWidth="1"/>
    <col min="15870" max="15871" width="11.140625" style="101" bestFit="1" customWidth="1"/>
    <col min="15872" max="15872" width="11.5703125" style="101" bestFit="1" customWidth="1"/>
    <col min="15873" max="15873" width="9.140625" style="101" bestFit="1" customWidth="1"/>
    <col min="15874" max="15874" width="10.28515625" style="101" customWidth="1"/>
    <col min="15875" max="16113" width="9.140625" style="101" customWidth="1"/>
    <col min="16114" max="16114" width="4.28515625" style="101" bestFit="1" customWidth="1"/>
    <col min="16115" max="16115" width="6.85546875" style="101" bestFit="1" customWidth="1"/>
    <col min="16116" max="16116" width="11" style="101" customWidth="1"/>
    <col min="16117" max="16117" width="11.140625" style="101" bestFit="1" customWidth="1"/>
    <col min="16118" max="16118" width="10.85546875" style="101" customWidth="1"/>
    <col min="16119" max="16119" width="11.5703125" style="101" customWidth="1"/>
    <col min="16120" max="16120" width="11.140625" style="101" bestFit="1" customWidth="1"/>
    <col min="16121" max="16121" width="11" style="101" customWidth="1"/>
    <col min="16122" max="16122" width="10.42578125" style="101" customWidth="1"/>
    <col min="16123" max="16123" width="11.28515625" style="101" customWidth="1"/>
    <col min="16124" max="16125" width="9.140625" style="101" bestFit="1" customWidth="1"/>
    <col min="16126" max="16127" width="11.140625" style="101" bestFit="1" customWidth="1"/>
    <col min="16128" max="16128" width="11.5703125" style="101" bestFit="1" customWidth="1"/>
    <col min="16129" max="16129" width="9.140625" style="101" bestFit="1" customWidth="1"/>
    <col min="16130" max="16130" width="10.28515625" style="101" customWidth="1"/>
    <col min="16131" max="16379" width="9.140625" style="101" customWidth="1"/>
    <col min="16380" max="16384" width="9.140625" style="101"/>
  </cols>
  <sheetData>
    <row r="1" spans="1:12" ht="72" customHeight="1">
      <c r="A1" s="2235" t="s">
        <v>169</v>
      </c>
      <c r="B1" s="2235"/>
      <c r="C1" s="2235"/>
      <c r="D1" s="2235"/>
      <c r="E1" s="2235"/>
      <c r="F1" s="2235"/>
      <c r="G1" s="2235"/>
      <c r="H1" s="2235"/>
      <c r="I1" s="2235"/>
      <c r="J1" s="2235"/>
      <c r="K1" s="2235"/>
      <c r="L1" s="2235"/>
    </row>
    <row r="2" spans="1:12" ht="16.5" customHeight="1" thickBot="1">
      <c r="A2" s="100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519" t="s">
        <v>0</v>
      </c>
    </row>
    <row r="3" spans="1:12" s="103" customFormat="1" ht="12.75" customHeight="1" thickBot="1">
      <c r="A3" s="2290" t="s">
        <v>37</v>
      </c>
      <c r="B3" s="2292" t="s">
        <v>3</v>
      </c>
      <c r="C3" s="2292"/>
      <c r="D3" s="2293" t="s">
        <v>4</v>
      </c>
      <c r="E3" s="2294" t="s">
        <v>148</v>
      </c>
      <c r="F3" s="2295" t="s">
        <v>149</v>
      </c>
      <c r="G3" s="2295" t="s">
        <v>38</v>
      </c>
      <c r="H3" s="2295" t="s">
        <v>179</v>
      </c>
      <c r="I3" s="2295" t="s">
        <v>39</v>
      </c>
      <c r="J3" s="2295" t="s">
        <v>178</v>
      </c>
      <c r="K3" s="2295" t="s">
        <v>151</v>
      </c>
      <c r="L3" s="2296" t="s">
        <v>188</v>
      </c>
    </row>
    <row r="4" spans="1:12" s="103" customFormat="1" ht="87.75" customHeight="1" thickBot="1">
      <c r="A4" s="2291"/>
      <c r="B4" s="2236"/>
      <c r="C4" s="2236"/>
      <c r="D4" s="2237"/>
      <c r="E4" s="2238"/>
      <c r="F4" s="2239"/>
      <c r="G4" s="2239"/>
      <c r="H4" s="2239"/>
      <c r="I4" s="2239"/>
      <c r="J4" s="2239"/>
      <c r="K4" s="2239"/>
      <c r="L4" s="2297"/>
    </row>
    <row r="5" spans="1:12" s="104" customFormat="1" ht="12" customHeight="1" thickBot="1">
      <c r="A5" s="338" t="s">
        <v>6</v>
      </c>
      <c r="B5" s="2280" t="s">
        <v>7</v>
      </c>
      <c r="C5" s="2280"/>
      <c r="D5" s="152" t="s">
        <v>8</v>
      </c>
      <c r="E5" s="152" t="s">
        <v>9</v>
      </c>
      <c r="F5" s="152" t="s">
        <v>10</v>
      </c>
      <c r="G5" s="153" t="s">
        <v>11</v>
      </c>
      <c r="H5" s="153" t="s">
        <v>10</v>
      </c>
      <c r="I5" s="153" t="s">
        <v>12</v>
      </c>
      <c r="J5" s="153" t="s">
        <v>11</v>
      </c>
      <c r="K5" s="153" t="s">
        <v>11</v>
      </c>
      <c r="L5" s="339" t="s">
        <v>12</v>
      </c>
    </row>
    <row r="6" spans="1:12" ht="22.5">
      <c r="A6" s="330" t="s">
        <v>69</v>
      </c>
      <c r="B6" s="143"/>
      <c r="C6" s="156" t="s">
        <v>70</v>
      </c>
      <c r="D6" s="143"/>
      <c r="E6" s="145">
        <f>SUM(E7,E55,E25,E40)</f>
        <v>246623</v>
      </c>
      <c r="F6" s="145">
        <f t="shared" ref="F6:H6" si="0">SUM(F7,F55,F25,F40)</f>
        <v>599823</v>
      </c>
      <c r="G6" s="145" t="e">
        <f t="shared" si="0"/>
        <v>#REF!</v>
      </c>
      <c r="H6" s="145">
        <f t="shared" si="0"/>
        <v>274216</v>
      </c>
      <c r="I6" s="146">
        <f>H6/E6</f>
        <v>1.1118833198850067</v>
      </c>
      <c r="J6" s="145">
        <f>J7+J25+J55</f>
        <v>350000</v>
      </c>
      <c r="K6" s="145">
        <f>K7+K25+K55</f>
        <v>624216</v>
      </c>
      <c r="L6" s="331"/>
    </row>
    <row r="7" spans="1:12" ht="12.75" customHeight="1">
      <c r="A7" s="2253"/>
      <c r="B7" s="2231" t="s">
        <v>98</v>
      </c>
      <c r="C7" s="142" t="s">
        <v>99</v>
      </c>
      <c r="D7" s="113"/>
      <c r="E7" s="141">
        <f>SUM(E8,E20)</f>
        <v>204623</v>
      </c>
      <c r="F7" s="141">
        <f>SUM(F8,F20)</f>
        <v>538273</v>
      </c>
      <c r="G7" s="141">
        <f>SUM(G8,G20)</f>
        <v>0</v>
      </c>
      <c r="H7" s="141">
        <f>SUM(H8,H20)</f>
        <v>210216</v>
      </c>
      <c r="I7" s="115">
        <f>H7/E7</f>
        <v>1.0273331932382967</v>
      </c>
      <c r="J7" s="141">
        <f>SUM(J8,J20)</f>
        <v>0</v>
      </c>
      <c r="K7" s="141">
        <f>SUM(K8,K20)</f>
        <v>210216</v>
      </c>
      <c r="L7" s="2281" t="s">
        <v>175</v>
      </c>
    </row>
    <row r="8" spans="1:12" ht="18" customHeight="1">
      <c r="A8" s="2254"/>
      <c r="B8" s="2231"/>
      <c r="C8" s="117" t="s">
        <v>18</v>
      </c>
      <c r="D8" s="111"/>
      <c r="E8" s="118">
        <f>SUM(E9,E15,E16,E17,E18,E19)</f>
        <v>204623</v>
      </c>
      <c r="F8" s="118">
        <f>SUM(F9,F15,F16,F17,F18,F19)</f>
        <v>538273</v>
      </c>
      <c r="G8" s="118">
        <f>SUM(G9,G15,G16,G17,G18,G19)</f>
        <v>0</v>
      </c>
      <c r="H8" s="118">
        <f>SUM(H9,H15,H16,H17,H18,H19)</f>
        <v>210216</v>
      </c>
      <c r="I8" s="119">
        <f>H8/E8</f>
        <v>1.0273331932382967</v>
      </c>
      <c r="J8" s="118"/>
      <c r="K8" s="118">
        <f>K9+K15+K16+K17+K18+K19</f>
        <v>210216</v>
      </c>
      <c r="L8" s="2282"/>
    </row>
    <row r="9" spans="1:12" ht="16.5" customHeight="1">
      <c r="A9" s="2254"/>
      <c r="B9" s="2231"/>
      <c r="C9" s="120" t="s">
        <v>19</v>
      </c>
      <c r="D9" s="121"/>
      <c r="E9" s="122">
        <f>SUM(E10:E11)</f>
        <v>197623</v>
      </c>
      <c r="F9" s="122">
        <f t="shared" ref="F9:G9" si="1">SUM(F10:F11)</f>
        <v>531273</v>
      </c>
      <c r="G9" s="122">
        <f t="shared" si="1"/>
        <v>0</v>
      </c>
      <c r="H9" s="122">
        <f>SUM(H10:H11)</f>
        <v>203216</v>
      </c>
      <c r="I9" s="123">
        <f>H9/E9</f>
        <v>1.0283013616836096</v>
      </c>
      <c r="J9" s="122">
        <f>SUM(J10:J13)</f>
        <v>0</v>
      </c>
      <c r="K9" s="122">
        <f>K10+K11</f>
        <v>203216</v>
      </c>
      <c r="L9" s="2282"/>
    </row>
    <row r="10" spans="1:12" ht="14.25" customHeight="1">
      <c r="A10" s="2254"/>
      <c r="B10" s="2231"/>
      <c r="C10" s="120" t="s">
        <v>20</v>
      </c>
      <c r="D10" s="121"/>
      <c r="E10" s="122"/>
      <c r="F10" s="122"/>
      <c r="G10" s="134"/>
      <c r="H10" s="134"/>
      <c r="I10" s="119"/>
      <c r="J10" s="134"/>
      <c r="K10" s="134"/>
      <c r="L10" s="2282"/>
    </row>
    <row r="11" spans="1:12" ht="15" customHeight="1">
      <c r="A11" s="2254"/>
      <c r="B11" s="2231"/>
      <c r="C11" s="2265" t="s">
        <v>21</v>
      </c>
      <c r="D11" s="121" t="s">
        <v>22</v>
      </c>
      <c r="E11" s="122">
        <f>SUM(E12:E14)</f>
        <v>197623</v>
      </c>
      <c r="F11" s="122">
        <f>SUM(F12:F14)</f>
        <v>531273</v>
      </c>
      <c r="G11" s="122">
        <f t="shared" ref="G11" si="2">SUM(G12:G14)</f>
        <v>0</v>
      </c>
      <c r="H11" s="122">
        <f>SUM(H12:H14)</f>
        <v>203216</v>
      </c>
      <c r="I11" s="123">
        <f>H11/E11</f>
        <v>1.0283013616836096</v>
      </c>
      <c r="J11" s="134"/>
      <c r="K11" s="134">
        <f>H11+J11</f>
        <v>203216</v>
      </c>
      <c r="L11" s="2282"/>
    </row>
    <row r="12" spans="1:12" s="226" customFormat="1" ht="12.75" customHeight="1">
      <c r="A12" s="2254"/>
      <c r="B12" s="2231"/>
      <c r="C12" s="2266"/>
      <c r="D12" s="124">
        <v>4210</v>
      </c>
      <c r="E12" s="125">
        <v>15000</v>
      </c>
      <c r="F12" s="125">
        <v>10650</v>
      </c>
      <c r="G12" s="125"/>
      <c r="H12" s="125">
        <v>15000</v>
      </c>
      <c r="I12" s="127">
        <f>H12/E12</f>
        <v>1</v>
      </c>
      <c r="J12" s="126"/>
      <c r="K12" s="126">
        <f>H12+J12</f>
        <v>15000</v>
      </c>
      <c r="L12" s="2282"/>
    </row>
    <row r="13" spans="1:12" ht="12.75" customHeight="1">
      <c r="A13" s="2254"/>
      <c r="B13" s="2231"/>
      <c r="C13" s="2266"/>
      <c r="D13" s="131">
        <v>4300</v>
      </c>
      <c r="E13" s="132">
        <v>163623</v>
      </c>
      <c r="F13" s="132">
        <v>501623</v>
      </c>
      <c r="G13" s="132"/>
      <c r="H13" s="132">
        <v>169216</v>
      </c>
      <c r="I13" s="127">
        <f>H13/E13</f>
        <v>1.0341822359937172</v>
      </c>
      <c r="J13" s="126"/>
      <c r="K13" s="126">
        <f t="shared" ref="K13:K14" si="3">H13+J13</f>
        <v>169216</v>
      </c>
      <c r="L13" s="2282"/>
    </row>
    <row r="14" spans="1:12" ht="12.75" customHeight="1">
      <c r="A14" s="2254"/>
      <c r="B14" s="2231"/>
      <c r="C14" s="2267"/>
      <c r="D14" s="131">
        <v>4390</v>
      </c>
      <c r="E14" s="132">
        <v>19000</v>
      </c>
      <c r="F14" s="132">
        <v>19000</v>
      </c>
      <c r="G14" s="132"/>
      <c r="H14" s="132">
        <v>19000</v>
      </c>
      <c r="I14" s="127">
        <f>H14/E14</f>
        <v>1</v>
      </c>
      <c r="J14" s="126"/>
      <c r="K14" s="126">
        <f t="shared" si="3"/>
        <v>19000</v>
      </c>
      <c r="L14" s="2282"/>
    </row>
    <row r="15" spans="1:12" ht="19.5" customHeight="1">
      <c r="A15" s="2254"/>
      <c r="B15" s="2231"/>
      <c r="C15" s="222" t="s">
        <v>23</v>
      </c>
      <c r="D15" s="129">
        <v>2360</v>
      </c>
      <c r="E15" s="130">
        <v>7000</v>
      </c>
      <c r="F15" s="130">
        <v>7000</v>
      </c>
      <c r="G15" s="130"/>
      <c r="H15" s="130">
        <v>7000</v>
      </c>
      <c r="I15" s="123">
        <f>H15/E15</f>
        <v>1</v>
      </c>
      <c r="J15" s="134"/>
      <c r="K15" s="134">
        <f>H15+J15</f>
        <v>7000</v>
      </c>
      <c r="L15" s="2282"/>
    </row>
    <row r="16" spans="1:12" ht="16.5" customHeight="1">
      <c r="A16" s="2254"/>
      <c r="B16" s="2231"/>
      <c r="C16" s="120" t="s">
        <v>24</v>
      </c>
      <c r="D16" s="121"/>
      <c r="E16" s="122"/>
      <c r="F16" s="122"/>
      <c r="G16" s="134"/>
      <c r="H16" s="134"/>
      <c r="I16" s="119"/>
      <c r="J16" s="134"/>
      <c r="K16" s="134"/>
      <c r="L16" s="2282"/>
    </row>
    <row r="17" spans="1:12" ht="22.5">
      <c r="A17" s="2254"/>
      <c r="B17" s="2231"/>
      <c r="C17" s="135" t="s">
        <v>35</v>
      </c>
      <c r="D17" s="129"/>
      <c r="E17" s="130"/>
      <c r="F17" s="130"/>
      <c r="G17" s="134"/>
      <c r="H17" s="134"/>
      <c r="I17" s="119"/>
      <c r="J17" s="134"/>
      <c r="K17" s="134"/>
      <c r="L17" s="2282"/>
    </row>
    <row r="18" spans="1:12" ht="12.75" customHeight="1">
      <c r="A18" s="2254"/>
      <c r="B18" s="2231"/>
      <c r="C18" s="120" t="s">
        <v>26</v>
      </c>
      <c r="D18" s="121"/>
      <c r="E18" s="122"/>
      <c r="F18" s="122"/>
      <c r="G18" s="134"/>
      <c r="H18" s="134"/>
      <c r="I18" s="119"/>
      <c r="J18" s="134"/>
      <c r="K18" s="134"/>
      <c r="L18" s="2282"/>
    </row>
    <row r="19" spans="1:12" ht="12.75" customHeight="1">
      <c r="A19" s="2254"/>
      <c r="B19" s="2231"/>
      <c r="C19" s="120" t="s">
        <v>27</v>
      </c>
      <c r="D19" s="121"/>
      <c r="E19" s="122"/>
      <c r="F19" s="122"/>
      <c r="G19" s="134"/>
      <c r="H19" s="134"/>
      <c r="I19" s="119"/>
      <c r="J19" s="134"/>
      <c r="K19" s="134"/>
      <c r="L19" s="2282"/>
    </row>
    <row r="20" spans="1:12" ht="18.75" customHeight="1">
      <c r="A20" s="2254"/>
      <c r="B20" s="2231"/>
      <c r="C20" s="136" t="s">
        <v>28</v>
      </c>
      <c r="D20" s="137"/>
      <c r="E20" s="138">
        <f>SUM(E21,E23,E24)</f>
        <v>0</v>
      </c>
      <c r="F20" s="138">
        <f>SUM(F21,F23,F24)</f>
        <v>0</v>
      </c>
      <c r="G20" s="138">
        <f>SUM(G21,G23,G24)</f>
        <v>0</v>
      </c>
      <c r="H20" s="138">
        <f>SUM(H21,H23,H24)</f>
        <v>0</v>
      </c>
      <c r="I20" s="123"/>
      <c r="J20" s="138">
        <f>SUM(J21,J23,J24)</f>
        <v>0</v>
      </c>
      <c r="K20" s="138">
        <f>SUM(K21,K23,K24)</f>
        <v>0</v>
      </c>
      <c r="L20" s="2282"/>
    </row>
    <row r="21" spans="1:12" ht="12.75" customHeight="1">
      <c r="A21" s="2254"/>
      <c r="B21" s="2231"/>
      <c r="C21" s="120" t="s">
        <v>29</v>
      </c>
      <c r="D21" s="121"/>
      <c r="E21" s="122"/>
      <c r="F21" s="122"/>
      <c r="G21" s="134"/>
      <c r="H21" s="134"/>
      <c r="I21" s="123"/>
      <c r="J21" s="134"/>
      <c r="K21" s="134"/>
      <c r="L21" s="2282"/>
    </row>
    <row r="22" spans="1:12" ht="22.5">
      <c r="A22" s="2254"/>
      <c r="B22" s="2231"/>
      <c r="C22" s="135" t="s">
        <v>87</v>
      </c>
      <c r="D22" s="129"/>
      <c r="E22" s="130"/>
      <c r="F22" s="130"/>
      <c r="G22" s="134"/>
      <c r="H22" s="134"/>
      <c r="I22" s="123"/>
      <c r="J22" s="134"/>
      <c r="K22" s="134"/>
      <c r="L22" s="2282"/>
    </row>
    <row r="23" spans="1:12" ht="12.75" customHeight="1">
      <c r="A23" s="2254"/>
      <c r="B23" s="2231"/>
      <c r="C23" s="120" t="s">
        <v>31</v>
      </c>
      <c r="D23" s="121"/>
      <c r="E23" s="122"/>
      <c r="F23" s="122"/>
      <c r="G23" s="134"/>
      <c r="H23" s="134"/>
      <c r="I23" s="123"/>
      <c r="J23" s="134"/>
      <c r="K23" s="134"/>
      <c r="L23" s="2282"/>
    </row>
    <row r="24" spans="1:12" ht="12.75" customHeight="1">
      <c r="A24" s="2254"/>
      <c r="B24" s="2231"/>
      <c r="C24" s="120" t="s">
        <v>32</v>
      </c>
      <c r="D24" s="121"/>
      <c r="E24" s="122"/>
      <c r="F24" s="122"/>
      <c r="G24" s="118"/>
      <c r="H24" s="118"/>
      <c r="I24" s="123"/>
      <c r="J24" s="118"/>
      <c r="K24" s="118"/>
      <c r="L24" s="2283"/>
    </row>
    <row r="25" spans="1:12" ht="12.75" customHeight="1">
      <c r="A25" s="2254"/>
      <c r="B25" s="2231" t="s">
        <v>127</v>
      </c>
      <c r="C25" s="142" t="s">
        <v>128</v>
      </c>
      <c r="D25" s="113"/>
      <c r="E25" s="141">
        <f>SUM(E26,E35)</f>
        <v>5000</v>
      </c>
      <c r="F25" s="141">
        <f>SUM(F26,F35)</f>
        <v>5000</v>
      </c>
      <c r="G25" s="141" t="e">
        <f>SUM(G26,G35)</f>
        <v>#REF!</v>
      </c>
      <c r="H25" s="141">
        <f>SUM(H26,H35)</f>
        <v>20000</v>
      </c>
      <c r="I25" s="115">
        <f>H25/E25</f>
        <v>4</v>
      </c>
      <c r="J25" s="141">
        <f>SUM(J26,J35)</f>
        <v>200000</v>
      </c>
      <c r="K25" s="141">
        <f>SUM(K26,K35)</f>
        <v>220000</v>
      </c>
      <c r="L25" s="2285" t="s">
        <v>182</v>
      </c>
    </row>
    <row r="26" spans="1:12" ht="12.75" customHeight="1">
      <c r="A26" s="2254"/>
      <c r="B26" s="2231"/>
      <c r="C26" s="117" t="s">
        <v>18</v>
      </c>
      <c r="D26" s="111"/>
      <c r="E26" s="118">
        <f>SUM(E27,E30,E31,E32,E33,E34)</f>
        <v>5000</v>
      </c>
      <c r="F26" s="118">
        <f>SUM(F27,F30,F31,F32,F33,F34)</f>
        <v>5000</v>
      </c>
      <c r="G26" s="118" t="e">
        <f>SUM(G27,G30,G31,G32,G33,G34)</f>
        <v>#REF!</v>
      </c>
      <c r="H26" s="118">
        <f>SUM(H27,H30,H31,H32,H33,H34)</f>
        <v>20000</v>
      </c>
      <c r="I26" s="119">
        <f>H26/E26</f>
        <v>4</v>
      </c>
      <c r="J26" s="118">
        <f>J27+J30+J31+J32+J33+J34</f>
        <v>200000</v>
      </c>
      <c r="K26" s="118">
        <f>K27+K30+K31+K32+K33+K34</f>
        <v>220000</v>
      </c>
      <c r="L26" s="2275"/>
    </row>
    <row r="27" spans="1:12" ht="12.75" customHeight="1">
      <c r="A27" s="2254"/>
      <c r="B27" s="2231"/>
      <c r="C27" s="120" t="s">
        <v>19</v>
      </c>
      <c r="D27" s="121"/>
      <c r="E27" s="122">
        <f>SUM(E28:E29)</f>
        <v>5000</v>
      </c>
      <c r="F27" s="122">
        <f t="shared" ref="F27:H27" si="4">SUM(F28:F29)</f>
        <v>5000</v>
      </c>
      <c r="G27" s="122">
        <f t="shared" si="4"/>
        <v>0</v>
      </c>
      <c r="H27" s="122">
        <f t="shared" si="4"/>
        <v>20000</v>
      </c>
      <c r="I27" s="123">
        <f>H27/E27</f>
        <v>4</v>
      </c>
      <c r="J27" s="122">
        <f>SUM(J28:J29)</f>
        <v>200000</v>
      </c>
      <c r="K27" s="122">
        <f>SUM(K28:K29)</f>
        <v>220000</v>
      </c>
      <c r="L27" s="2275"/>
    </row>
    <row r="28" spans="1:12" ht="15" customHeight="1">
      <c r="A28" s="2254"/>
      <c r="B28" s="2231"/>
      <c r="C28" s="120" t="s">
        <v>20</v>
      </c>
      <c r="D28" s="121"/>
      <c r="E28" s="122"/>
      <c r="F28" s="122"/>
      <c r="G28" s="134"/>
      <c r="H28" s="134"/>
      <c r="I28" s="119"/>
      <c r="J28" s="134"/>
      <c r="K28" s="134"/>
      <c r="L28" s="2275"/>
    </row>
    <row r="29" spans="1:12" ht="15" customHeight="1">
      <c r="A29" s="2254"/>
      <c r="B29" s="2231"/>
      <c r="C29" s="148" t="s">
        <v>21</v>
      </c>
      <c r="D29" s="121">
        <v>4390</v>
      </c>
      <c r="E29" s="122">
        <v>5000</v>
      </c>
      <c r="F29" s="122">
        <v>5000</v>
      </c>
      <c r="G29" s="122"/>
      <c r="H29" s="122">
        <v>20000</v>
      </c>
      <c r="I29" s="127">
        <f t="shared" ref="I29" si="5">H29/E29</f>
        <v>4</v>
      </c>
      <c r="J29" s="134">
        <v>200000</v>
      </c>
      <c r="K29" s="134">
        <f>H29+J29</f>
        <v>220000</v>
      </c>
      <c r="L29" s="2275"/>
    </row>
    <row r="30" spans="1:12" ht="12.75" customHeight="1">
      <c r="A30" s="2254"/>
      <c r="B30" s="2231"/>
      <c r="C30" s="222" t="s">
        <v>23</v>
      </c>
      <c r="D30" s="129"/>
      <c r="E30" s="130"/>
      <c r="F30" s="130"/>
      <c r="G30" s="130" t="e">
        <f>SUM(#REF!)</f>
        <v>#REF!</v>
      </c>
      <c r="H30" s="130"/>
      <c r="I30" s="123"/>
      <c r="J30" s="134"/>
      <c r="K30" s="134"/>
      <c r="L30" s="2275"/>
    </row>
    <row r="31" spans="1:12" ht="12.75" customHeight="1">
      <c r="A31" s="2254"/>
      <c r="B31" s="2231"/>
      <c r="C31" s="120" t="s">
        <v>24</v>
      </c>
      <c r="D31" s="121"/>
      <c r="E31" s="122"/>
      <c r="F31" s="122"/>
      <c r="G31" s="134"/>
      <c r="H31" s="134"/>
      <c r="I31" s="119"/>
      <c r="J31" s="134"/>
      <c r="K31" s="134"/>
      <c r="L31" s="2275"/>
    </row>
    <row r="32" spans="1:12" ht="22.5">
      <c r="A32" s="2254"/>
      <c r="B32" s="2231"/>
      <c r="C32" s="135" t="s">
        <v>35</v>
      </c>
      <c r="D32" s="129"/>
      <c r="E32" s="130"/>
      <c r="F32" s="130"/>
      <c r="G32" s="134"/>
      <c r="H32" s="134"/>
      <c r="I32" s="119"/>
      <c r="J32" s="134"/>
      <c r="K32" s="134"/>
      <c r="L32" s="2275"/>
    </row>
    <row r="33" spans="1:12" ht="12.75" customHeight="1">
      <c r="A33" s="2254"/>
      <c r="B33" s="2231"/>
      <c r="C33" s="120" t="s">
        <v>26</v>
      </c>
      <c r="D33" s="121"/>
      <c r="E33" s="122"/>
      <c r="F33" s="122"/>
      <c r="G33" s="134"/>
      <c r="H33" s="134"/>
      <c r="I33" s="119"/>
      <c r="J33" s="134"/>
      <c r="K33" s="134"/>
      <c r="L33" s="2275"/>
    </row>
    <row r="34" spans="1:12" ht="12.75" customHeight="1">
      <c r="A34" s="2254"/>
      <c r="B34" s="2231"/>
      <c r="C34" s="120" t="s">
        <v>27</v>
      </c>
      <c r="D34" s="121"/>
      <c r="E34" s="122"/>
      <c r="F34" s="122"/>
      <c r="G34" s="134"/>
      <c r="H34" s="134"/>
      <c r="I34" s="119"/>
      <c r="J34" s="134"/>
      <c r="K34" s="134"/>
      <c r="L34" s="2275"/>
    </row>
    <row r="35" spans="1:12" ht="12.75" customHeight="1">
      <c r="A35" s="2254"/>
      <c r="B35" s="2231"/>
      <c r="C35" s="136" t="s">
        <v>28</v>
      </c>
      <c r="D35" s="137"/>
      <c r="E35" s="138">
        <f>SUM(E36,E38,E39)</f>
        <v>0</v>
      </c>
      <c r="F35" s="138">
        <f>SUM(F36,F38,F39)</f>
        <v>0</v>
      </c>
      <c r="G35" s="138">
        <f>SUM(G36,G38,G39)</f>
        <v>0</v>
      </c>
      <c r="H35" s="138">
        <f>SUM(H36,H38,H39)</f>
        <v>0</v>
      </c>
      <c r="I35" s="123"/>
      <c r="J35" s="138">
        <f>SUM(J36,J38,J39)</f>
        <v>0</v>
      </c>
      <c r="K35" s="138">
        <f>SUM(K36,K38,K39)</f>
        <v>0</v>
      </c>
      <c r="L35" s="2275"/>
    </row>
    <row r="36" spans="1:12" ht="12.75" customHeight="1">
      <c r="A36" s="2254"/>
      <c r="B36" s="2231"/>
      <c r="C36" s="120" t="s">
        <v>29</v>
      </c>
      <c r="D36" s="121"/>
      <c r="E36" s="122"/>
      <c r="F36" s="122"/>
      <c r="G36" s="134"/>
      <c r="H36" s="134"/>
      <c r="I36" s="123"/>
      <c r="J36" s="134"/>
      <c r="K36" s="134"/>
      <c r="L36" s="2275"/>
    </row>
    <row r="37" spans="1:12" ht="22.5">
      <c r="A37" s="2254"/>
      <c r="B37" s="2231"/>
      <c r="C37" s="135" t="s">
        <v>87</v>
      </c>
      <c r="D37" s="129"/>
      <c r="E37" s="130"/>
      <c r="F37" s="130"/>
      <c r="G37" s="134"/>
      <c r="H37" s="134"/>
      <c r="I37" s="123"/>
      <c r="J37" s="134"/>
      <c r="K37" s="134"/>
      <c r="L37" s="2275"/>
    </row>
    <row r="38" spans="1:12" ht="12.75" customHeight="1">
      <c r="A38" s="2254"/>
      <c r="B38" s="2231"/>
      <c r="C38" s="120" t="s">
        <v>31</v>
      </c>
      <c r="D38" s="121"/>
      <c r="E38" s="122"/>
      <c r="F38" s="122"/>
      <c r="G38" s="134"/>
      <c r="H38" s="134"/>
      <c r="I38" s="123"/>
      <c r="J38" s="134"/>
      <c r="K38" s="134"/>
      <c r="L38" s="2275"/>
    </row>
    <row r="39" spans="1:12" ht="10.5" customHeight="1">
      <c r="A39" s="2254"/>
      <c r="B39" s="2231"/>
      <c r="C39" s="120" t="s">
        <v>32</v>
      </c>
      <c r="D39" s="121"/>
      <c r="E39" s="122"/>
      <c r="F39" s="122"/>
      <c r="G39" s="118"/>
      <c r="H39" s="118"/>
      <c r="I39" s="123"/>
      <c r="J39" s="118"/>
      <c r="K39" s="118"/>
      <c r="L39" s="2286"/>
    </row>
    <row r="40" spans="1:12" ht="12.75" hidden="1" customHeight="1">
      <c r="A40" s="2254"/>
      <c r="B40" s="2231" t="s">
        <v>146</v>
      </c>
      <c r="C40" s="142"/>
      <c r="D40" s="113"/>
      <c r="E40" s="141">
        <f>SUM(E41,E50)</f>
        <v>0</v>
      </c>
      <c r="F40" s="141">
        <f>SUM(F41,F50)</f>
        <v>0</v>
      </c>
      <c r="G40" s="141" t="e">
        <f>SUM(G41,G50)</f>
        <v>#REF!</v>
      </c>
      <c r="H40" s="141">
        <f>SUM(H41,H50)</f>
        <v>0</v>
      </c>
      <c r="I40" s="115"/>
      <c r="J40" s="141">
        <f>SUM(J41,J50)</f>
        <v>0</v>
      </c>
      <c r="K40" s="141">
        <f>SUM(K41,K50)</f>
        <v>0</v>
      </c>
      <c r="L40" s="2277"/>
    </row>
    <row r="41" spans="1:12" ht="12.75" hidden="1" customHeight="1">
      <c r="A41" s="2254"/>
      <c r="B41" s="2231"/>
      <c r="C41" s="117" t="s">
        <v>18</v>
      </c>
      <c r="D41" s="111"/>
      <c r="E41" s="118">
        <f>SUM(E42,E45,E46,E47,E48,E49)</f>
        <v>0</v>
      </c>
      <c r="F41" s="118">
        <f>SUM(F42,F45,F46,F47,F48,F49)</f>
        <v>0</v>
      </c>
      <c r="G41" s="118" t="e">
        <f>SUM(G42,G45,G46,G47,G48,G49)</f>
        <v>#REF!</v>
      </c>
      <c r="H41" s="118">
        <f>SUM(H42,H45,H46,H47,H48,H49)</f>
        <v>0</v>
      </c>
      <c r="I41" s="119"/>
      <c r="J41" s="118"/>
      <c r="K41" s="118"/>
      <c r="L41" s="2278"/>
    </row>
    <row r="42" spans="1:12" ht="12.75" hidden="1" customHeight="1">
      <c r="A42" s="2254"/>
      <c r="B42" s="2231"/>
      <c r="C42" s="120" t="s">
        <v>19</v>
      </c>
      <c r="D42" s="121"/>
      <c r="E42" s="122"/>
      <c r="F42" s="122"/>
      <c r="G42" s="122">
        <f t="shared" ref="G42" si="6">SUM(G43:G44)</f>
        <v>0</v>
      </c>
      <c r="H42" s="122"/>
      <c r="I42" s="123"/>
      <c r="J42" s="122">
        <f>SUM(J43:J44)</f>
        <v>0</v>
      </c>
      <c r="K42" s="122">
        <f>SUM(K43:K44)</f>
        <v>0</v>
      </c>
      <c r="L42" s="2278"/>
    </row>
    <row r="43" spans="1:12" ht="15" hidden="1" customHeight="1">
      <c r="A43" s="2254"/>
      <c r="B43" s="2231"/>
      <c r="C43" s="120" t="s">
        <v>20</v>
      </c>
      <c r="D43" s="121"/>
      <c r="E43" s="122"/>
      <c r="F43" s="122"/>
      <c r="G43" s="134"/>
      <c r="H43" s="134"/>
      <c r="I43" s="119"/>
      <c r="J43" s="134"/>
      <c r="K43" s="134"/>
      <c r="L43" s="2278"/>
    </row>
    <row r="44" spans="1:12" ht="15" hidden="1" customHeight="1">
      <c r="A44" s="2254"/>
      <c r="B44" s="2231"/>
      <c r="C44" s="148" t="s">
        <v>21</v>
      </c>
      <c r="D44" s="121"/>
      <c r="E44" s="122"/>
      <c r="F44" s="122"/>
      <c r="G44" s="122"/>
      <c r="H44" s="122"/>
      <c r="I44" s="127"/>
      <c r="J44" s="134"/>
      <c r="K44" s="134"/>
      <c r="L44" s="2278"/>
    </row>
    <row r="45" spans="1:12" ht="12.75" hidden="1" customHeight="1">
      <c r="A45" s="2254"/>
      <c r="B45" s="2231"/>
      <c r="C45" s="222" t="s">
        <v>23</v>
      </c>
      <c r="D45" s="129"/>
      <c r="E45" s="130"/>
      <c r="F45" s="130"/>
      <c r="G45" s="130" t="e">
        <f>SUM(#REF!)</f>
        <v>#REF!</v>
      </c>
      <c r="H45" s="130"/>
      <c r="I45" s="123"/>
      <c r="J45" s="134"/>
      <c r="K45" s="134"/>
      <c r="L45" s="2278"/>
    </row>
    <row r="46" spans="1:12" ht="12.75" hidden="1" customHeight="1">
      <c r="A46" s="2254"/>
      <c r="B46" s="2231"/>
      <c r="C46" s="120" t="s">
        <v>24</v>
      </c>
      <c r="D46" s="121"/>
      <c r="E46" s="122"/>
      <c r="F46" s="122"/>
      <c r="G46" s="134"/>
      <c r="H46" s="134"/>
      <c r="I46" s="119"/>
      <c r="J46" s="134"/>
      <c r="K46" s="134"/>
      <c r="L46" s="2278"/>
    </row>
    <row r="47" spans="1:12" ht="22.5" hidden="1" customHeight="1">
      <c r="A47" s="2254"/>
      <c r="B47" s="2231"/>
      <c r="C47" s="135" t="s">
        <v>35</v>
      </c>
      <c r="D47" s="129">
        <v>4307</v>
      </c>
      <c r="E47" s="130"/>
      <c r="F47" s="130"/>
      <c r="G47" s="134"/>
      <c r="H47" s="134"/>
      <c r="I47" s="119"/>
      <c r="J47" s="134"/>
      <c r="K47" s="134"/>
      <c r="L47" s="2278"/>
    </row>
    <row r="48" spans="1:12" ht="12.75" hidden="1" customHeight="1">
      <c r="A48" s="2254"/>
      <c r="B48" s="2231"/>
      <c r="C48" s="120" t="s">
        <v>26</v>
      </c>
      <c r="D48" s="121"/>
      <c r="E48" s="122"/>
      <c r="F48" s="122"/>
      <c r="G48" s="134"/>
      <c r="H48" s="134"/>
      <c r="I48" s="119"/>
      <c r="J48" s="134"/>
      <c r="K48" s="134"/>
      <c r="L48" s="2278"/>
    </row>
    <row r="49" spans="1:12" ht="12.75" hidden="1" customHeight="1">
      <c r="A49" s="2254"/>
      <c r="B49" s="2231"/>
      <c r="C49" s="120" t="s">
        <v>27</v>
      </c>
      <c r="D49" s="121"/>
      <c r="E49" s="122"/>
      <c r="F49" s="122"/>
      <c r="G49" s="134"/>
      <c r="H49" s="134"/>
      <c r="I49" s="119"/>
      <c r="J49" s="134"/>
      <c r="K49" s="134"/>
      <c r="L49" s="2278"/>
    </row>
    <row r="50" spans="1:12" ht="12.75" hidden="1" customHeight="1">
      <c r="A50" s="2254"/>
      <c r="B50" s="2231"/>
      <c r="C50" s="136" t="s">
        <v>28</v>
      </c>
      <c r="D50" s="137"/>
      <c r="E50" s="138">
        <f>SUM(E51,E53,E54)</f>
        <v>0</v>
      </c>
      <c r="F50" s="138">
        <f>SUM(F51,F53,F54)</f>
        <v>0</v>
      </c>
      <c r="G50" s="138">
        <f>SUM(G51,G53,G54)</f>
        <v>0</v>
      </c>
      <c r="H50" s="138">
        <f>SUM(H51,H53,H54)</f>
        <v>0</v>
      </c>
      <c r="I50" s="123"/>
      <c r="J50" s="138">
        <f>SUM(J51,J53,J54)</f>
        <v>0</v>
      </c>
      <c r="K50" s="138">
        <f>SUM(K51,K53,K54)</f>
        <v>0</v>
      </c>
      <c r="L50" s="2278"/>
    </row>
    <row r="51" spans="1:12" ht="12.75" hidden="1" customHeight="1">
      <c r="A51" s="2254"/>
      <c r="B51" s="2231"/>
      <c r="C51" s="120" t="s">
        <v>29</v>
      </c>
      <c r="D51" s="121"/>
      <c r="E51" s="122"/>
      <c r="F51" s="122"/>
      <c r="G51" s="134"/>
      <c r="H51" s="134"/>
      <c r="I51" s="123"/>
      <c r="J51" s="134"/>
      <c r="K51" s="134"/>
      <c r="L51" s="2278"/>
    </row>
    <row r="52" spans="1:12" ht="22.5" hidden="1" customHeight="1">
      <c r="A52" s="2254"/>
      <c r="B52" s="2231"/>
      <c r="C52" s="135" t="s">
        <v>87</v>
      </c>
      <c r="D52" s="129"/>
      <c r="E52" s="130"/>
      <c r="F52" s="130"/>
      <c r="G52" s="134"/>
      <c r="H52" s="134"/>
      <c r="I52" s="123"/>
      <c r="J52" s="134"/>
      <c r="K52" s="134"/>
      <c r="L52" s="2278"/>
    </row>
    <row r="53" spans="1:12" ht="12.75" hidden="1" customHeight="1">
      <c r="A53" s="2254"/>
      <c r="B53" s="2231"/>
      <c r="C53" s="120" t="s">
        <v>31</v>
      </c>
      <c r="D53" s="121"/>
      <c r="E53" s="122"/>
      <c r="F53" s="122"/>
      <c r="G53" s="134"/>
      <c r="H53" s="134"/>
      <c r="I53" s="123"/>
      <c r="J53" s="134"/>
      <c r="K53" s="134"/>
      <c r="L53" s="2278"/>
    </row>
    <row r="54" spans="1:12" ht="12.75" hidden="1" customHeight="1">
      <c r="A54" s="2254"/>
      <c r="B54" s="2231"/>
      <c r="C54" s="120" t="s">
        <v>32</v>
      </c>
      <c r="D54" s="121"/>
      <c r="E54" s="122"/>
      <c r="F54" s="122"/>
      <c r="G54" s="118"/>
      <c r="H54" s="118"/>
      <c r="I54" s="123"/>
      <c r="J54" s="118"/>
      <c r="K54" s="118"/>
      <c r="L54" s="2287"/>
    </row>
    <row r="55" spans="1:12" ht="12.75" customHeight="1">
      <c r="A55" s="2254"/>
      <c r="B55" s="2264" t="s">
        <v>71</v>
      </c>
      <c r="C55" s="112" t="s">
        <v>17</v>
      </c>
      <c r="D55" s="113"/>
      <c r="E55" s="114">
        <f>E56+E68</f>
        <v>37000</v>
      </c>
      <c r="F55" s="114">
        <f>F56+F68</f>
        <v>56550</v>
      </c>
      <c r="G55" s="114">
        <f>G56+G68</f>
        <v>0</v>
      </c>
      <c r="H55" s="114">
        <f>H56+H68</f>
        <v>44000</v>
      </c>
      <c r="I55" s="115">
        <f>H55/E55</f>
        <v>1.1891891891891893</v>
      </c>
      <c r="J55" s="114">
        <f>SUM(J56,J68)</f>
        <v>150000</v>
      </c>
      <c r="K55" s="114">
        <f>SUM(K56,K68)</f>
        <v>194000</v>
      </c>
      <c r="L55" s="2281" t="s">
        <v>183</v>
      </c>
    </row>
    <row r="56" spans="1:12" ht="12.75" customHeight="1">
      <c r="A56" s="2254"/>
      <c r="B56" s="2288"/>
      <c r="C56" s="117" t="s">
        <v>18</v>
      </c>
      <c r="D56" s="111"/>
      <c r="E56" s="118">
        <f>E57+E63+E64+E65+E66+E67</f>
        <v>37000</v>
      </c>
      <c r="F56" s="118">
        <f>F57+F63+F64+F65+F66+F67</f>
        <v>56550</v>
      </c>
      <c r="G56" s="118">
        <f>G57+G63+G64+G65+G66+G67</f>
        <v>0</v>
      </c>
      <c r="H56" s="118">
        <f>H57+H63+H64+H65+H66+H67</f>
        <v>44000</v>
      </c>
      <c r="I56" s="119">
        <f>H56/E56</f>
        <v>1.1891891891891893</v>
      </c>
      <c r="J56" s="118">
        <f>SUM(J57,J63,J64,J65,J66,J67)</f>
        <v>150000</v>
      </c>
      <c r="K56" s="118">
        <f>SUM(K57,K63,K64,K65,K66,K67)</f>
        <v>194000</v>
      </c>
      <c r="L56" s="2282"/>
    </row>
    <row r="57" spans="1:12" ht="12.75" customHeight="1">
      <c r="A57" s="2254"/>
      <c r="B57" s="2288"/>
      <c r="C57" s="120" t="s">
        <v>19</v>
      </c>
      <c r="D57" s="121"/>
      <c r="E57" s="122">
        <f>SUM(E58,E60)</f>
        <v>37000</v>
      </c>
      <c r="F57" s="122">
        <f>SUM(F58,F60)</f>
        <v>56550</v>
      </c>
      <c r="G57" s="122">
        <f>SUM(G58,G60)</f>
        <v>0</v>
      </c>
      <c r="H57" s="122">
        <f>SUM(H58,H60)</f>
        <v>44000</v>
      </c>
      <c r="I57" s="123">
        <f>H57/E57</f>
        <v>1.1891891891891893</v>
      </c>
      <c r="J57" s="122">
        <f>SUM(J60:J60)</f>
        <v>150000</v>
      </c>
      <c r="K57" s="122">
        <f>K58+K60</f>
        <v>194000</v>
      </c>
      <c r="L57" s="2282"/>
    </row>
    <row r="58" spans="1:12" ht="15" customHeight="1">
      <c r="A58" s="2254"/>
      <c r="B58" s="2288"/>
      <c r="C58" s="2249" t="s">
        <v>20</v>
      </c>
      <c r="D58" s="121" t="s">
        <v>22</v>
      </c>
      <c r="E58" s="122">
        <f>SUM(E59:E59)</f>
        <v>2500</v>
      </c>
      <c r="F58" s="122">
        <f>SUM(F59:F59)</f>
        <v>17700</v>
      </c>
      <c r="G58" s="122">
        <f>SUM(G59:G59)</f>
        <v>0</v>
      </c>
      <c r="H58" s="122">
        <f>SUM(H59:H59)</f>
        <v>2500</v>
      </c>
      <c r="I58" s="123">
        <f t="shared" ref="I58:I59" si="7">H58/E58</f>
        <v>1</v>
      </c>
      <c r="J58" s="122"/>
      <c r="K58" s="122">
        <f>SUM(K59:K59)</f>
        <v>2500</v>
      </c>
      <c r="L58" s="2282"/>
    </row>
    <row r="59" spans="1:12" ht="12.75" customHeight="1">
      <c r="A59" s="2254"/>
      <c r="B59" s="2288"/>
      <c r="C59" s="2250"/>
      <c r="D59" s="124">
        <v>4170</v>
      </c>
      <c r="E59" s="125">
        <v>2500</v>
      </c>
      <c r="F59" s="125">
        <v>17700</v>
      </c>
      <c r="G59" s="125"/>
      <c r="H59" s="125">
        <v>2500</v>
      </c>
      <c r="I59" s="127">
        <f t="shared" si="7"/>
        <v>1</v>
      </c>
      <c r="J59" s="125"/>
      <c r="K59" s="125">
        <f>H59+J59</f>
        <v>2500</v>
      </c>
      <c r="L59" s="2282"/>
    </row>
    <row r="60" spans="1:12" ht="12.75" customHeight="1">
      <c r="A60" s="2254"/>
      <c r="B60" s="2288"/>
      <c r="C60" s="2242" t="s">
        <v>21</v>
      </c>
      <c r="D60" s="129" t="s">
        <v>22</v>
      </c>
      <c r="E60" s="130">
        <f>SUM(E61:E62)</f>
        <v>34500</v>
      </c>
      <c r="F60" s="130">
        <f>SUM(F61:F62)</f>
        <v>38850</v>
      </c>
      <c r="G60" s="130">
        <f>SUM(G61:G62)</f>
        <v>0</v>
      </c>
      <c r="H60" s="130">
        <f>SUM(H61:H62)</f>
        <v>41500</v>
      </c>
      <c r="I60" s="123">
        <f>H60/E60</f>
        <v>1.2028985507246377</v>
      </c>
      <c r="J60" s="134">
        <f>SUM(J61:J62)</f>
        <v>150000</v>
      </c>
      <c r="K60" s="134">
        <f>SUM(K61:K62)</f>
        <v>191500</v>
      </c>
      <c r="L60" s="2282"/>
    </row>
    <row r="61" spans="1:12" ht="12.75" customHeight="1">
      <c r="A61" s="2254"/>
      <c r="B61" s="2288"/>
      <c r="C61" s="2242"/>
      <c r="D61" s="131">
        <v>4300</v>
      </c>
      <c r="E61" s="132">
        <v>22000</v>
      </c>
      <c r="F61" s="132">
        <v>26350</v>
      </c>
      <c r="G61" s="126"/>
      <c r="H61" s="126">
        <v>25000</v>
      </c>
      <c r="I61" s="127">
        <f>H61/E61</f>
        <v>1.1363636363636365</v>
      </c>
      <c r="J61" s="126">
        <v>150000</v>
      </c>
      <c r="K61" s="126">
        <f>H61+J61</f>
        <v>175000</v>
      </c>
      <c r="L61" s="2282"/>
    </row>
    <row r="62" spans="1:12" ht="12.75" customHeight="1" thickBot="1">
      <c r="A62" s="2255"/>
      <c r="B62" s="2289"/>
      <c r="C62" s="2284"/>
      <c r="D62" s="340">
        <v>4390</v>
      </c>
      <c r="E62" s="341">
        <v>12500</v>
      </c>
      <c r="F62" s="341">
        <v>12500</v>
      </c>
      <c r="G62" s="342"/>
      <c r="H62" s="342">
        <v>16500</v>
      </c>
      <c r="I62" s="343">
        <f>H62/E62</f>
        <v>1.32</v>
      </c>
      <c r="J62" s="342"/>
      <c r="K62" s="342">
        <f>H62+J62</f>
        <v>16500</v>
      </c>
      <c r="L62" s="2282"/>
    </row>
    <row r="63" spans="1:12" ht="12.75" customHeight="1">
      <c r="A63" s="2256"/>
      <c r="B63" s="2301" t="s">
        <v>71</v>
      </c>
      <c r="C63" s="344" t="s">
        <v>23</v>
      </c>
      <c r="D63" s="345"/>
      <c r="E63" s="346"/>
      <c r="F63" s="346"/>
      <c r="G63" s="347"/>
      <c r="H63" s="347"/>
      <c r="I63" s="348"/>
      <c r="J63" s="347"/>
      <c r="K63" s="347"/>
      <c r="L63" s="2282"/>
    </row>
    <row r="64" spans="1:12" ht="12.75" customHeight="1">
      <c r="A64" s="2254"/>
      <c r="B64" s="2288"/>
      <c r="C64" s="120" t="s">
        <v>24</v>
      </c>
      <c r="D64" s="121"/>
      <c r="E64" s="122"/>
      <c r="F64" s="122"/>
      <c r="G64" s="134"/>
      <c r="H64" s="134"/>
      <c r="I64" s="123"/>
      <c r="J64" s="134"/>
      <c r="K64" s="134"/>
      <c r="L64" s="2282"/>
    </row>
    <row r="65" spans="1:12" ht="22.5">
      <c r="A65" s="2254"/>
      <c r="B65" s="2288"/>
      <c r="C65" s="135" t="s">
        <v>35</v>
      </c>
      <c r="D65" s="129"/>
      <c r="E65" s="130"/>
      <c r="F65" s="130"/>
      <c r="G65" s="134"/>
      <c r="H65" s="134"/>
      <c r="I65" s="123"/>
      <c r="J65" s="134"/>
      <c r="K65" s="134"/>
      <c r="L65" s="2282"/>
    </row>
    <row r="66" spans="1:12" ht="12.75" customHeight="1">
      <c r="A66" s="2254"/>
      <c r="B66" s="2288"/>
      <c r="C66" s="120" t="s">
        <v>26</v>
      </c>
      <c r="D66" s="121"/>
      <c r="E66" s="122"/>
      <c r="F66" s="122"/>
      <c r="G66" s="134"/>
      <c r="H66" s="134"/>
      <c r="I66" s="123"/>
      <c r="J66" s="134"/>
      <c r="K66" s="134"/>
      <c r="L66" s="2282"/>
    </row>
    <row r="67" spans="1:12" ht="12.75" customHeight="1">
      <c r="A67" s="2254"/>
      <c r="B67" s="2288"/>
      <c r="C67" s="120" t="s">
        <v>27</v>
      </c>
      <c r="D67" s="121"/>
      <c r="E67" s="122"/>
      <c r="F67" s="122"/>
      <c r="G67" s="134"/>
      <c r="H67" s="134"/>
      <c r="I67" s="123"/>
      <c r="J67" s="134"/>
      <c r="K67" s="134"/>
      <c r="L67" s="2282"/>
    </row>
    <row r="68" spans="1:12" ht="12.75" customHeight="1">
      <c r="A68" s="2254"/>
      <c r="B68" s="2288"/>
      <c r="C68" s="136" t="s">
        <v>28</v>
      </c>
      <c r="D68" s="137"/>
      <c r="E68" s="138">
        <f>SUM(E69,E71,E72)</f>
        <v>0</v>
      </c>
      <c r="F68" s="138">
        <f>SUM(F69,F71,F72)</f>
        <v>0</v>
      </c>
      <c r="G68" s="138">
        <f>SUM(G69,G71,G72)</f>
        <v>0</v>
      </c>
      <c r="H68" s="138">
        <f>SUM(H69,H71,H72)</f>
        <v>0</v>
      </c>
      <c r="I68" s="119"/>
      <c r="J68" s="138">
        <f>SUM(J69,J71,J72)</f>
        <v>0</v>
      </c>
      <c r="K68" s="138">
        <f>SUM(K69,K71,K72)</f>
        <v>0</v>
      </c>
      <c r="L68" s="2282"/>
    </row>
    <row r="69" spans="1:12" ht="12.75" customHeight="1">
      <c r="A69" s="2254"/>
      <c r="B69" s="2288"/>
      <c r="C69" s="120" t="s">
        <v>29</v>
      </c>
      <c r="D69" s="121"/>
      <c r="E69" s="122"/>
      <c r="F69" s="122"/>
      <c r="G69" s="134"/>
      <c r="H69" s="134"/>
      <c r="I69" s="123"/>
      <c r="J69" s="134"/>
      <c r="K69" s="134"/>
      <c r="L69" s="2282"/>
    </row>
    <row r="70" spans="1:12" ht="22.5">
      <c r="A70" s="2254"/>
      <c r="B70" s="2288"/>
      <c r="C70" s="135" t="s">
        <v>87</v>
      </c>
      <c r="D70" s="129"/>
      <c r="E70" s="130"/>
      <c r="F70" s="130"/>
      <c r="G70" s="134"/>
      <c r="H70" s="134"/>
      <c r="I70" s="123"/>
      <c r="J70" s="134"/>
      <c r="K70" s="134"/>
      <c r="L70" s="2282"/>
    </row>
    <row r="71" spans="1:12" ht="12.75" customHeight="1">
      <c r="A71" s="2254"/>
      <c r="B71" s="2288"/>
      <c r="C71" s="120" t="s">
        <v>31</v>
      </c>
      <c r="D71" s="121"/>
      <c r="E71" s="122"/>
      <c r="F71" s="122"/>
      <c r="G71" s="134"/>
      <c r="H71" s="134"/>
      <c r="I71" s="123"/>
      <c r="J71" s="134"/>
      <c r="K71" s="134"/>
      <c r="L71" s="2282"/>
    </row>
    <row r="72" spans="1:12" ht="12.75" customHeight="1">
      <c r="A72" s="2300"/>
      <c r="B72" s="2302"/>
      <c r="C72" s="120" t="s">
        <v>32</v>
      </c>
      <c r="D72" s="121"/>
      <c r="E72" s="122"/>
      <c r="F72" s="122"/>
      <c r="G72" s="118"/>
      <c r="H72" s="118"/>
      <c r="I72" s="119"/>
      <c r="J72" s="118"/>
      <c r="K72" s="118"/>
      <c r="L72" s="2283"/>
    </row>
    <row r="73" spans="1:12" ht="34.5" customHeight="1">
      <c r="A73" s="330" t="s">
        <v>100</v>
      </c>
      <c r="B73" s="143"/>
      <c r="C73" s="156" t="s">
        <v>101</v>
      </c>
      <c r="D73" s="157"/>
      <c r="E73" s="158">
        <f>E74+E115</f>
        <v>1543154</v>
      </c>
      <c r="F73" s="158">
        <f>F74+F115</f>
        <v>1806916</v>
      </c>
      <c r="G73" s="158" t="e">
        <f>G74+G115</f>
        <v>#REF!</v>
      </c>
      <c r="H73" s="158">
        <f>H74+H115</f>
        <v>1721477</v>
      </c>
      <c r="I73" s="159">
        <f t="shared" ref="I73:I98" si="8">H73/E73</f>
        <v>1.1155574881055292</v>
      </c>
      <c r="J73" s="158">
        <f>J74+J115</f>
        <v>0</v>
      </c>
      <c r="K73" s="158">
        <f>SUM(K74,K115)</f>
        <v>1721477</v>
      </c>
      <c r="L73" s="331"/>
    </row>
    <row r="74" spans="1:12" ht="19.5" customHeight="1">
      <c r="A74" s="2253"/>
      <c r="B74" s="2231" t="s">
        <v>102</v>
      </c>
      <c r="C74" s="142" t="s">
        <v>103</v>
      </c>
      <c r="D74" s="160"/>
      <c r="E74" s="141">
        <f>SUM(E75,E110)</f>
        <v>1521154</v>
      </c>
      <c r="F74" s="141">
        <f>SUM(F75,F110)</f>
        <v>1779916</v>
      </c>
      <c r="G74" s="141" t="e">
        <f>SUM(G75,G110)</f>
        <v>#REF!</v>
      </c>
      <c r="H74" s="141">
        <f>SUM(H75,H110)</f>
        <v>1687477</v>
      </c>
      <c r="I74" s="115">
        <f t="shared" si="8"/>
        <v>1.1093400142260414</v>
      </c>
      <c r="J74" s="141">
        <f>SUM(J75,J110)</f>
        <v>0</v>
      </c>
      <c r="K74" s="141">
        <f>SUM(K75,K110)</f>
        <v>1687477</v>
      </c>
      <c r="L74" s="2277" t="s">
        <v>184</v>
      </c>
    </row>
    <row r="75" spans="1:12" ht="13.5" customHeight="1">
      <c r="A75" s="2254"/>
      <c r="B75" s="2231"/>
      <c r="C75" s="117" t="s">
        <v>18</v>
      </c>
      <c r="D75" s="161"/>
      <c r="E75" s="118">
        <f>SUM(E76,E100,E101,E104,E108,E109)</f>
        <v>1521154</v>
      </c>
      <c r="F75" s="118">
        <f>SUM(F76,F100,F101,F104,F108,F109)</f>
        <v>1779916</v>
      </c>
      <c r="G75" s="118">
        <f>SUM(G76,G100,G101,G104,G108,G109)</f>
        <v>0</v>
      </c>
      <c r="H75" s="118">
        <f>SUM(H76,H100,H101,H104,H108,H109)</f>
        <v>1687477</v>
      </c>
      <c r="I75" s="119">
        <f t="shared" si="8"/>
        <v>1.1093400142260414</v>
      </c>
      <c r="J75" s="118">
        <f>SUM(J76,J100,J101,J104,J108,J109)</f>
        <v>0</v>
      </c>
      <c r="K75" s="118">
        <f>SUM(K76,K100,K101,K104,K108,K109)</f>
        <v>1687477</v>
      </c>
      <c r="L75" s="2278"/>
    </row>
    <row r="76" spans="1:12" ht="13.5" customHeight="1">
      <c r="A76" s="2254"/>
      <c r="B76" s="2231"/>
      <c r="C76" s="120" t="s">
        <v>19</v>
      </c>
      <c r="D76" s="154"/>
      <c r="E76" s="122">
        <f>SUM(E77,E84)</f>
        <v>1450974</v>
      </c>
      <c r="F76" s="122">
        <f>SUM(F77,F84)</f>
        <v>1708236</v>
      </c>
      <c r="G76" s="122">
        <f>SUM(G77,G84)</f>
        <v>0</v>
      </c>
      <c r="H76" s="122">
        <f>SUM(H77,H84)</f>
        <v>1635908</v>
      </c>
      <c r="I76" s="123">
        <f t="shared" si="8"/>
        <v>1.1274550750047898</v>
      </c>
      <c r="J76" s="122">
        <f>SUM(J77,J84)</f>
        <v>0</v>
      </c>
      <c r="K76" s="122">
        <f>SUM(K77,K84)</f>
        <v>1635908</v>
      </c>
      <c r="L76" s="2278"/>
    </row>
    <row r="77" spans="1:12" ht="13.5" customHeight="1">
      <c r="A77" s="2254"/>
      <c r="B77" s="2231"/>
      <c r="C77" s="2249" t="s">
        <v>20</v>
      </c>
      <c r="D77" s="121" t="s">
        <v>22</v>
      </c>
      <c r="E77" s="122">
        <f>SUM(E78:E83)</f>
        <v>1165173</v>
      </c>
      <c r="F77" s="122">
        <f>SUM(F78:F83)</f>
        <v>1163333</v>
      </c>
      <c r="G77" s="122">
        <f t="shared" ref="G77:H77" si="9">SUM(G78:G83)</f>
        <v>0</v>
      </c>
      <c r="H77" s="122">
        <f t="shared" si="9"/>
        <v>1320380</v>
      </c>
      <c r="I77" s="123">
        <f t="shared" si="8"/>
        <v>1.1332051120305739</v>
      </c>
      <c r="J77" s="122">
        <f>SUM(J78:J82)</f>
        <v>0</v>
      </c>
      <c r="K77" s="122">
        <f>SUM(K78:K83)</f>
        <v>1320380</v>
      </c>
      <c r="L77" s="2278"/>
    </row>
    <row r="78" spans="1:12" ht="13.5" customHeight="1">
      <c r="A78" s="2254"/>
      <c r="B78" s="2231"/>
      <c r="C78" s="2250"/>
      <c r="D78" s="124">
        <v>4010</v>
      </c>
      <c r="E78" s="125">
        <v>895996</v>
      </c>
      <c r="F78" s="125">
        <v>895996</v>
      </c>
      <c r="G78" s="140"/>
      <c r="H78" s="126">
        <v>1015660</v>
      </c>
      <c r="I78" s="127">
        <f t="shared" si="8"/>
        <v>1.1335541676525343</v>
      </c>
      <c r="J78" s="126"/>
      <c r="K78" s="126">
        <f>H78+J78</f>
        <v>1015660</v>
      </c>
      <c r="L78" s="2278"/>
    </row>
    <row r="79" spans="1:12" ht="13.5" customHeight="1">
      <c r="A79" s="2254"/>
      <c r="B79" s="2231"/>
      <c r="C79" s="2250"/>
      <c r="D79" s="124">
        <v>4040</v>
      </c>
      <c r="E79" s="125">
        <v>66259</v>
      </c>
      <c r="F79" s="125">
        <v>62919</v>
      </c>
      <c r="G79" s="140"/>
      <c r="H79" s="126">
        <v>71329</v>
      </c>
      <c r="I79" s="127">
        <f t="shared" si="8"/>
        <v>1.0765179070013131</v>
      </c>
      <c r="J79" s="126"/>
      <c r="K79" s="126">
        <f t="shared" ref="K79:K83" si="10">H79+J79</f>
        <v>71329</v>
      </c>
      <c r="L79" s="2278"/>
    </row>
    <row r="80" spans="1:12" ht="13.5" customHeight="1">
      <c r="A80" s="2254"/>
      <c r="B80" s="2231"/>
      <c r="C80" s="2250"/>
      <c r="D80" s="124">
        <v>4110</v>
      </c>
      <c r="E80" s="125">
        <v>172426</v>
      </c>
      <c r="F80" s="125">
        <v>172426</v>
      </c>
      <c r="G80" s="140"/>
      <c r="H80" s="126">
        <v>196317</v>
      </c>
      <c r="I80" s="127">
        <f t="shared" si="8"/>
        <v>1.1385579900943013</v>
      </c>
      <c r="J80" s="126"/>
      <c r="K80" s="126">
        <f t="shared" si="10"/>
        <v>196317</v>
      </c>
      <c r="L80" s="2278"/>
    </row>
    <row r="81" spans="1:12" ht="13.5" customHeight="1">
      <c r="A81" s="2254"/>
      <c r="B81" s="2231"/>
      <c r="C81" s="2250"/>
      <c r="D81" s="124">
        <v>4120</v>
      </c>
      <c r="E81" s="125">
        <v>15881</v>
      </c>
      <c r="F81" s="125">
        <v>15881</v>
      </c>
      <c r="G81" s="140"/>
      <c r="H81" s="126">
        <v>16933</v>
      </c>
      <c r="I81" s="127">
        <f t="shared" si="8"/>
        <v>1.0662426799319942</v>
      </c>
      <c r="J81" s="126"/>
      <c r="K81" s="126">
        <f t="shared" si="10"/>
        <v>16933</v>
      </c>
      <c r="L81" s="2278"/>
    </row>
    <row r="82" spans="1:12" ht="13.5" customHeight="1">
      <c r="A82" s="2254"/>
      <c r="B82" s="2231"/>
      <c r="C82" s="2250"/>
      <c r="D82" s="124">
        <v>4170</v>
      </c>
      <c r="E82" s="125">
        <v>11200</v>
      </c>
      <c r="F82" s="125">
        <v>12700</v>
      </c>
      <c r="G82" s="140"/>
      <c r="H82" s="126">
        <v>16200</v>
      </c>
      <c r="I82" s="127">
        <f t="shared" si="8"/>
        <v>1.4464285714285714</v>
      </c>
      <c r="J82" s="126"/>
      <c r="K82" s="126">
        <f t="shared" si="10"/>
        <v>16200</v>
      </c>
      <c r="L82" s="2278"/>
    </row>
    <row r="83" spans="1:12" ht="13.5" customHeight="1">
      <c r="A83" s="2254"/>
      <c r="B83" s="2231"/>
      <c r="C83" s="2251"/>
      <c r="D83" s="124">
        <v>4710</v>
      </c>
      <c r="E83" s="125">
        <v>3411</v>
      </c>
      <c r="F83" s="125">
        <v>3411</v>
      </c>
      <c r="G83" s="140"/>
      <c r="H83" s="126">
        <v>3941</v>
      </c>
      <c r="I83" s="127">
        <f t="shared" si="8"/>
        <v>1.1553796540603929</v>
      </c>
      <c r="J83" s="126"/>
      <c r="K83" s="126">
        <f t="shared" si="10"/>
        <v>3941</v>
      </c>
      <c r="L83" s="2278"/>
    </row>
    <row r="84" spans="1:12" ht="12.75" customHeight="1">
      <c r="A84" s="2254"/>
      <c r="B84" s="2231"/>
      <c r="C84" s="2242" t="s">
        <v>21</v>
      </c>
      <c r="D84" s="129" t="s">
        <v>22</v>
      </c>
      <c r="E84" s="130">
        <f>SUM(E85:E99)</f>
        <v>285801</v>
      </c>
      <c r="F84" s="130">
        <f>SUM(F85:F99)</f>
        <v>544903</v>
      </c>
      <c r="G84" s="130">
        <f>SUM(G85:G99)</f>
        <v>0</v>
      </c>
      <c r="H84" s="130">
        <f>SUM(H85:H99)</f>
        <v>315528</v>
      </c>
      <c r="I84" s="123">
        <f t="shared" si="8"/>
        <v>1.1040129320751153</v>
      </c>
      <c r="J84" s="130">
        <f>SUM(J86:J99)</f>
        <v>0</v>
      </c>
      <c r="K84" s="130">
        <f>SUM(K85:K99)</f>
        <v>315528</v>
      </c>
      <c r="L84" s="2278"/>
    </row>
    <row r="85" spans="1:12" ht="12.75" customHeight="1">
      <c r="A85" s="2254"/>
      <c r="B85" s="2231"/>
      <c r="C85" s="2242"/>
      <c r="D85" s="131">
        <v>4190</v>
      </c>
      <c r="E85" s="132">
        <v>11300</v>
      </c>
      <c r="F85" s="132">
        <v>13540</v>
      </c>
      <c r="G85" s="132"/>
      <c r="H85" s="132">
        <v>16000</v>
      </c>
      <c r="I85" s="127">
        <f t="shared" si="8"/>
        <v>1.415929203539823</v>
      </c>
      <c r="J85" s="132"/>
      <c r="K85" s="132">
        <f>H85+J85</f>
        <v>16000</v>
      </c>
      <c r="L85" s="2278"/>
    </row>
    <row r="86" spans="1:12" ht="13.5" customHeight="1">
      <c r="A86" s="2254"/>
      <c r="B86" s="2231"/>
      <c r="C86" s="2242"/>
      <c r="D86" s="131">
        <v>4210</v>
      </c>
      <c r="E86" s="132">
        <v>55900</v>
      </c>
      <c r="F86" s="132">
        <v>119021</v>
      </c>
      <c r="G86" s="140"/>
      <c r="H86" s="126">
        <v>61311</v>
      </c>
      <c r="I86" s="127">
        <f t="shared" si="8"/>
        <v>1.0967978533094813</v>
      </c>
      <c r="J86" s="126"/>
      <c r="K86" s="132">
        <f t="shared" ref="K86:K99" si="11">H86+J86</f>
        <v>61311</v>
      </c>
      <c r="L86" s="2278"/>
    </row>
    <row r="87" spans="1:12" ht="13.5" customHeight="1">
      <c r="A87" s="2254"/>
      <c r="B87" s="2231"/>
      <c r="C87" s="2242"/>
      <c r="D87" s="131">
        <v>4220</v>
      </c>
      <c r="E87" s="132">
        <v>7150</v>
      </c>
      <c r="F87" s="132">
        <v>10250</v>
      </c>
      <c r="G87" s="140"/>
      <c r="H87" s="126">
        <v>9950</v>
      </c>
      <c r="I87" s="127">
        <f t="shared" si="8"/>
        <v>1.3916083916083917</v>
      </c>
      <c r="J87" s="126"/>
      <c r="K87" s="132">
        <f t="shared" si="11"/>
        <v>9950</v>
      </c>
      <c r="L87" s="2278"/>
    </row>
    <row r="88" spans="1:12" ht="13.5" customHeight="1">
      <c r="A88" s="2254"/>
      <c r="B88" s="2231"/>
      <c r="C88" s="2242"/>
      <c r="D88" s="131">
        <v>4260</v>
      </c>
      <c r="E88" s="132">
        <v>46000</v>
      </c>
      <c r="F88" s="132">
        <v>86135</v>
      </c>
      <c r="G88" s="140"/>
      <c r="H88" s="126">
        <v>48000</v>
      </c>
      <c r="I88" s="127">
        <f t="shared" si="8"/>
        <v>1.0434782608695652</v>
      </c>
      <c r="J88" s="126"/>
      <c r="K88" s="132">
        <f t="shared" si="11"/>
        <v>48000</v>
      </c>
      <c r="L88" s="2278"/>
    </row>
    <row r="89" spans="1:12" ht="13.5" customHeight="1">
      <c r="A89" s="2254"/>
      <c r="B89" s="2231"/>
      <c r="C89" s="2242"/>
      <c r="D89" s="131">
        <v>4270</v>
      </c>
      <c r="E89" s="132">
        <v>3500</v>
      </c>
      <c r="F89" s="132">
        <v>2622</v>
      </c>
      <c r="G89" s="140"/>
      <c r="H89" s="126">
        <v>3500</v>
      </c>
      <c r="I89" s="127">
        <f t="shared" si="8"/>
        <v>1</v>
      </c>
      <c r="J89" s="126"/>
      <c r="K89" s="132">
        <f t="shared" si="11"/>
        <v>3500</v>
      </c>
      <c r="L89" s="2278"/>
    </row>
    <row r="90" spans="1:12" ht="13.5" customHeight="1">
      <c r="A90" s="2254"/>
      <c r="B90" s="2231"/>
      <c r="C90" s="2242"/>
      <c r="D90" s="131">
        <v>4280</v>
      </c>
      <c r="E90" s="132">
        <v>1100</v>
      </c>
      <c r="F90" s="132">
        <v>3049</v>
      </c>
      <c r="G90" s="140"/>
      <c r="H90" s="126">
        <v>1700</v>
      </c>
      <c r="I90" s="127">
        <f t="shared" si="8"/>
        <v>1.5454545454545454</v>
      </c>
      <c r="J90" s="126"/>
      <c r="K90" s="132">
        <f t="shared" si="11"/>
        <v>1700</v>
      </c>
      <c r="L90" s="2278"/>
    </row>
    <row r="91" spans="1:12" ht="13.5" customHeight="1">
      <c r="A91" s="2254"/>
      <c r="B91" s="2231"/>
      <c r="C91" s="2242"/>
      <c r="D91" s="131">
        <v>4300</v>
      </c>
      <c r="E91" s="132">
        <v>48562</v>
      </c>
      <c r="F91" s="132">
        <v>193637</v>
      </c>
      <c r="G91" s="140"/>
      <c r="H91" s="126">
        <v>57529</v>
      </c>
      <c r="I91" s="127">
        <f t="shared" si="8"/>
        <v>1.1846505498126108</v>
      </c>
      <c r="J91" s="126"/>
      <c r="K91" s="132">
        <f t="shared" si="11"/>
        <v>57529</v>
      </c>
      <c r="L91" s="2278"/>
    </row>
    <row r="92" spans="1:12" ht="13.5" customHeight="1">
      <c r="A92" s="2254"/>
      <c r="B92" s="2231"/>
      <c r="C92" s="2242"/>
      <c r="D92" s="131">
        <v>4360</v>
      </c>
      <c r="E92" s="132">
        <v>3100</v>
      </c>
      <c r="F92" s="132">
        <v>3100</v>
      </c>
      <c r="G92" s="140"/>
      <c r="H92" s="126">
        <v>3100</v>
      </c>
      <c r="I92" s="127">
        <f t="shared" si="8"/>
        <v>1</v>
      </c>
      <c r="J92" s="126"/>
      <c r="K92" s="132">
        <f t="shared" si="11"/>
        <v>3100</v>
      </c>
      <c r="L92" s="2278"/>
    </row>
    <row r="93" spans="1:12" ht="13.5" customHeight="1">
      <c r="A93" s="2254"/>
      <c r="B93" s="2231"/>
      <c r="C93" s="2242"/>
      <c r="D93" s="131">
        <v>4400</v>
      </c>
      <c r="E93" s="132">
        <v>64980</v>
      </c>
      <c r="F93" s="132">
        <v>64980</v>
      </c>
      <c r="G93" s="140"/>
      <c r="H93" s="126">
        <v>68290</v>
      </c>
      <c r="I93" s="127">
        <f t="shared" si="8"/>
        <v>1.0509387503847338</v>
      </c>
      <c r="J93" s="126"/>
      <c r="K93" s="132">
        <f t="shared" si="11"/>
        <v>68290</v>
      </c>
      <c r="L93" s="2278"/>
    </row>
    <row r="94" spans="1:12" ht="13.5" customHeight="1">
      <c r="A94" s="2254"/>
      <c r="B94" s="2231"/>
      <c r="C94" s="2242"/>
      <c r="D94" s="131">
        <v>4410</v>
      </c>
      <c r="E94" s="132">
        <v>1100</v>
      </c>
      <c r="F94" s="132">
        <v>2590</v>
      </c>
      <c r="G94" s="140"/>
      <c r="H94" s="126">
        <v>1200</v>
      </c>
      <c r="I94" s="127">
        <f t="shared" si="8"/>
        <v>1.0909090909090908</v>
      </c>
      <c r="J94" s="126"/>
      <c r="K94" s="132">
        <f t="shared" si="11"/>
        <v>1200</v>
      </c>
      <c r="L94" s="2278"/>
    </row>
    <row r="95" spans="1:12" ht="13.5" customHeight="1">
      <c r="A95" s="2254"/>
      <c r="B95" s="2231"/>
      <c r="C95" s="2242"/>
      <c r="D95" s="131">
        <v>4420</v>
      </c>
      <c r="E95" s="132">
        <v>300</v>
      </c>
      <c r="F95" s="132">
        <v>300</v>
      </c>
      <c r="G95" s="140"/>
      <c r="H95" s="126">
        <v>0</v>
      </c>
      <c r="I95" s="127">
        <f t="shared" si="8"/>
        <v>0</v>
      </c>
      <c r="J95" s="126"/>
      <c r="K95" s="132">
        <f t="shared" si="11"/>
        <v>0</v>
      </c>
      <c r="L95" s="2278"/>
    </row>
    <row r="96" spans="1:12" ht="13.5" customHeight="1">
      <c r="A96" s="2254"/>
      <c r="B96" s="2231"/>
      <c r="C96" s="2242"/>
      <c r="D96" s="131">
        <v>4430</v>
      </c>
      <c r="E96" s="132">
        <v>6600</v>
      </c>
      <c r="F96" s="132">
        <v>6600</v>
      </c>
      <c r="G96" s="140"/>
      <c r="H96" s="126">
        <v>7629</v>
      </c>
      <c r="I96" s="127">
        <f t="shared" si="8"/>
        <v>1.155909090909091</v>
      </c>
      <c r="J96" s="126"/>
      <c r="K96" s="132">
        <f t="shared" si="11"/>
        <v>7629</v>
      </c>
      <c r="L96" s="2278"/>
    </row>
    <row r="97" spans="1:12" ht="13.5" customHeight="1">
      <c r="A97" s="2254"/>
      <c r="B97" s="2231"/>
      <c r="C97" s="2242"/>
      <c r="D97" s="131">
        <v>4440</v>
      </c>
      <c r="E97" s="132">
        <v>28035</v>
      </c>
      <c r="F97" s="132">
        <v>30905</v>
      </c>
      <c r="G97" s="140"/>
      <c r="H97" s="126">
        <v>29242</v>
      </c>
      <c r="I97" s="127">
        <f t="shared" si="8"/>
        <v>1.0430533261993935</v>
      </c>
      <c r="J97" s="126"/>
      <c r="K97" s="132">
        <f t="shared" si="11"/>
        <v>29242</v>
      </c>
      <c r="L97" s="2278"/>
    </row>
    <row r="98" spans="1:12" ht="13.5" customHeight="1">
      <c r="A98" s="2254"/>
      <c r="B98" s="2231"/>
      <c r="C98" s="2242"/>
      <c r="D98" s="131">
        <v>4480</v>
      </c>
      <c r="E98" s="132">
        <v>2674</v>
      </c>
      <c r="F98" s="132">
        <v>2674</v>
      </c>
      <c r="G98" s="140"/>
      <c r="H98" s="126">
        <v>2877</v>
      </c>
      <c r="I98" s="127">
        <f t="shared" si="8"/>
        <v>1.0759162303664922</v>
      </c>
      <c r="J98" s="126"/>
      <c r="K98" s="132">
        <f t="shared" si="11"/>
        <v>2877</v>
      </c>
      <c r="L98" s="2278"/>
    </row>
    <row r="99" spans="1:12" ht="13.5" customHeight="1">
      <c r="A99" s="2254"/>
      <c r="B99" s="2231"/>
      <c r="C99" s="2242"/>
      <c r="D99" s="131">
        <v>4700</v>
      </c>
      <c r="E99" s="132">
        <v>5500</v>
      </c>
      <c r="F99" s="132">
        <v>5500</v>
      </c>
      <c r="G99" s="140"/>
      <c r="H99" s="126">
        <v>5200</v>
      </c>
      <c r="I99" s="127">
        <f>H99/E99</f>
        <v>0.94545454545454544</v>
      </c>
      <c r="J99" s="126"/>
      <c r="K99" s="132">
        <f t="shared" si="11"/>
        <v>5200</v>
      </c>
      <c r="L99" s="2278"/>
    </row>
    <row r="100" spans="1:12" ht="13.5" customHeight="1">
      <c r="A100" s="2254"/>
      <c r="B100" s="2231"/>
      <c r="C100" s="120" t="s">
        <v>23</v>
      </c>
      <c r="D100" s="154"/>
      <c r="E100" s="155"/>
      <c r="F100" s="155"/>
      <c r="G100" s="139"/>
      <c r="H100" s="134"/>
      <c r="I100" s="162"/>
      <c r="J100" s="134"/>
      <c r="K100" s="134"/>
      <c r="L100" s="2278"/>
    </row>
    <row r="101" spans="1:12" ht="13.5" customHeight="1">
      <c r="A101" s="2254"/>
      <c r="B101" s="2231"/>
      <c r="C101" s="2249" t="s">
        <v>24</v>
      </c>
      <c r="D101" s="121" t="s">
        <v>22</v>
      </c>
      <c r="E101" s="122">
        <f>SUM(E102:E103)</f>
        <v>70180</v>
      </c>
      <c r="F101" s="122">
        <f t="shared" ref="F101:H101" si="12">SUM(F102:F103)</f>
        <v>71680</v>
      </c>
      <c r="G101" s="122">
        <f t="shared" si="12"/>
        <v>0</v>
      </c>
      <c r="H101" s="122">
        <f t="shared" si="12"/>
        <v>51569</v>
      </c>
      <c r="I101" s="123">
        <f>H101/E101</f>
        <v>0.73481048731832432</v>
      </c>
      <c r="J101" s="134"/>
      <c r="K101" s="134">
        <f>H101+J101</f>
        <v>51569</v>
      </c>
      <c r="L101" s="2278"/>
    </row>
    <row r="102" spans="1:12" ht="13.5" customHeight="1">
      <c r="A102" s="2254"/>
      <c r="B102" s="2231"/>
      <c r="C102" s="2250"/>
      <c r="D102" s="124">
        <v>3020</v>
      </c>
      <c r="E102" s="125">
        <v>70180</v>
      </c>
      <c r="F102" s="125">
        <v>70180</v>
      </c>
      <c r="G102" s="125"/>
      <c r="H102" s="125">
        <v>51569</v>
      </c>
      <c r="I102" s="127">
        <f t="shared" ref="I102" si="13">H102/E102</f>
        <v>0.73481048731832432</v>
      </c>
      <c r="J102" s="126"/>
      <c r="K102" s="126">
        <f>H102+J102</f>
        <v>51569</v>
      </c>
      <c r="L102" s="2278"/>
    </row>
    <row r="103" spans="1:12" ht="13.5" customHeight="1">
      <c r="A103" s="2254"/>
      <c r="B103" s="2231"/>
      <c r="C103" s="2251"/>
      <c r="D103" s="124">
        <v>3030</v>
      </c>
      <c r="E103" s="125"/>
      <c r="F103" s="125">
        <v>1500</v>
      </c>
      <c r="G103" s="125"/>
      <c r="H103" s="125"/>
      <c r="I103" s="127"/>
      <c r="J103" s="126"/>
      <c r="K103" s="126">
        <f>H103+J103</f>
        <v>0</v>
      </c>
      <c r="L103" s="2278"/>
    </row>
    <row r="104" spans="1:12" ht="21.75" customHeight="1">
      <c r="A104" s="2254"/>
      <c r="B104" s="2231"/>
      <c r="C104" s="2265" t="s">
        <v>104</v>
      </c>
      <c r="D104" s="232"/>
      <c r="E104" s="233"/>
      <c r="F104" s="233"/>
      <c r="G104" s="233">
        <f t="shared" ref="G104" si="14">SUM(G106:G107)</f>
        <v>0</v>
      </c>
      <c r="H104" s="233"/>
      <c r="I104" s="123"/>
      <c r="J104" s="234"/>
      <c r="K104" s="234"/>
      <c r="L104" s="2278"/>
    </row>
    <row r="105" spans="1:12" ht="13.5" hidden="1" customHeight="1">
      <c r="A105" s="2254"/>
      <c r="B105" s="2231"/>
      <c r="C105" s="2266"/>
      <c r="D105" s="235"/>
      <c r="E105" s="236"/>
      <c r="F105" s="236"/>
      <c r="G105" s="236"/>
      <c r="H105" s="236"/>
      <c r="I105" s="127"/>
      <c r="J105" s="237"/>
      <c r="K105" s="237"/>
      <c r="L105" s="2278"/>
    </row>
    <row r="106" spans="1:12" ht="13.5" hidden="1" customHeight="1">
      <c r="A106" s="2254"/>
      <c r="B106" s="2231"/>
      <c r="C106" s="2266"/>
      <c r="D106" s="235"/>
      <c r="E106" s="236"/>
      <c r="F106" s="236"/>
      <c r="G106" s="237"/>
      <c r="H106" s="237"/>
      <c r="I106" s="127"/>
      <c r="J106" s="237"/>
      <c r="K106" s="237"/>
      <c r="L106" s="2278"/>
    </row>
    <row r="107" spans="1:12" ht="13.5" hidden="1" customHeight="1">
      <c r="A107" s="2254"/>
      <c r="B107" s="2231"/>
      <c r="C107" s="2267"/>
      <c r="D107" s="235"/>
      <c r="E107" s="236"/>
      <c r="F107" s="236"/>
      <c r="G107" s="237"/>
      <c r="H107" s="237"/>
      <c r="I107" s="127"/>
      <c r="J107" s="237"/>
      <c r="K107" s="237"/>
      <c r="L107" s="2278"/>
    </row>
    <row r="108" spans="1:12" ht="15" customHeight="1">
      <c r="A108" s="2254"/>
      <c r="B108" s="2231"/>
      <c r="C108" s="120" t="s">
        <v>26</v>
      </c>
      <c r="D108" s="154"/>
      <c r="E108" s="155"/>
      <c r="F108" s="155"/>
      <c r="G108" s="139"/>
      <c r="H108" s="139"/>
      <c r="I108" s="162"/>
      <c r="J108" s="134"/>
      <c r="K108" s="134"/>
      <c r="L108" s="2278"/>
    </row>
    <row r="109" spans="1:12" ht="13.5" customHeight="1">
      <c r="A109" s="2254"/>
      <c r="B109" s="2231"/>
      <c r="C109" s="120" t="s">
        <v>27</v>
      </c>
      <c r="D109" s="154"/>
      <c r="E109" s="155"/>
      <c r="F109" s="155"/>
      <c r="G109" s="139"/>
      <c r="H109" s="139"/>
      <c r="I109" s="162"/>
      <c r="J109" s="134"/>
      <c r="K109" s="134"/>
      <c r="L109" s="2278"/>
    </row>
    <row r="110" spans="1:12" ht="13.5" customHeight="1">
      <c r="A110" s="2254"/>
      <c r="B110" s="2231"/>
      <c r="C110" s="136" t="s">
        <v>28</v>
      </c>
      <c r="D110" s="163"/>
      <c r="E110" s="138">
        <f>SUM(E111,E113,E114)</f>
        <v>0</v>
      </c>
      <c r="F110" s="138">
        <f>SUM(F111)</f>
        <v>0</v>
      </c>
      <c r="G110" s="138" t="e">
        <f>SUM(G111)</f>
        <v>#REF!</v>
      </c>
      <c r="H110" s="138">
        <f>SUM(H111)</f>
        <v>0</v>
      </c>
      <c r="I110" s="119"/>
      <c r="J110" s="118">
        <f>SUM(J111,J113,J114)</f>
        <v>0</v>
      </c>
      <c r="K110" s="118">
        <f>SUM(K111,K113,K114)</f>
        <v>0</v>
      </c>
      <c r="L110" s="2278"/>
    </row>
    <row r="111" spans="1:12" ht="13.5" customHeight="1">
      <c r="A111" s="2254"/>
      <c r="B111" s="2231"/>
      <c r="C111" s="218" t="s">
        <v>29</v>
      </c>
      <c r="D111" s="121"/>
      <c r="E111" s="122"/>
      <c r="F111" s="122"/>
      <c r="G111" s="122" t="e">
        <f>SUM(#REF!)</f>
        <v>#REF!</v>
      </c>
      <c r="H111" s="122"/>
      <c r="I111" s="127"/>
      <c r="J111" s="134"/>
      <c r="K111" s="134"/>
      <c r="L111" s="2278"/>
    </row>
    <row r="112" spans="1:12" ht="22.5">
      <c r="A112" s="2254"/>
      <c r="B112" s="2231"/>
      <c r="C112" s="219" t="s">
        <v>89</v>
      </c>
      <c r="D112" s="129"/>
      <c r="E112" s="130"/>
      <c r="F112" s="130"/>
      <c r="G112" s="130" t="e">
        <f>SUM(#REF!)</f>
        <v>#REF!</v>
      </c>
      <c r="H112" s="130"/>
      <c r="I112" s="127"/>
      <c r="J112" s="134"/>
      <c r="K112" s="134"/>
      <c r="L112" s="2278"/>
    </row>
    <row r="113" spans="1:12" ht="13.5" customHeight="1">
      <c r="A113" s="2254"/>
      <c r="B113" s="2231"/>
      <c r="C113" s="120" t="s">
        <v>31</v>
      </c>
      <c r="D113" s="154"/>
      <c r="E113" s="155"/>
      <c r="F113" s="155"/>
      <c r="G113" s="139"/>
      <c r="H113" s="139"/>
      <c r="I113" s="162"/>
      <c r="J113" s="134"/>
      <c r="K113" s="134"/>
      <c r="L113" s="2278"/>
    </row>
    <row r="114" spans="1:12" ht="13.5" customHeight="1" thickBot="1">
      <c r="A114" s="2255"/>
      <c r="B114" s="2232"/>
      <c r="C114" s="319" t="s">
        <v>32</v>
      </c>
      <c r="D114" s="349"/>
      <c r="E114" s="350"/>
      <c r="F114" s="350"/>
      <c r="G114" s="351"/>
      <c r="H114" s="351"/>
      <c r="I114" s="352"/>
      <c r="J114" s="322"/>
      <c r="K114" s="322"/>
      <c r="L114" s="2279"/>
    </row>
    <row r="115" spans="1:12" ht="13.5" customHeight="1" thickBot="1">
      <c r="A115" s="2256"/>
      <c r="B115" s="2298" t="s">
        <v>105</v>
      </c>
      <c r="C115" s="324" t="s">
        <v>17</v>
      </c>
      <c r="D115" s="325"/>
      <c r="E115" s="326">
        <f>E116+E125</f>
        <v>22000</v>
      </c>
      <c r="F115" s="326">
        <f>F116+F125</f>
        <v>27000</v>
      </c>
      <c r="G115" s="326">
        <f>G116+G125</f>
        <v>0</v>
      </c>
      <c r="H115" s="326">
        <f>H116+H125</f>
        <v>34000</v>
      </c>
      <c r="I115" s="327">
        <f>H115/E115</f>
        <v>1.5454545454545454</v>
      </c>
      <c r="J115" s="326">
        <f>SUM(J116,J125)</f>
        <v>0</v>
      </c>
      <c r="K115" s="326">
        <f>SUM(K116,K125)</f>
        <v>34000</v>
      </c>
      <c r="L115" s="2274" t="s">
        <v>176</v>
      </c>
    </row>
    <row r="116" spans="1:12" ht="13.5" customHeight="1" thickBot="1">
      <c r="A116" s="2254"/>
      <c r="B116" s="2272"/>
      <c r="C116" s="117" t="s">
        <v>18</v>
      </c>
      <c r="D116" s="111"/>
      <c r="E116" s="118">
        <f>E117+E120+E121+E122+E123+E124</f>
        <v>22000</v>
      </c>
      <c r="F116" s="118">
        <f>F117+F120+F121+F122+F123+F124</f>
        <v>27000</v>
      </c>
      <c r="G116" s="118">
        <f>G117+G120+G121+G122+G123+G124</f>
        <v>0</v>
      </c>
      <c r="H116" s="118">
        <f>H117+H120+H121+H122+H123+H124</f>
        <v>34000</v>
      </c>
      <c r="I116" s="119">
        <f>H116/E116</f>
        <v>1.5454545454545454</v>
      </c>
      <c r="J116" s="118">
        <f>SUM(J117,J120,J121,J122,J123,J124)</f>
        <v>0</v>
      </c>
      <c r="K116" s="118">
        <f>SUM(K117,K120,K121,K122,K123,K124)</f>
        <v>34000</v>
      </c>
      <c r="L116" s="2275"/>
    </row>
    <row r="117" spans="1:12" ht="13.5" customHeight="1" thickBot="1">
      <c r="A117" s="2254"/>
      <c r="B117" s="2272"/>
      <c r="C117" s="120" t="s">
        <v>19</v>
      </c>
      <c r="D117" s="121"/>
      <c r="E117" s="122">
        <f>SUM(E118:E119)</f>
        <v>15000</v>
      </c>
      <c r="F117" s="122">
        <f>SUM(F118:F119)</f>
        <v>20000</v>
      </c>
      <c r="G117" s="122">
        <f>SUM(G118:G119)</f>
        <v>0</v>
      </c>
      <c r="H117" s="122">
        <f>SUM(H118:H119)</f>
        <v>27000</v>
      </c>
      <c r="I117" s="123"/>
      <c r="J117" s="122">
        <f>SUM(J118:J119)</f>
        <v>0</v>
      </c>
      <c r="K117" s="122">
        <f>SUM(K118:K119)</f>
        <v>27000</v>
      </c>
      <c r="L117" s="2275"/>
    </row>
    <row r="118" spans="1:12" ht="13.5" customHeight="1" thickBot="1">
      <c r="A118" s="2254"/>
      <c r="B118" s="2272"/>
      <c r="C118" s="120" t="s">
        <v>20</v>
      </c>
      <c r="D118" s="121"/>
      <c r="E118" s="122"/>
      <c r="F118" s="122"/>
      <c r="G118" s="134"/>
      <c r="H118" s="134"/>
      <c r="I118" s="127"/>
      <c r="J118" s="134"/>
      <c r="K118" s="134"/>
      <c r="L118" s="2275"/>
    </row>
    <row r="119" spans="1:12" ht="14.25" customHeight="1" thickBot="1">
      <c r="A119" s="2254"/>
      <c r="B119" s="2272"/>
      <c r="C119" s="219" t="s">
        <v>21</v>
      </c>
      <c r="D119" s="129">
        <v>4300</v>
      </c>
      <c r="E119" s="130">
        <v>15000</v>
      </c>
      <c r="F119" s="130">
        <v>20000</v>
      </c>
      <c r="G119" s="130"/>
      <c r="H119" s="130">
        <v>27000</v>
      </c>
      <c r="I119" s="123">
        <f t="shared" ref="I119:I120" si="15">H119/E119</f>
        <v>1.8</v>
      </c>
      <c r="J119" s="241"/>
      <c r="K119" s="134">
        <f>H119+J119</f>
        <v>27000</v>
      </c>
      <c r="L119" s="2275"/>
    </row>
    <row r="120" spans="1:12" ht="13.5" customHeight="1" thickBot="1">
      <c r="A120" s="2254"/>
      <c r="B120" s="2272"/>
      <c r="C120" s="120" t="s">
        <v>23</v>
      </c>
      <c r="D120" s="121">
        <v>2360</v>
      </c>
      <c r="E120" s="122">
        <v>7000</v>
      </c>
      <c r="F120" s="122">
        <v>7000</v>
      </c>
      <c r="G120" s="134"/>
      <c r="H120" s="134">
        <v>7000</v>
      </c>
      <c r="I120" s="123">
        <f t="shared" si="15"/>
        <v>1</v>
      </c>
      <c r="J120" s="134"/>
      <c r="K120" s="134">
        <f>H120+J120</f>
        <v>7000</v>
      </c>
      <c r="L120" s="2275"/>
    </row>
    <row r="121" spans="1:12" ht="13.5" customHeight="1" thickBot="1">
      <c r="A121" s="2254"/>
      <c r="B121" s="2272"/>
      <c r="C121" s="120" t="s">
        <v>24</v>
      </c>
      <c r="D121" s="121"/>
      <c r="E121" s="122"/>
      <c r="F121" s="122"/>
      <c r="G121" s="134"/>
      <c r="H121" s="134"/>
      <c r="I121" s="123"/>
      <c r="J121" s="134"/>
      <c r="K121" s="134"/>
      <c r="L121" s="2275"/>
    </row>
    <row r="122" spans="1:12" ht="23.25" thickBot="1">
      <c r="A122" s="2254"/>
      <c r="B122" s="2272"/>
      <c r="C122" s="135" t="s">
        <v>35</v>
      </c>
      <c r="D122" s="129"/>
      <c r="E122" s="130"/>
      <c r="F122" s="130"/>
      <c r="G122" s="134"/>
      <c r="H122" s="134"/>
      <c r="I122" s="123"/>
      <c r="J122" s="134"/>
      <c r="K122" s="134"/>
      <c r="L122" s="2275"/>
    </row>
    <row r="123" spans="1:12" ht="13.5" customHeight="1" thickBot="1">
      <c r="A123" s="2254"/>
      <c r="B123" s="2272"/>
      <c r="C123" s="120" t="s">
        <v>26</v>
      </c>
      <c r="D123" s="121"/>
      <c r="E123" s="122"/>
      <c r="F123" s="122"/>
      <c r="G123" s="134"/>
      <c r="H123" s="134"/>
      <c r="I123" s="123"/>
      <c r="J123" s="134"/>
      <c r="K123" s="134"/>
      <c r="L123" s="2275"/>
    </row>
    <row r="124" spans="1:12" ht="13.5" customHeight="1" thickBot="1">
      <c r="A124" s="2254"/>
      <c r="B124" s="2272"/>
      <c r="C124" s="120" t="s">
        <v>27</v>
      </c>
      <c r="D124" s="121"/>
      <c r="E124" s="122"/>
      <c r="F124" s="122"/>
      <c r="G124" s="134"/>
      <c r="H124" s="134"/>
      <c r="I124" s="123"/>
      <c r="J124" s="134"/>
      <c r="K124" s="134"/>
      <c r="L124" s="2275"/>
    </row>
    <row r="125" spans="1:12" ht="13.5" customHeight="1" thickBot="1">
      <c r="A125" s="2254"/>
      <c r="B125" s="2272"/>
      <c r="C125" s="136" t="s">
        <v>28</v>
      </c>
      <c r="D125" s="137"/>
      <c r="E125" s="138">
        <f>SUM(E126,E128,E129)</f>
        <v>0</v>
      </c>
      <c r="F125" s="138">
        <f>SUM(F126,F128,F129)</f>
        <v>0</v>
      </c>
      <c r="G125" s="138">
        <f>SUM(G126,G128,G129)</f>
        <v>0</v>
      </c>
      <c r="H125" s="138">
        <f>SUM(H126,H128,H129)</f>
        <v>0</v>
      </c>
      <c r="I125" s="119"/>
      <c r="J125" s="138">
        <f>SUM(J126,J128,J129)</f>
        <v>0</v>
      </c>
      <c r="K125" s="138">
        <f>SUM(K126,K128,K129)</f>
        <v>0</v>
      </c>
      <c r="L125" s="2275"/>
    </row>
    <row r="126" spans="1:12" ht="13.5" customHeight="1" thickBot="1">
      <c r="A126" s="2254"/>
      <c r="B126" s="2272"/>
      <c r="C126" s="120" t="s">
        <v>29</v>
      </c>
      <c r="D126" s="121"/>
      <c r="E126" s="122"/>
      <c r="F126" s="122"/>
      <c r="G126" s="134"/>
      <c r="H126" s="134"/>
      <c r="I126" s="123"/>
      <c r="J126" s="134"/>
      <c r="K126" s="134"/>
      <c r="L126" s="2275"/>
    </row>
    <row r="127" spans="1:12" ht="23.25" thickBot="1">
      <c r="A127" s="2254"/>
      <c r="B127" s="2272"/>
      <c r="C127" s="135" t="s">
        <v>87</v>
      </c>
      <c r="D127" s="129"/>
      <c r="E127" s="130"/>
      <c r="F127" s="130"/>
      <c r="G127" s="134"/>
      <c r="H127" s="134"/>
      <c r="I127" s="123"/>
      <c r="J127" s="134"/>
      <c r="K127" s="134"/>
      <c r="L127" s="2275"/>
    </row>
    <row r="128" spans="1:12" ht="13.5" customHeight="1" thickBot="1">
      <c r="A128" s="2254"/>
      <c r="B128" s="2272"/>
      <c r="C128" s="120" t="s">
        <v>31</v>
      </c>
      <c r="D128" s="121"/>
      <c r="E128" s="122"/>
      <c r="F128" s="122"/>
      <c r="G128" s="134"/>
      <c r="H128" s="134"/>
      <c r="I128" s="123"/>
      <c r="J128" s="134"/>
      <c r="K128" s="134"/>
      <c r="L128" s="2275"/>
    </row>
    <row r="129" spans="1:12" ht="13.5" customHeight="1" thickBot="1">
      <c r="A129" s="2255"/>
      <c r="B129" s="2232"/>
      <c r="C129" s="319" t="s">
        <v>32</v>
      </c>
      <c r="D129" s="320"/>
      <c r="E129" s="321"/>
      <c r="F129" s="321"/>
      <c r="G129" s="322"/>
      <c r="H129" s="322"/>
      <c r="I129" s="357"/>
      <c r="J129" s="322"/>
      <c r="K129" s="322"/>
      <c r="L129" s="2276"/>
    </row>
    <row r="130" spans="1:12" s="110" customFormat="1" ht="22.5" customHeight="1" thickBot="1">
      <c r="A130" s="2299" t="s">
        <v>33</v>
      </c>
      <c r="B130" s="2299"/>
      <c r="C130" s="2299"/>
      <c r="D130" s="353"/>
      <c r="E130" s="354">
        <f>SUM(E73,E6)</f>
        <v>1789777</v>
      </c>
      <c r="F130" s="354">
        <f>SUM(F73,F6)</f>
        <v>2406739</v>
      </c>
      <c r="G130" s="354" t="e">
        <f>SUM(G73,G6)</f>
        <v>#REF!</v>
      </c>
      <c r="H130" s="354">
        <f>SUM(H73,H6)</f>
        <v>1995693</v>
      </c>
      <c r="I130" s="355">
        <f>H130/E130</f>
        <v>1.1150512047031558</v>
      </c>
      <c r="J130" s="354">
        <f>SUM(J6,J73)</f>
        <v>350000</v>
      </c>
      <c r="K130" s="354">
        <f>SUM(K6,K73)</f>
        <v>2345693</v>
      </c>
      <c r="L130" s="356"/>
    </row>
    <row r="131" spans="1:12">
      <c r="G131" s="151"/>
      <c r="H131" s="151"/>
      <c r="I131" s="151"/>
      <c r="J131" s="151"/>
      <c r="K131" s="151"/>
    </row>
  </sheetData>
  <mergeCells count="38">
    <mergeCell ref="A7:A62"/>
    <mergeCell ref="B74:B114"/>
    <mergeCell ref="C84:C99"/>
    <mergeCell ref="B115:B129"/>
    <mergeCell ref="A130:C130"/>
    <mergeCell ref="C104:C107"/>
    <mergeCell ref="C77:C83"/>
    <mergeCell ref="C101:C103"/>
    <mergeCell ref="A63:A72"/>
    <mergeCell ref="B63:B72"/>
    <mergeCell ref="A1:L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115:L129"/>
    <mergeCell ref="L74:L114"/>
    <mergeCell ref="A74:A114"/>
    <mergeCell ref="A115:A129"/>
    <mergeCell ref="B5:C5"/>
    <mergeCell ref="B7:B24"/>
    <mergeCell ref="L7:L24"/>
    <mergeCell ref="C60:C62"/>
    <mergeCell ref="B25:B39"/>
    <mergeCell ref="L25:L39"/>
    <mergeCell ref="C11:C14"/>
    <mergeCell ref="B40:B54"/>
    <mergeCell ref="L40:L54"/>
    <mergeCell ref="C58:C59"/>
    <mergeCell ref="B55:B62"/>
    <mergeCell ref="L55:L72"/>
  </mergeCells>
  <printOptions horizontalCentered="1"/>
  <pageMargins left="0" right="0" top="0.39370078740157483" bottom="0.19685039370078741" header="0.39370078740157483" footer="0"/>
  <pageSetup paperSize="9" scale="70" fitToWidth="0" fitToHeight="0" orientation="landscape" horizontalDpi="4294967295" verticalDpi="4294967295" r:id="rId1"/>
  <rowBreaks count="2" manualBreakCount="2">
    <brk id="39" max="11" man="1"/>
    <brk id="99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FF"/>
  </sheetPr>
  <dimension ref="A1:TSH517"/>
  <sheetViews>
    <sheetView view="pageBreakPreview" zoomScale="90" zoomScaleSheetLayoutView="90" workbookViewId="0">
      <pane xSplit="4" ySplit="1" topLeftCell="E489" activePane="bottomRight" state="frozen"/>
      <selection activeCell="L62" sqref="L62"/>
      <selection pane="topRight" activeCell="L62" sqref="L62"/>
      <selection pane="bottomLeft" activeCell="L62" sqref="L62"/>
      <selection pane="bottomRight" activeCell="Q4" sqref="Q4"/>
    </sheetView>
  </sheetViews>
  <sheetFormatPr defaultRowHeight="12.75"/>
  <cols>
    <col min="1" max="1" width="5.42578125" style="2" customWidth="1"/>
    <col min="2" max="2" width="6.42578125" style="2" customWidth="1"/>
    <col min="3" max="3" width="42.7109375" style="2" customWidth="1"/>
    <col min="4" max="4" width="6.7109375" style="2" customWidth="1"/>
    <col min="5" max="5" width="12.28515625" style="2" customWidth="1"/>
    <col min="6" max="6" width="11.28515625" style="2" bestFit="1" customWidth="1"/>
    <col min="7" max="7" width="22.42578125" style="2" hidden="1" customWidth="1"/>
    <col min="8" max="8" width="12.42578125" style="2" hidden="1" customWidth="1"/>
    <col min="9" max="9" width="0.5703125" style="2" hidden="1" customWidth="1"/>
    <col min="10" max="10" width="10.7109375" style="2" hidden="1" customWidth="1"/>
    <col min="11" max="11" width="10.85546875" style="2" bestFit="1" customWidth="1"/>
    <col min="12" max="12" width="74" style="2" customWidth="1"/>
    <col min="13" max="177" width="9.140625" style="2" customWidth="1"/>
    <col min="178" max="178" width="4.28515625" style="2" bestFit="1" customWidth="1"/>
    <col min="179" max="179" width="6.85546875" style="2" bestFit="1" customWidth="1"/>
    <col min="180" max="180" width="11" style="2" customWidth="1"/>
    <col min="181" max="181" width="11.140625" style="2" bestFit="1" customWidth="1"/>
    <col min="182" max="182" width="10.85546875" style="2" customWidth="1"/>
    <col min="183" max="183" width="11.5703125" style="2" customWidth="1"/>
    <col min="184" max="184" width="11.140625" style="2" bestFit="1" customWidth="1"/>
    <col min="185" max="185" width="11" style="2" customWidth="1"/>
    <col min="186" max="186" width="10.42578125" style="2" customWidth="1"/>
    <col min="187" max="187" width="11.28515625" style="2" customWidth="1"/>
    <col min="188" max="189" width="9.140625" style="2" bestFit="1" customWidth="1"/>
    <col min="190" max="191" width="11.140625" style="2" bestFit="1" customWidth="1"/>
    <col min="192" max="192" width="11.5703125" style="2" bestFit="1" customWidth="1"/>
    <col min="193" max="193" width="9.140625" style="2" bestFit="1" customWidth="1"/>
    <col min="194" max="194" width="10.28515625" style="2" customWidth="1"/>
    <col min="195" max="433" width="9.140625" style="2" customWidth="1"/>
    <col min="434" max="434" width="4.28515625" style="2" bestFit="1" customWidth="1"/>
    <col min="435" max="435" width="6.85546875" style="2" bestFit="1" customWidth="1"/>
    <col min="436" max="436" width="11" style="2" customWidth="1"/>
    <col min="437" max="437" width="11.140625" style="2" bestFit="1" customWidth="1"/>
    <col min="438" max="438" width="10.85546875" style="2" customWidth="1"/>
    <col min="439" max="439" width="11.5703125" style="2" customWidth="1"/>
    <col min="440" max="440" width="11.140625" style="2" bestFit="1" customWidth="1"/>
    <col min="441" max="441" width="11" style="2" customWidth="1"/>
    <col min="442" max="442" width="10.42578125" style="2" customWidth="1"/>
    <col min="443" max="443" width="11.28515625" style="2" customWidth="1"/>
    <col min="444" max="445" width="9.140625" style="2" bestFit="1" customWidth="1"/>
    <col min="446" max="447" width="11.140625" style="2" bestFit="1" customWidth="1"/>
    <col min="448" max="448" width="11.5703125" style="2" bestFit="1" customWidth="1"/>
    <col min="449" max="449" width="9.140625" style="2" bestFit="1" customWidth="1"/>
    <col min="450" max="450" width="10.28515625" style="2" customWidth="1"/>
    <col min="451" max="689" width="9.140625" style="2" customWidth="1"/>
    <col min="690" max="690" width="4.28515625" style="2" bestFit="1" customWidth="1"/>
    <col min="691" max="691" width="6.85546875" style="2" bestFit="1" customWidth="1"/>
    <col min="692" max="692" width="11" style="2" customWidth="1"/>
    <col min="693" max="693" width="11.140625" style="2" bestFit="1" customWidth="1"/>
    <col min="694" max="694" width="10.85546875" style="2" customWidth="1"/>
    <col min="695" max="695" width="11.5703125" style="2" customWidth="1"/>
    <col min="696" max="696" width="11.140625" style="2" bestFit="1" customWidth="1"/>
    <col min="697" max="697" width="11" style="2" customWidth="1"/>
    <col min="698" max="698" width="10.42578125" style="2" customWidth="1"/>
    <col min="699" max="699" width="11.28515625" style="2" customWidth="1"/>
    <col min="700" max="701" width="9.140625" style="2" bestFit="1" customWidth="1"/>
    <col min="702" max="703" width="11.140625" style="2" bestFit="1" customWidth="1"/>
    <col min="704" max="704" width="11.5703125" style="2" bestFit="1" customWidth="1"/>
    <col min="705" max="705" width="9.140625" style="2" bestFit="1" customWidth="1"/>
    <col min="706" max="706" width="10.28515625" style="2" customWidth="1"/>
    <col min="707" max="945" width="9.140625" style="2" customWidth="1"/>
    <col min="946" max="946" width="4.28515625" style="2" bestFit="1" customWidth="1"/>
    <col min="947" max="947" width="6.85546875" style="2" bestFit="1" customWidth="1"/>
    <col min="948" max="948" width="11" style="2" customWidth="1"/>
    <col min="949" max="949" width="11.140625" style="2" bestFit="1" customWidth="1"/>
    <col min="950" max="950" width="10.85546875" style="2" customWidth="1"/>
    <col min="951" max="951" width="11.5703125" style="2" customWidth="1"/>
    <col min="952" max="952" width="11.140625" style="2" bestFit="1" customWidth="1"/>
    <col min="953" max="953" width="11" style="2" customWidth="1"/>
    <col min="954" max="954" width="10.42578125" style="2" customWidth="1"/>
    <col min="955" max="955" width="11.28515625" style="2" customWidth="1"/>
    <col min="956" max="957" width="9.140625" style="2" bestFit="1" customWidth="1"/>
    <col min="958" max="959" width="11.140625" style="2" bestFit="1" customWidth="1"/>
    <col min="960" max="960" width="11.5703125" style="2" bestFit="1" customWidth="1"/>
    <col min="961" max="961" width="9.140625" style="2" bestFit="1" customWidth="1"/>
    <col min="962" max="962" width="10.28515625" style="2" customWidth="1"/>
    <col min="963" max="1201" width="9.140625" style="2" customWidth="1"/>
    <col min="1202" max="1202" width="4.28515625" style="2" bestFit="1" customWidth="1"/>
    <col min="1203" max="1203" width="6.85546875" style="2" bestFit="1" customWidth="1"/>
    <col min="1204" max="1204" width="11" style="2" customWidth="1"/>
    <col min="1205" max="1205" width="11.140625" style="2" bestFit="1" customWidth="1"/>
    <col min="1206" max="1206" width="10.85546875" style="2" customWidth="1"/>
    <col min="1207" max="1207" width="11.5703125" style="2" customWidth="1"/>
    <col min="1208" max="1208" width="11.140625" style="2" bestFit="1" customWidth="1"/>
    <col min="1209" max="1209" width="11" style="2" customWidth="1"/>
    <col min="1210" max="1210" width="10.42578125" style="2" customWidth="1"/>
    <col min="1211" max="1211" width="11.28515625" style="2" customWidth="1"/>
    <col min="1212" max="1213" width="9.140625" style="2" bestFit="1" customWidth="1"/>
    <col min="1214" max="1215" width="11.140625" style="2" bestFit="1" customWidth="1"/>
    <col min="1216" max="1216" width="11.5703125" style="2" bestFit="1" customWidth="1"/>
    <col min="1217" max="1217" width="9.140625" style="2" bestFit="1" customWidth="1"/>
    <col min="1218" max="1218" width="10.28515625" style="2" customWidth="1"/>
    <col min="1219" max="1457" width="9.140625" style="2" customWidth="1"/>
    <col min="1458" max="1458" width="4.28515625" style="2" bestFit="1" customWidth="1"/>
    <col min="1459" max="1459" width="6.85546875" style="2" bestFit="1" customWidth="1"/>
    <col min="1460" max="1460" width="11" style="2" customWidth="1"/>
    <col min="1461" max="1461" width="11.140625" style="2" bestFit="1" customWidth="1"/>
    <col min="1462" max="1462" width="10.85546875" style="2" customWidth="1"/>
    <col min="1463" max="1463" width="11.5703125" style="2" customWidth="1"/>
    <col min="1464" max="1464" width="11.140625" style="2" bestFit="1" customWidth="1"/>
    <col min="1465" max="1465" width="11" style="2" customWidth="1"/>
    <col min="1466" max="1466" width="10.42578125" style="2" customWidth="1"/>
    <col min="1467" max="1467" width="11.28515625" style="2" customWidth="1"/>
    <col min="1468" max="1469" width="9.140625" style="2" bestFit="1" customWidth="1"/>
    <col min="1470" max="1471" width="11.140625" style="2" bestFit="1" customWidth="1"/>
    <col min="1472" max="1472" width="11.5703125" style="2" bestFit="1" customWidth="1"/>
    <col min="1473" max="1473" width="9.140625" style="2" bestFit="1" customWidth="1"/>
    <col min="1474" max="1474" width="10.28515625" style="2" customWidth="1"/>
    <col min="1475" max="1713" width="9.140625" style="2" customWidth="1"/>
    <col min="1714" max="1714" width="4.28515625" style="2" bestFit="1" customWidth="1"/>
    <col min="1715" max="1715" width="6.85546875" style="2" bestFit="1" customWidth="1"/>
    <col min="1716" max="1716" width="11" style="2" customWidth="1"/>
    <col min="1717" max="1717" width="11.140625" style="2" bestFit="1" customWidth="1"/>
    <col min="1718" max="1718" width="10.85546875" style="2" customWidth="1"/>
    <col min="1719" max="1719" width="11.5703125" style="2" customWidth="1"/>
    <col min="1720" max="1720" width="11.140625" style="2" bestFit="1" customWidth="1"/>
    <col min="1721" max="1721" width="11" style="2" customWidth="1"/>
    <col min="1722" max="1722" width="10.42578125" style="2" customWidth="1"/>
    <col min="1723" max="1723" width="11.28515625" style="2" customWidth="1"/>
    <col min="1724" max="1725" width="9.140625" style="2" bestFit="1" customWidth="1"/>
    <col min="1726" max="1727" width="11.140625" style="2" bestFit="1" customWidth="1"/>
    <col min="1728" max="1728" width="11.5703125" style="2" bestFit="1" customWidth="1"/>
    <col min="1729" max="1729" width="9.140625" style="2" bestFit="1" customWidth="1"/>
    <col min="1730" max="1730" width="10.28515625" style="2" customWidth="1"/>
    <col min="1731" max="1969" width="9.140625" style="2" customWidth="1"/>
    <col min="1970" max="1970" width="4.28515625" style="2" bestFit="1" customWidth="1"/>
    <col min="1971" max="1971" width="6.85546875" style="2" bestFit="1" customWidth="1"/>
    <col min="1972" max="1972" width="11" style="2" customWidth="1"/>
    <col min="1973" max="1973" width="11.140625" style="2" bestFit="1" customWidth="1"/>
    <col min="1974" max="1974" width="10.85546875" style="2" customWidth="1"/>
    <col min="1975" max="1975" width="11.5703125" style="2" customWidth="1"/>
    <col min="1976" max="1976" width="11.140625" style="2" bestFit="1" customWidth="1"/>
    <col min="1977" max="1977" width="11" style="2" customWidth="1"/>
    <col min="1978" max="1978" width="10.42578125" style="2" customWidth="1"/>
    <col min="1979" max="1979" width="11.28515625" style="2" customWidth="1"/>
    <col min="1980" max="1981" width="9.140625" style="2" bestFit="1" customWidth="1"/>
    <col min="1982" max="1983" width="11.140625" style="2" bestFit="1" customWidth="1"/>
    <col min="1984" max="1984" width="11.5703125" style="2" bestFit="1" customWidth="1"/>
    <col min="1985" max="1985" width="9.140625" style="2" bestFit="1" customWidth="1"/>
    <col min="1986" max="1986" width="10.28515625" style="2" customWidth="1"/>
    <col min="1987" max="2225" width="9.140625" style="2" customWidth="1"/>
    <col min="2226" max="2226" width="4.28515625" style="2" bestFit="1" customWidth="1"/>
    <col min="2227" max="2227" width="6.85546875" style="2" bestFit="1" customWidth="1"/>
    <col min="2228" max="2228" width="11" style="2" customWidth="1"/>
    <col min="2229" max="2229" width="11.140625" style="2" bestFit="1" customWidth="1"/>
    <col min="2230" max="2230" width="10.85546875" style="2" customWidth="1"/>
    <col min="2231" max="2231" width="11.5703125" style="2" customWidth="1"/>
    <col min="2232" max="2232" width="11.140625" style="2" bestFit="1" customWidth="1"/>
    <col min="2233" max="2233" width="11" style="2" customWidth="1"/>
    <col min="2234" max="2234" width="10.42578125" style="2" customWidth="1"/>
    <col min="2235" max="2235" width="11.28515625" style="2" customWidth="1"/>
    <col min="2236" max="2237" width="9.140625" style="2" bestFit="1" customWidth="1"/>
    <col min="2238" max="2239" width="11.140625" style="2" bestFit="1" customWidth="1"/>
    <col min="2240" max="2240" width="11.5703125" style="2" bestFit="1" customWidth="1"/>
    <col min="2241" max="2241" width="9.140625" style="2" bestFit="1" customWidth="1"/>
    <col min="2242" max="2242" width="10.28515625" style="2" customWidth="1"/>
    <col min="2243" max="2481" width="9.140625" style="2" customWidth="1"/>
    <col min="2482" max="2482" width="4.28515625" style="2" bestFit="1" customWidth="1"/>
    <col min="2483" max="2483" width="6.85546875" style="2" bestFit="1" customWidth="1"/>
    <col min="2484" max="2484" width="11" style="2" customWidth="1"/>
    <col min="2485" max="2485" width="11.140625" style="2" bestFit="1" customWidth="1"/>
    <col min="2486" max="2486" width="10.85546875" style="2" customWidth="1"/>
    <col min="2487" max="2487" width="11.5703125" style="2" customWidth="1"/>
    <col min="2488" max="2488" width="11.140625" style="2" bestFit="1" customWidth="1"/>
    <col min="2489" max="2489" width="11" style="2" customWidth="1"/>
    <col min="2490" max="2490" width="10.42578125" style="2" customWidth="1"/>
    <col min="2491" max="2491" width="11.28515625" style="2" customWidth="1"/>
    <col min="2492" max="2493" width="9.140625" style="2" bestFit="1" customWidth="1"/>
    <col min="2494" max="2495" width="11.140625" style="2" bestFit="1" customWidth="1"/>
    <col min="2496" max="2496" width="11.5703125" style="2" bestFit="1" customWidth="1"/>
    <col min="2497" max="2497" width="9.140625" style="2" bestFit="1" customWidth="1"/>
    <col min="2498" max="2498" width="10.28515625" style="2" customWidth="1"/>
    <col min="2499" max="2737" width="9.140625" style="2" customWidth="1"/>
    <col min="2738" max="2738" width="4.28515625" style="2" bestFit="1" customWidth="1"/>
    <col min="2739" max="2739" width="6.85546875" style="2" bestFit="1" customWidth="1"/>
    <col min="2740" max="2740" width="11" style="2" customWidth="1"/>
    <col min="2741" max="2741" width="11.140625" style="2" bestFit="1" customWidth="1"/>
    <col min="2742" max="2742" width="10.85546875" style="2" customWidth="1"/>
    <col min="2743" max="2743" width="11.5703125" style="2" customWidth="1"/>
    <col min="2744" max="2744" width="11.140625" style="2" bestFit="1" customWidth="1"/>
    <col min="2745" max="2745" width="11" style="2" customWidth="1"/>
    <col min="2746" max="2746" width="10.42578125" style="2" customWidth="1"/>
    <col min="2747" max="2747" width="11.28515625" style="2" customWidth="1"/>
    <col min="2748" max="2749" width="9.140625" style="2" bestFit="1" customWidth="1"/>
    <col min="2750" max="2751" width="11.140625" style="2" bestFit="1" customWidth="1"/>
    <col min="2752" max="2752" width="11.5703125" style="2" bestFit="1" customWidth="1"/>
    <col min="2753" max="2753" width="9.140625" style="2" bestFit="1" customWidth="1"/>
    <col min="2754" max="2754" width="10.28515625" style="2" customWidth="1"/>
    <col min="2755" max="2993" width="9.140625" style="2" customWidth="1"/>
    <col min="2994" max="2994" width="4.28515625" style="2" bestFit="1" customWidth="1"/>
    <col min="2995" max="2995" width="6.85546875" style="2" bestFit="1" customWidth="1"/>
    <col min="2996" max="2996" width="11" style="2" customWidth="1"/>
    <col min="2997" max="2997" width="11.140625" style="2" bestFit="1" customWidth="1"/>
    <col min="2998" max="2998" width="10.85546875" style="2" customWidth="1"/>
    <col min="2999" max="2999" width="11.5703125" style="2" customWidth="1"/>
    <col min="3000" max="3000" width="11.140625" style="2" bestFit="1" customWidth="1"/>
    <col min="3001" max="3001" width="11" style="2" customWidth="1"/>
    <col min="3002" max="3002" width="10.42578125" style="2" customWidth="1"/>
    <col min="3003" max="3003" width="11.28515625" style="2" customWidth="1"/>
    <col min="3004" max="3005" width="9.140625" style="2" bestFit="1" customWidth="1"/>
    <col min="3006" max="3007" width="11.140625" style="2" bestFit="1" customWidth="1"/>
    <col min="3008" max="3008" width="11.5703125" style="2" bestFit="1" customWidth="1"/>
    <col min="3009" max="3009" width="9.140625" style="2" bestFit="1" customWidth="1"/>
    <col min="3010" max="3010" width="10.28515625" style="2" customWidth="1"/>
    <col min="3011" max="3249" width="9.140625" style="2" customWidth="1"/>
    <col min="3250" max="3250" width="4.28515625" style="2" bestFit="1" customWidth="1"/>
    <col min="3251" max="3251" width="6.85546875" style="2" bestFit="1" customWidth="1"/>
    <col min="3252" max="3252" width="11" style="2" customWidth="1"/>
    <col min="3253" max="3253" width="11.140625" style="2" bestFit="1" customWidth="1"/>
    <col min="3254" max="3254" width="10.85546875" style="2" customWidth="1"/>
    <col min="3255" max="3255" width="11.5703125" style="2" customWidth="1"/>
    <col min="3256" max="3256" width="11.140625" style="2" bestFit="1" customWidth="1"/>
    <col min="3257" max="3257" width="11" style="2" customWidth="1"/>
    <col min="3258" max="3258" width="10.42578125" style="2" customWidth="1"/>
    <col min="3259" max="3259" width="11.28515625" style="2" customWidth="1"/>
    <col min="3260" max="3261" width="9.140625" style="2" bestFit="1" customWidth="1"/>
    <col min="3262" max="3263" width="11.140625" style="2" bestFit="1" customWidth="1"/>
    <col min="3264" max="3264" width="11.5703125" style="2" bestFit="1" customWidth="1"/>
    <col min="3265" max="3265" width="9.140625" style="2" bestFit="1" customWidth="1"/>
    <col min="3266" max="3266" width="10.28515625" style="2" customWidth="1"/>
    <col min="3267" max="3505" width="9.140625" style="2" customWidth="1"/>
    <col min="3506" max="3506" width="4.28515625" style="2" bestFit="1" customWidth="1"/>
    <col min="3507" max="3507" width="6.85546875" style="2" bestFit="1" customWidth="1"/>
    <col min="3508" max="3508" width="11" style="2" customWidth="1"/>
    <col min="3509" max="3509" width="11.140625" style="2" bestFit="1" customWidth="1"/>
    <col min="3510" max="3510" width="10.85546875" style="2" customWidth="1"/>
    <col min="3511" max="3511" width="11.5703125" style="2" customWidth="1"/>
    <col min="3512" max="3512" width="11.140625" style="2" bestFit="1" customWidth="1"/>
    <col min="3513" max="3513" width="11" style="2" customWidth="1"/>
    <col min="3514" max="3514" width="10.42578125" style="2" customWidth="1"/>
    <col min="3515" max="3515" width="11.28515625" style="2" customWidth="1"/>
    <col min="3516" max="3517" width="9.140625" style="2" bestFit="1" customWidth="1"/>
    <col min="3518" max="3519" width="11.140625" style="2" bestFit="1" customWidth="1"/>
    <col min="3520" max="3520" width="11.5703125" style="2" bestFit="1" customWidth="1"/>
    <col min="3521" max="3521" width="9.140625" style="2" bestFit="1" customWidth="1"/>
    <col min="3522" max="3522" width="10.28515625" style="2" customWidth="1"/>
    <col min="3523" max="3761" width="9.140625" style="2" customWidth="1"/>
    <col min="3762" max="3762" width="4.28515625" style="2" bestFit="1" customWidth="1"/>
    <col min="3763" max="3763" width="6.85546875" style="2" bestFit="1" customWidth="1"/>
    <col min="3764" max="3764" width="11" style="2" customWidth="1"/>
    <col min="3765" max="3765" width="11.140625" style="2" bestFit="1" customWidth="1"/>
    <col min="3766" max="3766" width="10.85546875" style="2" customWidth="1"/>
    <col min="3767" max="3767" width="11.5703125" style="2" customWidth="1"/>
    <col min="3768" max="3768" width="11.140625" style="2" bestFit="1" customWidth="1"/>
    <col min="3769" max="3769" width="11" style="2" customWidth="1"/>
    <col min="3770" max="3770" width="10.42578125" style="2" customWidth="1"/>
    <col min="3771" max="3771" width="11.28515625" style="2" customWidth="1"/>
    <col min="3772" max="3773" width="9.140625" style="2" bestFit="1" customWidth="1"/>
    <col min="3774" max="3775" width="11.140625" style="2" bestFit="1" customWidth="1"/>
    <col min="3776" max="3776" width="11.5703125" style="2" bestFit="1" customWidth="1"/>
    <col min="3777" max="3777" width="9.140625" style="2" bestFit="1" customWidth="1"/>
    <col min="3778" max="3778" width="10.28515625" style="2" customWidth="1"/>
    <col min="3779" max="4017" width="9.140625" style="2" customWidth="1"/>
    <col min="4018" max="4018" width="4.28515625" style="2" bestFit="1" customWidth="1"/>
    <col min="4019" max="4019" width="6.85546875" style="2" bestFit="1" customWidth="1"/>
    <col min="4020" max="4020" width="11" style="2" customWidth="1"/>
    <col min="4021" max="4021" width="11.140625" style="2" bestFit="1" customWidth="1"/>
    <col min="4022" max="4022" width="10.85546875" style="2" customWidth="1"/>
    <col min="4023" max="4023" width="11.5703125" style="2" customWidth="1"/>
    <col min="4024" max="4024" width="11.140625" style="2" bestFit="1" customWidth="1"/>
    <col min="4025" max="4025" width="11" style="2" customWidth="1"/>
    <col min="4026" max="4026" width="10.42578125" style="2" customWidth="1"/>
    <col min="4027" max="4027" width="11.28515625" style="2" customWidth="1"/>
    <col min="4028" max="4029" width="9.140625" style="2" bestFit="1" customWidth="1"/>
    <col min="4030" max="4031" width="11.140625" style="2" bestFit="1" customWidth="1"/>
    <col min="4032" max="4032" width="11.5703125" style="2" bestFit="1" customWidth="1"/>
    <col min="4033" max="4033" width="9.140625" style="2" bestFit="1" customWidth="1"/>
    <col min="4034" max="4034" width="10.28515625" style="2" customWidth="1"/>
    <col min="4035" max="4273" width="9.140625" style="2" customWidth="1"/>
    <col min="4274" max="4274" width="4.28515625" style="2" bestFit="1" customWidth="1"/>
    <col min="4275" max="4275" width="6.85546875" style="2" bestFit="1" customWidth="1"/>
    <col min="4276" max="4276" width="11" style="2" customWidth="1"/>
    <col min="4277" max="4277" width="11.140625" style="2" bestFit="1" customWidth="1"/>
    <col min="4278" max="4278" width="10.85546875" style="2" customWidth="1"/>
    <col min="4279" max="4279" width="11.5703125" style="2" customWidth="1"/>
    <col min="4280" max="4280" width="11.140625" style="2" bestFit="1" customWidth="1"/>
    <col min="4281" max="4281" width="11" style="2" customWidth="1"/>
    <col min="4282" max="4282" width="10.42578125" style="2" customWidth="1"/>
    <col min="4283" max="4283" width="11.28515625" style="2" customWidth="1"/>
    <col min="4284" max="4285" width="9.140625" style="2" bestFit="1" customWidth="1"/>
    <col min="4286" max="4287" width="11.140625" style="2" bestFit="1" customWidth="1"/>
    <col min="4288" max="4288" width="11.5703125" style="2" bestFit="1" customWidth="1"/>
    <col min="4289" max="4289" width="9.140625" style="2" bestFit="1" customWidth="1"/>
    <col min="4290" max="4290" width="10.28515625" style="2" customWidth="1"/>
    <col min="4291" max="4529" width="9.140625" style="2" customWidth="1"/>
    <col min="4530" max="4530" width="4.28515625" style="2" bestFit="1" customWidth="1"/>
    <col min="4531" max="4531" width="6.85546875" style="2" bestFit="1" customWidth="1"/>
    <col min="4532" max="4532" width="11" style="2" customWidth="1"/>
    <col min="4533" max="4533" width="11.140625" style="2" bestFit="1" customWidth="1"/>
    <col min="4534" max="4534" width="10.85546875" style="2" customWidth="1"/>
    <col min="4535" max="4535" width="11.5703125" style="2" customWidth="1"/>
    <col min="4536" max="4536" width="11.140625" style="2" bestFit="1" customWidth="1"/>
    <col min="4537" max="4537" width="11" style="2" customWidth="1"/>
    <col min="4538" max="4538" width="10.42578125" style="2" customWidth="1"/>
    <col min="4539" max="4539" width="11.28515625" style="2" customWidth="1"/>
    <col min="4540" max="4541" width="9.140625" style="2" bestFit="1" customWidth="1"/>
    <col min="4542" max="4543" width="11.140625" style="2" bestFit="1" customWidth="1"/>
    <col min="4544" max="4544" width="11.5703125" style="2" bestFit="1" customWidth="1"/>
    <col min="4545" max="4545" width="9.140625" style="2" bestFit="1" customWidth="1"/>
    <col min="4546" max="4546" width="10.28515625" style="2" customWidth="1"/>
    <col min="4547" max="4785" width="9.140625" style="2" customWidth="1"/>
    <col min="4786" max="4786" width="4.28515625" style="2" bestFit="1" customWidth="1"/>
    <col min="4787" max="4787" width="6.85546875" style="2" bestFit="1" customWidth="1"/>
    <col min="4788" max="4788" width="11" style="2" customWidth="1"/>
    <col min="4789" max="4789" width="11.140625" style="2" bestFit="1" customWidth="1"/>
    <col min="4790" max="4790" width="10.85546875" style="2" customWidth="1"/>
    <col min="4791" max="4791" width="11.5703125" style="2" customWidth="1"/>
    <col min="4792" max="4792" width="11.140625" style="2" bestFit="1" customWidth="1"/>
    <col min="4793" max="4793" width="11" style="2" customWidth="1"/>
    <col min="4794" max="4794" width="10.42578125" style="2" customWidth="1"/>
    <col min="4795" max="4795" width="11.28515625" style="2" customWidth="1"/>
    <col min="4796" max="4797" width="9.140625" style="2" bestFit="1" customWidth="1"/>
    <col min="4798" max="4799" width="11.140625" style="2" bestFit="1" customWidth="1"/>
    <col min="4800" max="4800" width="11.5703125" style="2" bestFit="1" customWidth="1"/>
    <col min="4801" max="4801" width="9.140625" style="2" bestFit="1" customWidth="1"/>
    <col min="4802" max="4802" width="10.28515625" style="2" customWidth="1"/>
    <col min="4803" max="5041" width="9.140625" style="2" customWidth="1"/>
    <col min="5042" max="5042" width="4.28515625" style="2" bestFit="1" customWidth="1"/>
    <col min="5043" max="5043" width="6.85546875" style="2" bestFit="1" customWidth="1"/>
    <col min="5044" max="5044" width="11" style="2" customWidth="1"/>
    <col min="5045" max="5045" width="11.140625" style="2" bestFit="1" customWidth="1"/>
    <col min="5046" max="5046" width="10.85546875" style="2" customWidth="1"/>
    <col min="5047" max="5047" width="11.5703125" style="2" customWidth="1"/>
    <col min="5048" max="5048" width="11.140625" style="2" bestFit="1" customWidth="1"/>
    <col min="5049" max="5049" width="11" style="2" customWidth="1"/>
    <col min="5050" max="5050" width="10.42578125" style="2" customWidth="1"/>
    <col min="5051" max="5051" width="11.28515625" style="2" customWidth="1"/>
    <col min="5052" max="5053" width="9.140625" style="2" bestFit="1" customWidth="1"/>
    <col min="5054" max="5055" width="11.140625" style="2" bestFit="1" customWidth="1"/>
    <col min="5056" max="5056" width="11.5703125" style="2" bestFit="1" customWidth="1"/>
    <col min="5057" max="5057" width="9.140625" style="2" bestFit="1" customWidth="1"/>
    <col min="5058" max="5058" width="10.28515625" style="2" customWidth="1"/>
    <col min="5059" max="5297" width="9.140625" style="2" customWidth="1"/>
    <col min="5298" max="5298" width="4.28515625" style="2" bestFit="1" customWidth="1"/>
    <col min="5299" max="5299" width="6.85546875" style="2" bestFit="1" customWidth="1"/>
    <col min="5300" max="5300" width="11" style="2" customWidth="1"/>
    <col min="5301" max="5301" width="11.140625" style="2" bestFit="1" customWidth="1"/>
    <col min="5302" max="5302" width="10.85546875" style="2" customWidth="1"/>
    <col min="5303" max="5303" width="11.5703125" style="2" customWidth="1"/>
    <col min="5304" max="5304" width="11.140625" style="2" bestFit="1" customWidth="1"/>
    <col min="5305" max="5305" width="11" style="2" customWidth="1"/>
    <col min="5306" max="5306" width="10.42578125" style="2" customWidth="1"/>
    <col min="5307" max="5307" width="11.28515625" style="2" customWidth="1"/>
    <col min="5308" max="5309" width="9.140625" style="2" bestFit="1" customWidth="1"/>
    <col min="5310" max="5311" width="11.140625" style="2" bestFit="1" customWidth="1"/>
    <col min="5312" max="5312" width="11.5703125" style="2" bestFit="1" customWidth="1"/>
    <col min="5313" max="5313" width="9.140625" style="2" bestFit="1" customWidth="1"/>
    <col min="5314" max="5314" width="10.28515625" style="2" customWidth="1"/>
    <col min="5315" max="5553" width="9.140625" style="2" customWidth="1"/>
    <col min="5554" max="5554" width="4.28515625" style="2" bestFit="1" customWidth="1"/>
    <col min="5555" max="5555" width="6.85546875" style="2" bestFit="1" customWidth="1"/>
    <col min="5556" max="5556" width="11" style="2" customWidth="1"/>
    <col min="5557" max="5557" width="11.140625" style="2" bestFit="1" customWidth="1"/>
    <col min="5558" max="5558" width="10.85546875" style="2" customWidth="1"/>
    <col min="5559" max="5559" width="11.5703125" style="2" customWidth="1"/>
    <col min="5560" max="5560" width="11.140625" style="2" bestFit="1" customWidth="1"/>
    <col min="5561" max="5561" width="11" style="2" customWidth="1"/>
    <col min="5562" max="5562" width="10.42578125" style="2" customWidth="1"/>
    <col min="5563" max="5563" width="11.28515625" style="2" customWidth="1"/>
    <col min="5564" max="5565" width="9.140625" style="2" bestFit="1" customWidth="1"/>
    <col min="5566" max="5567" width="11.140625" style="2" bestFit="1" customWidth="1"/>
    <col min="5568" max="5568" width="11.5703125" style="2" bestFit="1" customWidth="1"/>
    <col min="5569" max="5569" width="9.140625" style="2" bestFit="1" customWidth="1"/>
    <col min="5570" max="5570" width="10.28515625" style="2" customWidth="1"/>
    <col min="5571" max="5809" width="9.140625" style="2" customWidth="1"/>
    <col min="5810" max="5810" width="4.28515625" style="2" bestFit="1" customWidth="1"/>
    <col min="5811" max="5811" width="6.85546875" style="2" bestFit="1" customWidth="1"/>
    <col min="5812" max="5812" width="11" style="2" customWidth="1"/>
    <col min="5813" max="5813" width="11.140625" style="2" bestFit="1" customWidth="1"/>
    <col min="5814" max="5814" width="10.85546875" style="2" customWidth="1"/>
    <col min="5815" max="5815" width="11.5703125" style="2" customWidth="1"/>
    <col min="5816" max="5816" width="11.140625" style="2" bestFit="1" customWidth="1"/>
    <col min="5817" max="5817" width="11" style="2" customWidth="1"/>
    <col min="5818" max="5818" width="10.42578125" style="2" customWidth="1"/>
    <col min="5819" max="5819" width="11.28515625" style="2" customWidth="1"/>
    <col min="5820" max="5821" width="9.140625" style="2" bestFit="1" customWidth="1"/>
    <col min="5822" max="5823" width="11.140625" style="2" bestFit="1" customWidth="1"/>
    <col min="5824" max="5824" width="11.5703125" style="2" bestFit="1" customWidth="1"/>
    <col min="5825" max="5825" width="9.140625" style="2" bestFit="1" customWidth="1"/>
    <col min="5826" max="5826" width="10.28515625" style="2" customWidth="1"/>
    <col min="5827" max="6065" width="9.140625" style="2" customWidth="1"/>
    <col min="6066" max="6066" width="4.28515625" style="2" bestFit="1" customWidth="1"/>
    <col min="6067" max="6067" width="6.85546875" style="2" bestFit="1" customWidth="1"/>
    <col min="6068" max="6068" width="11" style="2" customWidth="1"/>
    <col min="6069" max="6069" width="11.140625" style="2" bestFit="1" customWidth="1"/>
    <col min="6070" max="6070" width="10.85546875" style="2" customWidth="1"/>
    <col min="6071" max="6071" width="11.5703125" style="2" customWidth="1"/>
    <col min="6072" max="6072" width="11.140625" style="2" bestFit="1" customWidth="1"/>
    <col min="6073" max="6073" width="11" style="2" customWidth="1"/>
    <col min="6074" max="6074" width="10.42578125" style="2" customWidth="1"/>
    <col min="6075" max="6075" width="11.28515625" style="2" customWidth="1"/>
    <col min="6076" max="6077" width="9.140625" style="2" bestFit="1" customWidth="1"/>
    <col min="6078" max="6079" width="11.140625" style="2" bestFit="1" customWidth="1"/>
    <col min="6080" max="6080" width="11.5703125" style="2" bestFit="1" customWidth="1"/>
    <col min="6081" max="6081" width="9.140625" style="2" bestFit="1" customWidth="1"/>
    <col min="6082" max="6082" width="10.28515625" style="2" customWidth="1"/>
    <col min="6083" max="6321" width="9.140625" style="2" customWidth="1"/>
    <col min="6322" max="6322" width="4.28515625" style="2" bestFit="1" customWidth="1"/>
    <col min="6323" max="6323" width="6.85546875" style="2" bestFit="1" customWidth="1"/>
    <col min="6324" max="6324" width="11" style="2" customWidth="1"/>
    <col min="6325" max="6325" width="11.140625" style="2" bestFit="1" customWidth="1"/>
    <col min="6326" max="6326" width="10.85546875" style="2" customWidth="1"/>
    <col min="6327" max="6327" width="11.5703125" style="2" customWidth="1"/>
    <col min="6328" max="6328" width="11.140625" style="2" bestFit="1" customWidth="1"/>
    <col min="6329" max="6329" width="11" style="2" customWidth="1"/>
    <col min="6330" max="6330" width="10.42578125" style="2" customWidth="1"/>
    <col min="6331" max="6331" width="11.28515625" style="2" customWidth="1"/>
    <col min="6332" max="6333" width="9.140625" style="2" bestFit="1" customWidth="1"/>
    <col min="6334" max="6335" width="11.140625" style="2" bestFit="1" customWidth="1"/>
    <col min="6336" max="6336" width="11.5703125" style="2" bestFit="1" customWidth="1"/>
    <col min="6337" max="6337" width="9.140625" style="2" bestFit="1" customWidth="1"/>
    <col min="6338" max="6338" width="10.28515625" style="2" customWidth="1"/>
    <col min="6339" max="6577" width="9.140625" style="2" customWidth="1"/>
    <col min="6578" max="6578" width="4.28515625" style="2" bestFit="1" customWidth="1"/>
    <col min="6579" max="6579" width="6.85546875" style="2" bestFit="1" customWidth="1"/>
    <col min="6580" max="6580" width="11" style="2" customWidth="1"/>
    <col min="6581" max="6581" width="11.140625" style="2" bestFit="1" customWidth="1"/>
    <col min="6582" max="6582" width="10.85546875" style="2" customWidth="1"/>
    <col min="6583" max="6583" width="11.5703125" style="2" customWidth="1"/>
    <col min="6584" max="6584" width="11.140625" style="2" bestFit="1" customWidth="1"/>
    <col min="6585" max="6585" width="11" style="2" customWidth="1"/>
    <col min="6586" max="6586" width="10.42578125" style="2" customWidth="1"/>
    <col min="6587" max="6587" width="11.28515625" style="2" customWidth="1"/>
    <col min="6588" max="6589" width="9.140625" style="2" bestFit="1" customWidth="1"/>
    <col min="6590" max="6591" width="11.140625" style="2" bestFit="1" customWidth="1"/>
    <col min="6592" max="6592" width="11.5703125" style="2" bestFit="1" customWidth="1"/>
    <col min="6593" max="6593" width="9.140625" style="2" bestFit="1" customWidth="1"/>
    <col min="6594" max="6594" width="10.28515625" style="2" customWidth="1"/>
    <col min="6595" max="6833" width="9.140625" style="2" customWidth="1"/>
    <col min="6834" max="6834" width="4.28515625" style="2" bestFit="1" customWidth="1"/>
    <col min="6835" max="6835" width="6.85546875" style="2" bestFit="1" customWidth="1"/>
    <col min="6836" max="6836" width="11" style="2" customWidth="1"/>
    <col min="6837" max="6837" width="11.140625" style="2" bestFit="1" customWidth="1"/>
    <col min="6838" max="6838" width="10.85546875" style="2" customWidth="1"/>
    <col min="6839" max="6839" width="11.5703125" style="2" customWidth="1"/>
    <col min="6840" max="6840" width="11.140625" style="2" bestFit="1" customWidth="1"/>
    <col min="6841" max="6841" width="11" style="2" customWidth="1"/>
    <col min="6842" max="6842" width="10.42578125" style="2" customWidth="1"/>
    <col min="6843" max="6843" width="11.28515625" style="2" customWidth="1"/>
    <col min="6844" max="6845" width="9.140625" style="2" bestFit="1" customWidth="1"/>
    <col min="6846" max="6847" width="11.140625" style="2" bestFit="1" customWidth="1"/>
    <col min="6848" max="6848" width="11.5703125" style="2" bestFit="1" customWidth="1"/>
    <col min="6849" max="6849" width="9.140625" style="2" bestFit="1" customWidth="1"/>
    <col min="6850" max="6850" width="10.28515625" style="2" customWidth="1"/>
    <col min="6851" max="7089" width="9.140625" style="2" customWidth="1"/>
    <col min="7090" max="7090" width="4.28515625" style="2" bestFit="1" customWidth="1"/>
    <col min="7091" max="7091" width="6.85546875" style="2" bestFit="1" customWidth="1"/>
    <col min="7092" max="7092" width="11" style="2" customWidth="1"/>
    <col min="7093" max="7093" width="11.140625" style="2" bestFit="1" customWidth="1"/>
    <col min="7094" max="7094" width="10.85546875" style="2" customWidth="1"/>
    <col min="7095" max="7095" width="11.5703125" style="2" customWidth="1"/>
    <col min="7096" max="7096" width="11.140625" style="2" bestFit="1" customWidth="1"/>
    <col min="7097" max="7097" width="11" style="2" customWidth="1"/>
    <col min="7098" max="7098" width="10.42578125" style="2" customWidth="1"/>
    <col min="7099" max="7099" width="11.28515625" style="2" customWidth="1"/>
    <col min="7100" max="7101" width="9.140625" style="2" bestFit="1" customWidth="1"/>
    <col min="7102" max="7103" width="11.140625" style="2" bestFit="1" customWidth="1"/>
    <col min="7104" max="7104" width="11.5703125" style="2" bestFit="1" customWidth="1"/>
    <col min="7105" max="7105" width="9.140625" style="2" bestFit="1" customWidth="1"/>
    <col min="7106" max="7106" width="10.28515625" style="2" customWidth="1"/>
    <col min="7107" max="7345" width="9.140625" style="2" customWidth="1"/>
    <col min="7346" max="7346" width="4.28515625" style="2" bestFit="1" customWidth="1"/>
    <col min="7347" max="7347" width="6.85546875" style="2" bestFit="1" customWidth="1"/>
    <col min="7348" max="7348" width="11" style="2" customWidth="1"/>
    <col min="7349" max="7349" width="11.140625" style="2" bestFit="1" customWidth="1"/>
    <col min="7350" max="7350" width="10.85546875" style="2" customWidth="1"/>
    <col min="7351" max="7351" width="11.5703125" style="2" customWidth="1"/>
    <col min="7352" max="7352" width="11.140625" style="2" bestFit="1" customWidth="1"/>
    <col min="7353" max="7353" width="11" style="2" customWidth="1"/>
    <col min="7354" max="7354" width="10.42578125" style="2" customWidth="1"/>
    <col min="7355" max="7355" width="11.28515625" style="2" customWidth="1"/>
    <col min="7356" max="7357" width="9.140625" style="2" bestFit="1" customWidth="1"/>
    <col min="7358" max="7359" width="11.140625" style="2" bestFit="1" customWidth="1"/>
    <col min="7360" max="7360" width="11.5703125" style="2" bestFit="1" customWidth="1"/>
    <col min="7361" max="7361" width="9.140625" style="2" bestFit="1" customWidth="1"/>
    <col min="7362" max="7362" width="10.28515625" style="2" customWidth="1"/>
    <col min="7363" max="7601" width="9.140625" style="2" customWidth="1"/>
    <col min="7602" max="7602" width="4.28515625" style="2" bestFit="1" customWidth="1"/>
    <col min="7603" max="7603" width="6.85546875" style="2" bestFit="1" customWidth="1"/>
    <col min="7604" max="7604" width="11" style="2" customWidth="1"/>
    <col min="7605" max="7605" width="11.140625" style="2" bestFit="1" customWidth="1"/>
    <col min="7606" max="7606" width="10.85546875" style="2" customWidth="1"/>
    <col min="7607" max="7607" width="11.5703125" style="2" customWidth="1"/>
    <col min="7608" max="7608" width="11.140625" style="2" bestFit="1" customWidth="1"/>
    <col min="7609" max="7609" width="11" style="2" customWidth="1"/>
    <col min="7610" max="7610" width="10.42578125" style="2" customWidth="1"/>
    <col min="7611" max="7611" width="11.28515625" style="2" customWidth="1"/>
    <col min="7612" max="7613" width="9.140625" style="2" bestFit="1" customWidth="1"/>
    <col min="7614" max="7615" width="11.140625" style="2" bestFit="1" customWidth="1"/>
    <col min="7616" max="7616" width="11.5703125" style="2" bestFit="1" customWidth="1"/>
    <col min="7617" max="7617" width="9.140625" style="2" bestFit="1" customWidth="1"/>
    <col min="7618" max="7618" width="10.28515625" style="2" customWidth="1"/>
    <col min="7619" max="7857" width="9.140625" style="2" customWidth="1"/>
    <col min="7858" max="7858" width="4.28515625" style="2" bestFit="1" customWidth="1"/>
    <col min="7859" max="7859" width="6.85546875" style="2" bestFit="1" customWidth="1"/>
    <col min="7860" max="7860" width="11" style="2" customWidth="1"/>
    <col min="7861" max="7861" width="11.140625" style="2" bestFit="1" customWidth="1"/>
    <col min="7862" max="7862" width="10.85546875" style="2" customWidth="1"/>
    <col min="7863" max="7863" width="11.5703125" style="2" customWidth="1"/>
    <col min="7864" max="7864" width="11.140625" style="2" bestFit="1" customWidth="1"/>
    <col min="7865" max="7865" width="11" style="2" customWidth="1"/>
    <col min="7866" max="7866" width="10.42578125" style="2" customWidth="1"/>
    <col min="7867" max="7867" width="11.28515625" style="2" customWidth="1"/>
    <col min="7868" max="7869" width="9.140625" style="2" bestFit="1" customWidth="1"/>
    <col min="7870" max="7871" width="11.140625" style="2" bestFit="1" customWidth="1"/>
    <col min="7872" max="7872" width="11.5703125" style="2" bestFit="1" customWidth="1"/>
    <col min="7873" max="7873" width="9.140625" style="2" bestFit="1" customWidth="1"/>
    <col min="7874" max="7874" width="10.28515625" style="2" customWidth="1"/>
    <col min="7875" max="8113" width="9.140625" style="2" customWidth="1"/>
    <col min="8114" max="8114" width="4.28515625" style="2" bestFit="1" customWidth="1"/>
    <col min="8115" max="8115" width="6.85546875" style="2" bestFit="1" customWidth="1"/>
    <col min="8116" max="8116" width="11" style="2" customWidth="1"/>
    <col min="8117" max="8117" width="11.140625" style="2" bestFit="1" customWidth="1"/>
    <col min="8118" max="8118" width="10.85546875" style="2" customWidth="1"/>
    <col min="8119" max="8119" width="11.5703125" style="2" customWidth="1"/>
    <col min="8120" max="8120" width="11.140625" style="2" bestFit="1" customWidth="1"/>
    <col min="8121" max="8121" width="11" style="2" customWidth="1"/>
    <col min="8122" max="8122" width="10.42578125" style="2" customWidth="1"/>
    <col min="8123" max="8123" width="11.28515625" style="2" customWidth="1"/>
    <col min="8124" max="8125" width="9.140625" style="2" bestFit="1" customWidth="1"/>
    <col min="8126" max="8127" width="11.140625" style="2" bestFit="1" customWidth="1"/>
    <col min="8128" max="8128" width="11.5703125" style="2" bestFit="1" customWidth="1"/>
    <col min="8129" max="8129" width="9.140625" style="2" bestFit="1" customWidth="1"/>
    <col min="8130" max="8130" width="10.28515625" style="2" customWidth="1"/>
    <col min="8131" max="8369" width="9.140625" style="2" customWidth="1"/>
    <col min="8370" max="8370" width="4.28515625" style="2" bestFit="1" customWidth="1"/>
    <col min="8371" max="8371" width="6.85546875" style="2" bestFit="1" customWidth="1"/>
    <col min="8372" max="8372" width="11" style="2" customWidth="1"/>
    <col min="8373" max="8373" width="11.140625" style="2" bestFit="1" customWidth="1"/>
    <col min="8374" max="8374" width="10.85546875" style="2" customWidth="1"/>
    <col min="8375" max="8375" width="11.5703125" style="2" customWidth="1"/>
    <col min="8376" max="8376" width="11.140625" style="2" bestFit="1" customWidth="1"/>
    <col min="8377" max="8377" width="11" style="2" customWidth="1"/>
    <col min="8378" max="8378" width="10.42578125" style="2" customWidth="1"/>
    <col min="8379" max="8379" width="11.28515625" style="2" customWidth="1"/>
    <col min="8380" max="8381" width="9.140625" style="2" bestFit="1" customWidth="1"/>
    <col min="8382" max="8383" width="11.140625" style="2" bestFit="1" customWidth="1"/>
    <col min="8384" max="8384" width="11.5703125" style="2" bestFit="1" customWidth="1"/>
    <col min="8385" max="8385" width="9.140625" style="2" bestFit="1" customWidth="1"/>
    <col min="8386" max="8386" width="10.28515625" style="2" customWidth="1"/>
    <col min="8387" max="8625" width="9.140625" style="2" customWidth="1"/>
    <col min="8626" max="8626" width="4.28515625" style="2" bestFit="1" customWidth="1"/>
    <col min="8627" max="8627" width="6.85546875" style="2" bestFit="1" customWidth="1"/>
    <col min="8628" max="8628" width="11" style="2" customWidth="1"/>
    <col min="8629" max="8629" width="11.140625" style="2" bestFit="1" customWidth="1"/>
    <col min="8630" max="8630" width="10.85546875" style="2" customWidth="1"/>
    <col min="8631" max="8631" width="11.5703125" style="2" customWidth="1"/>
    <col min="8632" max="8632" width="11.140625" style="2" bestFit="1" customWidth="1"/>
    <col min="8633" max="8633" width="11" style="2" customWidth="1"/>
    <col min="8634" max="8634" width="10.42578125" style="2" customWidth="1"/>
    <col min="8635" max="8635" width="11.28515625" style="2" customWidth="1"/>
    <col min="8636" max="8637" width="9.140625" style="2" bestFit="1" customWidth="1"/>
    <col min="8638" max="8639" width="11.140625" style="2" bestFit="1" customWidth="1"/>
    <col min="8640" max="8640" width="11.5703125" style="2" bestFit="1" customWidth="1"/>
    <col min="8641" max="8641" width="9.140625" style="2" bestFit="1" customWidth="1"/>
    <col min="8642" max="8642" width="10.28515625" style="2" customWidth="1"/>
    <col min="8643" max="8881" width="9.140625" style="2" customWidth="1"/>
    <col min="8882" max="8882" width="4.28515625" style="2" bestFit="1" customWidth="1"/>
    <col min="8883" max="8883" width="6.85546875" style="2" bestFit="1" customWidth="1"/>
    <col min="8884" max="8884" width="11" style="2" customWidth="1"/>
    <col min="8885" max="8885" width="11.140625" style="2" bestFit="1" customWidth="1"/>
    <col min="8886" max="8886" width="10.85546875" style="2" customWidth="1"/>
    <col min="8887" max="8887" width="11.5703125" style="2" customWidth="1"/>
    <col min="8888" max="8888" width="11.140625" style="2" bestFit="1" customWidth="1"/>
    <col min="8889" max="8889" width="11" style="2" customWidth="1"/>
    <col min="8890" max="8890" width="10.42578125" style="2" customWidth="1"/>
    <col min="8891" max="8891" width="11.28515625" style="2" customWidth="1"/>
    <col min="8892" max="8893" width="9.140625" style="2" bestFit="1" customWidth="1"/>
    <col min="8894" max="8895" width="11.140625" style="2" bestFit="1" customWidth="1"/>
    <col min="8896" max="8896" width="11.5703125" style="2" bestFit="1" customWidth="1"/>
    <col min="8897" max="8897" width="9.140625" style="2" bestFit="1" customWidth="1"/>
    <col min="8898" max="8898" width="10.28515625" style="2" customWidth="1"/>
    <col min="8899" max="9137" width="9.140625" style="2" customWidth="1"/>
    <col min="9138" max="9138" width="4.28515625" style="2" bestFit="1" customWidth="1"/>
    <col min="9139" max="9139" width="6.85546875" style="2" bestFit="1" customWidth="1"/>
    <col min="9140" max="9140" width="11" style="2" customWidth="1"/>
    <col min="9141" max="9141" width="11.140625" style="2" bestFit="1" customWidth="1"/>
    <col min="9142" max="9142" width="10.85546875" style="2" customWidth="1"/>
    <col min="9143" max="9143" width="11.5703125" style="2" customWidth="1"/>
    <col min="9144" max="9144" width="11.140625" style="2" bestFit="1" customWidth="1"/>
    <col min="9145" max="9145" width="11" style="2" customWidth="1"/>
    <col min="9146" max="9146" width="10.42578125" style="2" customWidth="1"/>
    <col min="9147" max="9147" width="11.28515625" style="2" customWidth="1"/>
    <col min="9148" max="9149" width="9.140625" style="2" bestFit="1" customWidth="1"/>
    <col min="9150" max="9151" width="11.140625" style="2" bestFit="1" customWidth="1"/>
    <col min="9152" max="9152" width="11.5703125" style="2" bestFit="1" customWidth="1"/>
    <col min="9153" max="9153" width="9.140625" style="2" bestFit="1" customWidth="1"/>
    <col min="9154" max="9154" width="10.28515625" style="2" customWidth="1"/>
    <col min="9155" max="9393" width="9.140625" style="2" customWidth="1"/>
    <col min="9394" max="9394" width="4.28515625" style="2" bestFit="1" customWidth="1"/>
    <col min="9395" max="9395" width="6.85546875" style="2" bestFit="1" customWidth="1"/>
    <col min="9396" max="9396" width="11" style="2" customWidth="1"/>
    <col min="9397" max="9397" width="11.140625" style="2" bestFit="1" customWidth="1"/>
    <col min="9398" max="9398" width="10.85546875" style="2" customWidth="1"/>
    <col min="9399" max="9399" width="11.5703125" style="2" customWidth="1"/>
    <col min="9400" max="9400" width="11.140625" style="2" bestFit="1" customWidth="1"/>
    <col min="9401" max="9401" width="11" style="2" customWidth="1"/>
    <col min="9402" max="9402" width="10.42578125" style="2" customWidth="1"/>
    <col min="9403" max="9403" width="11.28515625" style="2" customWidth="1"/>
    <col min="9404" max="9405" width="9.140625" style="2" bestFit="1" customWidth="1"/>
    <col min="9406" max="9407" width="11.140625" style="2" bestFit="1" customWidth="1"/>
    <col min="9408" max="9408" width="11.5703125" style="2" bestFit="1" customWidth="1"/>
    <col min="9409" max="9409" width="9.140625" style="2" bestFit="1" customWidth="1"/>
    <col min="9410" max="9410" width="10.28515625" style="2" customWidth="1"/>
    <col min="9411" max="9649" width="9.140625" style="2" customWidth="1"/>
    <col min="9650" max="9650" width="4.28515625" style="2" bestFit="1" customWidth="1"/>
    <col min="9651" max="9651" width="6.85546875" style="2" bestFit="1" customWidth="1"/>
    <col min="9652" max="9652" width="11" style="2" customWidth="1"/>
    <col min="9653" max="9653" width="11.140625" style="2" bestFit="1" customWidth="1"/>
    <col min="9654" max="9654" width="10.85546875" style="2" customWidth="1"/>
    <col min="9655" max="9655" width="11.5703125" style="2" customWidth="1"/>
    <col min="9656" max="9656" width="11.140625" style="2" bestFit="1" customWidth="1"/>
    <col min="9657" max="9657" width="11" style="2" customWidth="1"/>
    <col min="9658" max="9658" width="10.42578125" style="2" customWidth="1"/>
    <col min="9659" max="9659" width="11.28515625" style="2" customWidth="1"/>
    <col min="9660" max="9661" width="9.140625" style="2" bestFit="1" customWidth="1"/>
    <col min="9662" max="9663" width="11.140625" style="2" bestFit="1" customWidth="1"/>
    <col min="9664" max="9664" width="11.5703125" style="2" bestFit="1" customWidth="1"/>
    <col min="9665" max="9665" width="9.140625" style="2" bestFit="1" customWidth="1"/>
    <col min="9666" max="9666" width="10.28515625" style="2" customWidth="1"/>
    <col min="9667" max="9905" width="9.140625" style="2" customWidth="1"/>
    <col min="9906" max="9906" width="4.28515625" style="2" bestFit="1" customWidth="1"/>
    <col min="9907" max="9907" width="6.85546875" style="2" bestFit="1" customWidth="1"/>
    <col min="9908" max="9908" width="11" style="2" customWidth="1"/>
    <col min="9909" max="9909" width="11.140625" style="2" bestFit="1" customWidth="1"/>
    <col min="9910" max="9910" width="10.85546875" style="2" customWidth="1"/>
    <col min="9911" max="9911" width="11.5703125" style="2" customWidth="1"/>
    <col min="9912" max="9912" width="11.140625" style="2" bestFit="1" customWidth="1"/>
    <col min="9913" max="9913" width="11" style="2" customWidth="1"/>
    <col min="9914" max="9914" width="10.42578125" style="2" customWidth="1"/>
    <col min="9915" max="9915" width="11.28515625" style="2" customWidth="1"/>
    <col min="9916" max="9917" width="9.140625" style="2" bestFit="1" customWidth="1"/>
    <col min="9918" max="9919" width="11.140625" style="2" bestFit="1" customWidth="1"/>
    <col min="9920" max="9920" width="11.5703125" style="2" bestFit="1" customWidth="1"/>
    <col min="9921" max="9921" width="9.140625" style="2" bestFit="1" customWidth="1"/>
    <col min="9922" max="9922" width="10.28515625" style="2" customWidth="1"/>
    <col min="9923" max="10161" width="9.140625" style="2" customWidth="1"/>
    <col min="10162" max="10162" width="4.28515625" style="2" bestFit="1" customWidth="1"/>
    <col min="10163" max="10163" width="6.85546875" style="2" bestFit="1" customWidth="1"/>
    <col min="10164" max="10164" width="11" style="2" customWidth="1"/>
    <col min="10165" max="10165" width="11.140625" style="2" bestFit="1" customWidth="1"/>
    <col min="10166" max="10166" width="10.85546875" style="2" customWidth="1"/>
    <col min="10167" max="10167" width="11.5703125" style="2" customWidth="1"/>
    <col min="10168" max="10168" width="11.140625" style="2" bestFit="1" customWidth="1"/>
    <col min="10169" max="10169" width="11" style="2" customWidth="1"/>
    <col min="10170" max="10170" width="10.42578125" style="2" customWidth="1"/>
    <col min="10171" max="10171" width="11.28515625" style="2" customWidth="1"/>
    <col min="10172" max="10173" width="9.140625" style="2" bestFit="1" customWidth="1"/>
    <col min="10174" max="10175" width="11.140625" style="2" bestFit="1" customWidth="1"/>
    <col min="10176" max="10176" width="11.5703125" style="2" bestFit="1" customWidth="1"/>
    <col min="10177" max="10177" width="9.140625" style="2" bestFit="1" customWidth="1"/>
    <col min="10178" max="10178" width="10.28515625" style="2" customWidth="1"/>
    <col min="10179" max="10417" width="9.140625" style="2" customWidth="1"/>
    <col min="10418" max="10418" width="4.28515625" style="2" bestFit="1" customWidth="1"/>
    <col min="10419" max="10419" width="6.85546875" style="2" bestFit="1" customWidth="1"/>
    <col min="10420" max="10420" width="11" style="2" customWidth="1"/>
    <col min="10421" max="10421" width="11.140625" style="2" bestFit="1" customWidth="1"/>
    <col min="10422" max="10422" width="10.85546875" style="2" customWidth="1"/>
    <col min="10423" max="10423" width="11.5703125" style="2" customWidth="1"/>
    <col min="10424" max="10424" width="11.140625" style="2" bestFit="1" customWidth="1"/>
    <col min="10425" max="10425" width="11" style="2" customWidth="1"/>
    <col min="10426" max="10426" width="10.42578125" style="2" customWidth="1"/>
    <col min="10427" max="10427" width="11.28515625" style="2" customWidth="1"/>
    <col min="10428" max="10429" width="9.140625" style="2" bestFit="1" customWidth="1"/>
    <col min="10430" max="10431" width="11.140625" style="2" bestFit="1" customWidth="1"/>
    <col min="10432" max="10432" width="11.5703125" style="2" bestFit="1" customWidth="1"/>
    <col min="10433" max="10433" width="9.140625" style="2" bestFit="1" customWidth="1"/>
    <col min="10434" max="10434" width="10.28515625" style="2" customWidth="1"/>
    <col min="10435" max="10673" width="9.140625" style="2" customWidth="1"/>
    <col min="10674" max="10674" width="4.28515625" style="2" bestFit="1" customWidth="1"/>
    <col min="10675" max="10675" width="6.85546875" style="2" bestFit="1" customWidth="1"/>
    <col min="10676" max="10676" width="11" style="2" customWidth="1"/>
    <col min="10677" max="10677" width="11.140625" style="2" bestFit="1" customWidth="1"/>
    <col min="10678" max="10678" width="10.85546875" style="2" customWidth="1"/>
    <col min="10679" max="10679" width="11.5703125" style="2" customWidth="1"/>
    <col min="10680" max="10680" width="11.140625" style="2" bestFit="1" customWidth="1"/>
    <col min="10681" max="10681" width="11" style="2" customWidth="1"/>
    <col min="10682" max="10682" width="10.42578125" style="2" customWidth="1"/>
    <col min="10683" max="10683" width="11.28515625" style="2" customWidth="1"/>
    <col min="10684" max="10685" width="9.140625" style="2" bestFit="1" customWidth="1"/>
    <col min="10686" max="10687" width="11.140625" style="2" bestFit="1" customWidth="1"/>
    <col min="10688" max="10688" width="11.5703125" style="2" bestFit="1" customWidth="1"/>
    <col min="10689" max="10689" width="9.140625" style="2" bestFit="1" customWidth="1"/>
    <col min="10690" max="10690" width="10.28515625" style="2" customWidth="1"/>
    <col min="10691" max="10929" width="9.140625" style="2" customWidth="1"/>
    <col min="10930" max="10930" width="4.28515625" style="2" bestFit="1" customWidth="1"/>
    <col min="10931" max="10931" width="6.85546875" style="2" bestFit="1" customWidth="1"/>
    <col min="10932" max="10932" width="11" style="2" customWidth="1"/>
    <col min="10933" max="10933" width="11.140625" style="2" bestFit="1" customWidth="1"/>
    <col min="10934" max="10934" width="10.85546875" style="2" customWidth="1"/>
    <col min="10935" max="10935" width="11.5703125" style="2" customWidth="1"/>
    <col min="10936" max="10936" width="11.140625" style="2" bestFit="1" customWidth="1"/>
    <col min="10937" max="10937" width="11" style="2" customWidth="1"/>
    <col min="10938" max="10938" width="10.42578125" style="2" customWidth="1"/>
    <col min="10939" max="10939" width="11.28515625" style="2" customWidth="1"/>
    <col min="10940" max="10941" width="9.140625" style="2" bestFit="1" customWidth="1"/>
    <col min="10942" max="10943" width="11.140625" style="2" bestFit="1" customWidth="1"/>
    <col min="10944" max="10944" width="11.5703125" style="2" bestFit="1" customWidth="1"/>
    <col min="10945" max="10945" width="9.140625" style="2" bestFit="1" customWidth="1"/>
    <col min="10946" max="10946" width="10.28515625" style="2" customWidth="1"/>
    <col min="10947" max="11185" width="9.140625" style="2" customWidth="1"/>
    <col min="11186" max="11186" width="4.28515625" style="2" bestFit="1" customWidth="1"/>
    <col min="11187" max="11187" width="6.85546875" style="2" bestFit="1" customWidth="1"/>
    <col min="11188" max="11188" width="11" style="2" customWidth="1"/>
    <col min="11189" max="11189" width="11.140625" style="2" bestFit="1" customWidth="1"/>
    <col min="11190" max="11190" width="10.85546875" style="2" customWidth="1"/>
    <col min="11191" max="11191" width="11.5703125" style="2" customWidth="1"/>
    <col min="11192" max="11192" width="11.140625" style="2" bestFit="1" customWidth="1"/>
    <col min="11193" max="11193" width="11" style="2" customWidth="1"/>
    <col min="11194" max="11194" width="10.42578125" style="2" customWidth="1"/>
    <col min="11195" max="11195" width="11.28515625" style="2" customWidth="1"/>
    <col min="11196" max="11197" width="9.140625" style="2" bestFit="1" customWidth="1"/>
    <col min="11198" max="11199" width="11.140625" style="2" bestFit="1" customWidth="1"/>
    <col min="11200" max="11200" width="11.5703125" style="2" bestFit="1" customWidth="1"/>
    <col min="11201" max="11201" width="9.140625" style="2" bestFit="1" customWidth="1"/>
    <col min="11202" max="11202" width="10.28515625" style="2" customWidth="1"/>
    <col min="11203" max="11441" width="9.140625" style="2" customWidth="1"/>
    <col min="11442" max="11442" width="4.28515625" style="2" bestFit="1" customWidth="1"/>
    <col min="11443" max="11443" width="6.85546875" style="2" bestFit="1" customWidth="1"/>
    <col min="11444" max="11444" width="11" style="2" customWidth="1"/>
    <col min="11445" max="11445" width="11.140625" style="2" bestFit="1" customWidth="1"/>
    <col min="11446" max="11446" width="10.85546875" style="2" customWidth="1"/>
    <col min="11447" max="11447" width="11.5703125" style="2" customWidth="1"/>
    <col min="11448" max="11448" width="11.140625" style="2" bestFit="1" customWidth="1"/>
    <col min="11449" max="11449" width="11" style="2" customWidth="1"/>
    <col min="11450" max="11450" width="10.42578125" style="2" customWidth="1"/>
    <col min="11451" max="11451" width="11.28515625" style="2" customWidth="1"/>
    <col min="11452" max="11453" width="9.140625" style="2" bestFit="1" customWidth="1"/>
    <col min="11454" max="11455" width="11.140625" style="2" bestFit="1" customWidth="1"/>
    <col min="11456" max="11456" width="11.5703125" style="2" bestFit="1" customWidth="1"/>
    <col min="11457" max="11457" width="9.140625" style="2" bestFit="1" customWidth="1"/>
    <col min="11458" max="11458" width="10.28515625" style="2" customWidth="1"/>
    <col min="11459" max="11697" width="9.140625" style="2" customWidth="1"/>
    <col min="11698" max="11698" width="4.28515625" style="2" bestFit="1" customWidth="1"/>
    <col min="11699" max="11699" width="6.85546875" style="2" bestFit="1" customWidth="1"/>
    <col min="11700" max="11700" width="11" style="2" customWidth="1"/>
    <col min="11701" max="11701" width="11.140625" style="2" bestFit="1" customWidth="1"/>
    <col min="11702" max="11702" width="10.85546875" style="2" customWidth="1"/>
    <col min="11703" max="11703" width="11.5703125" style="2" customWidth="1"/>
    <col min="11704" max="11704" width="11.140625" style="2" bestFit="1" customWidth="1"/>
    <col min="11705" max="11705" width="11" style="2" customWidth="1"/>
    <col min="11706" max="11706" width="10.42578125" style="2" customWidth="1"/>
    <col min="11707" max="11707" width="11.28515625" style="2" customWidth="1"/>
    <col min="11708" max="11709" width="9.140625" style="2" bestFit="1" customWidth="1"/>
    <col min="11710" max="11711" width="11.140625" style="2" bestFit="1" customWidth="1"/>
    <col min="11712" max="11712" width="11.5703125" style="2" bestFit="1" customWidth="1"/>
    <col min="11713" max="11713" width="9.140625" style="2" bestFit="1" customWidth="1"/>
    <col min="11714" max="11714" width="10.28515625" style="2" customWidth="1"/>
    <col min="11715" max="11953" width="9.140625" style="2" customWidth="1"/>
    <col min="11954" max="11954" width="4.28515625" style="2" bestFit="1" customWidth="1"/>
    <col min="11955" max="11955" width="6.85546875" style="2" bestFit="1" customWidth="1"/>
    <col min="11956" max="11956" width="11" style="2" customWidth="1"/>
    <col min="11957" max="11957" width="11.140625" style="2" bestFit="1" customWidth="1"/>
    <col min="11958" max="11958" width="10.85546875" style="2" customWidth="1"/>
    <col min="11959" max="11959" width="11.5703125" style="2" customWidth="1"/>
    <col min="11960" max="11960" width="11.140625" style="2" bestFit="1" customWidth="1"/>
    <col min="11961" max="11961" width="11" style="2" customWidth="1"/>
    <col min="11962" max="11962" width="10.42578125" style="2" customWidth="1"/>
    <col min="11963" max="11963" width="11.28515625" style="2" customWidth="1"/>
    <col min="11964" max="11965" width="9.140625" style="2" bestFit="1" customWidth="1"/>
    <col min="11966" max="11967" width="11.140625" style="2" bestFit="1" customWidth="1"/>
    <col min="11968" max="11968" width="11.5703125" style="2" bestFit="1" customWidth="1"/>
    <col min="11969" max="11969" width="9.140625" style="2" bestFit="1" customWidth="1"/>
    <col min="11970" max="11970" width="10.28515625" style="2" customWidth="1"/>
    <col min="11971" max="12209" width="9.140625" style="2" customWidth="1"/>
    <col min="12210" max="12210" width="4.28515625" style="2" bestFit="1" customWidth="1"/>
    <col min="12211" max="12211" width="6.85546875" style="2" bestFit="1" customWidth="1"/>
    <col min="12212" max="12212" width="11" style="2" customWidth="1"/>
    <col min="12213" max="12213" width="11.140625" style="2" bestFit="1" customWidth="1"/>
    <col min="12214" max="12214" width="10.85546875" style="2" customWidth="1"/>
    <col min="12215" max="12215" width="11.5703125" style="2" customWidth="1"/>
    <col min="12216" max="12216" width="11.140625" style="2" bestFit="1" customWidth="1"/>
    <col min="12217" max="12217" width="11" style="2" customWidth="1"/>
    <col min="12218" max="12218" width="10.42578125" style="2" customWidth="1"/>
    <col min="12219" max="12219" width="11.28515625" style="2" customWidth="1"/>
    <col min="12220" max="12221" width="9.140625" style="2" bestFit="1" customWidth="1"/>
    <col min="12222" max="12223" width="11.140625" style="2" bestFit="1" customWidth="1"/>
    <col min="12224" max="12224" width="11.5703125" style="2" bestFit="1" customWidth="1"/>
    <col min="12225" max="12225" width="9.140625" style="2" bestFit="1" customWidth="1"/>
    <col min="12226" max="12226" width="10.28515625" style="2" customWidth="1"/>
    <col min="12227" max="12465" width="9.140625" style="2" customWidth="1"/>
    <col min="12466" max="12466" width="4.28515625" style="2" bestFit="1" customWidth="1"/>
    <col min="12467" max="12467" width="6.85546875" style="2" bestFit="1" customWidth="1"/>
    <col min="12468" max="12468" width="11" style="2" customWidth="1"/>
    <col min="12469" max="12469" width="11.140625" style="2" bestFit="1" customWidth="1"/>
    <col min="12470" max="12470" width="10.85546875" style="2" customWidth="1"/>
    <col min="12471" max="12471" width="11.5703125" style="2" customWidth="1"/>
    <col min="12472" max="12472" width="11.140625" style="2" bestFit="1" customWidth="1"/>
    <col min="12473" max="12473" width="11" style="2" customWidth="1"/>
    <col min="12474" max="12474" width="10.42578125" style="2" customWidth="1"/>
    <col min="12475" max="12475" width="11.28515625" style="2" customWidth="1"/>
    <col min="12476" max="12477" width="9.140625" style="2" bestFit="1" customWidth="1"/>
    <col min="12478" max="12479" width="11.140625" style="2" bestFit="1" customWidth="1"/>
    <col min="12480" max="12480" width="11.5703125" style="2" bestFit="1" customWidth="1"/>
    <col min="12481" max="12481" width="9.140625" style="2" bestFit="1" customWidth="1"/>
    <col min="12482" max="12482" width="10.28515625" style="2" customWidth="1"/>
    <col min="12483" max="12721" width="9.140625" style="2" customWidth="1"/>
    <col min="12722" max="12722" width="4.28515625" style="2" bestFit="1" customWidth="1"/>
    <col min="12723" max="12723" width="6.85546875" style="2" bestFit="1" customWidth="1"/>
    <col min="12724" max="12724" width="11" style="2" customWidth="1"/>
    <col min="12725" max="12725" width="11.140625" style="2" bestFit="1" customWidth="1"/>
    <col min="12726" max="12726" width="10.85546875" style="2" customWidth="1"/>
    <col min="12727" max="12727" width="11.5703125" style="2" customWidth="1"/>
    <col min="12728" max="12728" width="11.140625" style="2" bestFit="1" customWidth="1"/>
    <col min="12729" max="12729" width="11" style="2" customWidth="1"/>
    <col min="12730" max="12730" width="10.42578125" style="2" customWidth="1"/>
    <col min="12731" max="12731" width="11.28515625" style="2" customWidth="1"/>
    <col min="12732" max="12733" width="9.140625" style="2" bestFit="1" customWidth="1"/>
    <col min="12734" max="12735" width="11.140625" style="2" bestFit="1" customWidth="1"/>
    <col min="12736" max="12736" width="11.5703125" style="2" bestFit="1" customWidth="1"/>
    <col min="12737" max="12737" width="9.140625" style="2" bestFit="1" customWidth="1"/>
    <col min="12738" max="12738" width="10.28515625" style="2" customWidth="1"/>
    <col min="12739" max="12977" width="9.140625" style="2" customWidth="1"/>
    <col min="12978" max="12978" width="4.28515625" style="2" bestFit="1" customWidth="1"/>
    <col min="12979" max="12979" width="6.85546875" style="2" bestFit="1" customWidth="1"/>
    <col min="12980" max="12980" width="11" style="2" customWidth="1"/>
    <col min="12981" max="12981" width="11.140625" style="2" bestFit="1" customWidth="1"/>
    <col min="12982" max="12982" width="10.85546875" style="2" customWidth="1"/>
    <col min="12983" max="12983" width="11.5703125" style="2" customWidth="1"/>
    <col min="12984" max="12984" width="11.140625" style="2" bestFit="1" customWidth="1"/>
    <col min="12985" max="12985" width="11" style="2" customWidth="1"/>
    <col min="12986" max="12986" width="10.42578125" style="2" customWidth="1"/>
    <col min="12987" max="12987" width="11.28515625" style="2" customWidth="1"/>
    <col min="12988" max="12989" width="9.140625" style="2" bestFit="1" customWidth="1"/>
    <col min="12990" max="12991" width="11.140625" style="2" bestFit="1" customWidth="1"/>
    <col min="12992" max="12992" width="11.5703125" style="2" bestFit="1" customWidth="1"/>
    <col min="12993" max="12993" width="9.140625" style="2" bestFit="1" customWidth="1"/>
    <col min="12994" max="12994" width="10.28515625" style="2" customWidth="1"/>
    <col min="12995" max="13233" width="9.140625" style="2" customWidth="1"/>
    <col min="13234" max="13234" width="4.28515625" style="2" bestFit="1" customWidth="1"/>
    <col min="13235" max="13235" width="6.85546875" style="2" bestFit="1" customWidth="1"/>
    <col min="13236" max="13236" width="11" style="2" customWidth="1"/>
    <col min="13237" max="13237" width="11.140625" style="2" bestFit="1" customWidth="1"/>
    <col min="13238" max="13238" width="10.85546875" style="2" customWidth="1"/>
    <col min="13239" max="13239" width="11.5703125" style="2" customWidth="1"/>
    <col min="13240" max="13240" width="11.140625" style="2" bestFit="1" customWidth="1"/>
    <col min="13241" max="13241" width="11" style="2" customWidth="1"/>
    <col min="13242" max="13242" width="10.42578125" style="2" customWidth="1"/>
    <col min="13243" max="13243" width="11.28515625" style="2" customWidth="1"/>
    <col min="13244" max="13245" width="9.140625" style="2" bestFit="1" customWidth="1"/>
    <col min="13246" max="13247" width="11.140625" style="2" bestFit="1" customWidth="1"/>
    <col min="13248" max="13248" width="11.5703125" style="2" bestFit="1" customWidth="1"/>
    <col min="13249" max="13249" width="9.140625" style="2" bestFit="1" customWidth="1"/>
    <col min="13250" max="13250" width="10.28515625" style="2" customWidth="1"/>
    <col min="13251" max="13489" width="9.140625" style="2" customWidth="1"/>
    <col min="13490" max="13490" width="4.28515625" style="2" bestFit="1" customWidth="1"/>
    <col min="13491" max="13491" width="6.85546875" style="2" bestFit="1" customWidth="1"/>
    <col min="13492" max="13492" width="11" style="2" customWidth="1"/>
    <col min="13493" max="13493" width="11.140625" style="2" bestFit="1" customWidth="1"/>
    <col min="13494" max="13494" width="10.85546875" style="2" customWidth="1"/>
    <col min="13495" max="13495" width="11.5703125" style="2" customWidth="1"/>
    <col min="13496" max="13496" width="11.140625" style="2" bestFit="1" customWidth="1"/>
    <col min="13497" max="13497" width="11" style="2" customWidth="1"/>
    <col min="13498" max="13498" width="10.42578125" style="2" customWidth="1"/>
    <col min="13499" max="13499" width="11.28515625" style="2" customWidth="1"/>
    <col min="13500" max="13501" width="9.140625" style="2" bestFit="1" customWidth="1"/>
    <col min="13502" max="13503" width="11.140625" style="2" bestFit="1" customWidth="1"/>
    <col min="13504" max="13504" width="11.5703125" style="2" bestFit="1" customWidth="1"/>
    <col min="13505" max="13505" width="9.140625" style="2" bestFit="1" customWidth="1"/>
    <col min="13506" max="13506" width="10.28515625" style="2" customWidth="1"/>
    <col min="13507" max="13745" width="9.140625" style="2" customWidth="1"/>
    <col min="13746" max="13746" width="4.28515625" style="2" bestFit="1" customWidth="1"/>
    <col min="13747" max="13747" width="6.85546875" style="2" bestFit="1" customWidth="1"/>
    <col min="13748" max="13748" width="11" style="2" customWidth="1"/>
    <col min="13749" max="13749" width="11.140625" style="2" bestFit="1" customWidth="1"/>
    <col min="13750" max="13750" width="10.85546875" style="2" customWidth="1"/>
    <col min="13751" max="13751" width="11.5703125" style="2" customWidth="1"/>
    <col min="13752" max="13752" width="11.140625" style="2" bestFit="1" customWidth="1"/>
    <col min="13753" max="13753" width="11" style="2" customWidth="1"/>
    <col min="13754" max="13754" width="10.42578125" style="2" customWidth="1"/>
    <col min="13755" max="13755" width="11.28515625" style="2" customWidth="1"/>
    <col min="13756" max="13757" width="9.140625" style="2" bestFit="1" customWidth="1"/>
    <col min="13758" max="13759" width="11.140625" style="2" bestFit="1" customWidth="1"/>
    <col min="13760" max="13760" width="11.5703125" style="2" bestFit="1" customWidth="1"/>
    <col min="13761" max="13761" width="9.140625" style="2" bestFit="1" customWidth="1"/>
    <col min="13762" max="13762" width="10.28515625" style="2" customWidth="1"/>
    <col min="13763" max="14022" width="9.140625" style="2" customWidth="1"/>
    <col min="14023" max="16384" width="9.140625" style="2"/>
  </cols>
  <sheetData>
    <row r="1" spans="1:12" ht="55.5" customHeight="1">
      <c r="A1" s="2145" t="s">
        <v>168</v>
      </c>
      <c r="B1" s="2145"/>
      <c r="C1" s="2145"/>
      <c r="D1" s="2145"/>
      <c r="E1" s="2145"/>
      <c r="F1" s="2145"/>
      <c r="G1" s="2145"/>
      <c r="H1" s="2145"/>
      <c r="I1" s="2145"/>
      <c r="J1" s="2145"/>
      <c r="K1" s="2145"/>
      <c r="L1" s="2145"/>
    </row>
    <row r="2" spans="1:12" ht="14.25" customHeight="1" thickBo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378" t="s">
        <v>0</v>
      </c>
    </row>
    <row r="3" spans="1:12" s="8" customFormat="1" ht="12.75" customHeight="1" thickBot="1">
      <c r="A3" s="2351" t="s">
        <v>37</v>
      </c>
      <c r="B3" s="2351" t="s">
        <v>3</v>
      </c>
      <c r="C3" s="2351"/>
      <c r="D3" s="2352" t="s">
        <v>4</v>
      </c>
      <c r="E3" s="2353" t="s">
        <v>148</v>
      </c>
      <c r="F3" s="2354" t="s">
        <v>150</v>
      </c>
      <c r="G3" s="2354" t="s">
        <v>38</v>
      </c>
      <c r="H3" s="2354" t="s">
        <v>179</v>
      </c>
      <c r="I3" s="2354" t="s">
        <v>39</v>
      </c>
      <c r="J3" s="2354" t="s">
        <v>178</v>
      </c>
      <c r="K3" s="2354" t="s">
        <v>151</v>
      </c>
      <c r="L3" s="2355" t="s">
        <v>188</v>
      </c>
    </row>
    <row r="4" spans="1:12" s="8" customFormat="1" ht="88.5" customHeight="1" thickBot="1">
      <c r="A4" s="2351"/>
      <c r="B4" s="2351"/>
      <c r="C4" s="2351"/>
      <c r="D4" s="2352"/>
      <c r="E4" s="2353"/>
      <c r="F4" s="2354"/>
      <c r="G4" s="2354"/>
      <c r="H4" s="2354"/>
      <c r="I4" s="2354"/>
      <c r="J4" s="2354"/>
      <c r="K4" s="2354"/>
      <c r="L4" s="2356"/>
    </row>
    <row r="5" spans="1:12" s="13" customFormat="1" ht="12" customHeight="1" thickBot="1">
      <c r="A5" s="9" t="s">
        <v>6</v>
      </c>
      <c r="B5" s="2146" t="s">
        <v>7</v>
      </c>
      <c r="C5" s="2146"/>
      <c r="D5" s="9" t="s">
        <v>8</v>
      </c>
      <c r="E5" s="9" t="s">
        <v>9</v>
      </c>
      <c r="F5" s="9" t="s">
        <v>10</v>
      </c>
      <c r="G5" s="11" t="s">
        <v>11</v>
      </c>
      <c r="H5" s="11" t="s">
        <v>10</v>
      </c>
      <c r="I5" s="11" t="s">
        <v>12</v>
      </c>
      <c r="J5" s="11" t="s">
        <v>11</v>
      </c>
      <c r="K5" s="11" t="s">
        <v>11</v>
      </c>
      <c r="L5" s="56" t="s">
        <v>12</v>
      </c>
    </row>
    <row r="6" spans="1:12" s="20" customFormat="1">
      <c r="A6" s="57" t="s">
        <v>40</v>
      </c>
      <c r="B6" s="15"/>
      <c r="C6" s="16" t="s">
        <v>41</v>
      </c>
      <c r="D6" s="16"/>
      <c r="E6" s="58">
        <f>E7+E57</f>
        <v>10065308</v>
      </c>
      <c r="F6" s="58">
        <f>F7+F57</f>
        <v>9000129</v>
      </c>
      <c r="G6" s="58" t="e">
        <f>G7+G57+#REF!</f>
        <v>#REF!</v>
      </c>
      <c r="H6" s="58">
        <f>H7+H57</f>
        <v>10035104</v>
      </c>
      <c r="I6" s="59">
        <f>H6/E6</f>
        <v>0.99699919764005229</v>
      </c>
      <c r="J6" s="17">
        <f>SUM(J7,J57)</f>
        <v>0</v>
      </c>
      <c r="K6" s="17">
        <f>SUM(K7,K57)</f>
        <v>10035104</v>
      </c>
      <c r="L6" s="19"/>
    </row>
    <row r="7" spans="1:12" s="25" customFormat="1">
      <c r="A7" s="2338"/>
      <c r="B7" s="2340" t="s">
        <v>47</v>
      </c>
      <c r="C7" s="75" t="s">
        <v>48</v>
      </c>
      <c r="D7" s="75"/>
      <c r="E7" s="23">
        <f>E8+E52</f>
        <v>9000000</v>
      </c>
      <c r="F7" s="23">
        <f>F8+F52</f>
        <v>9000129</v>
      </c>
      <c r="G7" s="23" t="e">
        <f>G8+G52</f>
        <v>#REF!</v>
      </c>
      <c r="H7" s="23">
        <f>H8+H52</f>
        <v>8810000</v>
      </c>
      <c r="I7" s="62">
        <f>H7/E7</f>
        <v>0.97888888888888892</v>
      </c>
      <c r="J7" s="23">
        <f>J8+J52</f>
        <v>0</v>
      </c>
      <c r="K7" s="23">
        <f>K8+K52</f>
        <v>8810000</v>
      </c>
      <c r="L7" s="2306" t="s">
        <v>193</v>
      </c>
    </row>
    <row r="8" spans="1:12" s="25" customFormat="1">
      <c r="A8" s="2338"/>
      <c r="B8" s="2340"/>
      <c r="C8" s="26" t="s">
        <v>18</v>
      </c>
      <c r="D8" s="26"/>
      <c r="E8" s="28">
        <f>SUM(E9,E12,E13,E14,E50,E51)</f>
        <v>9000000</v>
      </c>
      <c r="F8" s="28">
        <f>SUM(F9,F12,F13,F14,F50,F51)</f>
        <v>9000129</v>
      </c>
      <c r="G8" s="28">
        <f>SUM(G9,G12,G13,G14,G50,G51)</f>
        <v>0</v>
      </c>
      <c r="H8" s="28">
        <f>SUM(H9,H12,H13,H14,H50,H51)</f>
        <v>8810000</v>
      </c>
      <c r="I8" s="64">
        <f>H8/E8</f>
        <v>0.97888888888888892</v>
      </c>
      <c r="J8" s="28">
        <f>SUM(J9,J12,J13,J14,J50,J51)</f>
        <v>0</v>
      </c>
      <c r="K8" s="28">
        <f>SUM(K9,K12,K13,K14,K50,K51)</f>
        <v>8810000</v>
      </c>
      <c r="L8" s="2307"/>
    </row>
    <row r="9" spans="1:12">
      <c r="A9" s="2338"/>
      <c r="B9" s="2340"/>
      <c r="C9" s="52" t="s">
        <v>19</v>
      </c>
      <c r="D9" s="52"/>
      <c r="E9" s="66"/>
      <c r="F9" s="66"/>
      <c r="G9" s="32"/>
      <c r="H9" s="32"/>
      <c r="I9" s="67"/>
      <c r="J9" s="32"/>
      <c r="K9" s="32"/>
      <c r="L9" s="2307"/>
    </row>
    <row r="10" spans="1:12">
      <c r="A10" s="2338"/>
      <c r="B10" s="2340"/>
      <c r="C10" s="53" t="s">
        <v>20</v>
      </c>
      <c r="D10" s="31"/>
      <c r="E10" s="66"/>
      <c r="F10" s="66"/>
      <c r="G10" s="66"/>
      <c r="H10" s="66"/>
      <c r="I10" s="67"/>
      <c r="J10" s="66"/>
      <c r="K10" s="32"/>
      <c r="L10" s="2307"/>
    </row>
    <row r="11" spans="1:12">
      <c r="A11" s="2338"/>
      <c r="B11" s="2340"/>
      <c r="C11" s="41" t="s">
        <v>21</v>
      </c>
      <c r="D11" s="38"/>
      <c r="E11" s="70"/>
      <c r="F11" s="70"/>
      <c r="G11" s="32"/>
      <c r="H11" s="32"/>
      <c r="I11" s="67"/>
      <c r="J11" s="32"/>
      <c r="K11" s="32"/>
      <c r="L11" s="2307"/>
    </row>
    <row r="12" spans="1:12">
      <c r="A12" s="2338"/>
      <c r="B12" s="2340"/>
      <c r="C12" s="52" t="s">
        <v>23</v>
      </c>
      <c r="D12" s="52"/>
      <c r="E12" s="66"/>
      <c r="F12" s="66"/>
      <c r="G12" s="32"/>
      <c r="H12" s="32"/>
      <c r="I12" s="67"/>
      <c r="J12" s="32"/>
      <c r="K12" s="32"/>
      <c r="L12" s="2307"/>
    </row>
    <row r="13" spans="1:12">
      <c r="A13" s="2338"/>
      <c r="B13" s="2340"/>
      <c r="C13" s="52" t="s">
        <v>24</v>
      </c>
      <c r="D13" s="52"/>
      <c r="E13" s="66"/>
      <c r="F13" s="66"/>
      <c r="G13" s="32"/>
      <c r="H13" s="32"/>
      <c r="I13" s="67"/>
      <c r="J13" s="32"/>
      <c r="K13" s="32"/>
      <c r="L13" s="2307"/>
    </row>
    <row r="14" spans="1:12" ht="12.75" customHeight="1">
      <c r="A14" s="2338"/>
      <c r="B14" s="2340"/>
      <c r="C14" s="2346" t="s">
        <v>45</v>
      </c>
      <c r="D14" s="38" t="s">
        <v>22</v>
      </c>
      <c r="E14" s="246">
        <f>SUM(E15:E49)</f>
        <v>9000000</v>
      </c>
      <c r="F14" s="246">
        <f>SUM(F15:F49)</f>
        <v>9000129</v>
      </c>
      <c r="G14" s="70">
        <f>SUM(G15:G49)</f>
        <v>0</v>
      </c>
      <c r="H14" s="70">
        <f>SUM(H15:H49)</f>
        <v>8810000</v>
      </c>
      <c r="I14" s="67">
        <f t="shared" ref="I14:I40" si="0">H14/E14</f>
        <v>0.97888888888888892</v>
      </c>
      <c r="J14" s="70">
        <f>SUM(J21:J47)</f>
        <v>0</v>
      </c>
      <c r="K14" s="70">
        <f>SUM(K21:K49)</f>
        <v>8810000</v>
      </c>
      <c r="L14" s="2307"/>
    </row>
    <row r="15" spans="1:12">
      <c r="A15" s="2338"/>
      <c r="B15" s="2340"/>
      <c r="C15" s="2347"/>
      <c r="D15" s="34">
        <v>2008</v>
      </c>
      <c r="E15" s="245"/>
      <c r="F15" s="245">
        <v>659716</v>
      </c>
      <c r="G15" s="78"/>
      <c r="H15" s="78"/>
      <c r="I15" s="79"/>
      <c r="J15" s="78"/>
      <c r="K15" s="78">
        <f>H15+J15</f>
        <v>0</v>
      </c>
      <c r="L15" s="2307"/>
    </row>
    <row r="16" spans="1:12">
      <c r="A16" s="2338"/>
      <c r="B16" s="2340"/>
      <c r="C16" s="2347"/>
      <c r="D16" s="34">
        <v>2009</v>
      </c>
      <c r="E16" s="245"/>
      <c r="F16" s="245">
        <v>377084</v>
      </c>
      <c r="G16" s="78"/>
      <c r="H16" s="78"/>
      <c r="I16" s="79"/>
      <c r="J16" s="78"/>
      <c r="K16" s="78">
        <f>H16+J16</f>
        <v>0</v>
      </c>
      <c r="L16" s="2307"/>
    </row>
    <row r="17" spans="1:12 14013:14022">
      <c r="A17" s="2338"/>
      <c r="B17" s="2340"/>
      <c r="C17" s="2347"/>
      <c r="D17" s="34">
        <v>2058</v>
      </c>
      <c r="E17" s="245"/>
      <c r="F17" s="245">
        <v>128453</v>
      </c>
      <c r="G17" s="78"/>
      <c r="H17" s="78"/>
      <c r="I17" s="79"/>
      <c r="J17" s="78"/>
      <c r="K17" s="78">
        <f t="shared" ref="K17:K49" si="1">H17+J17</f>
        <v>0</v>
      </c>
      <c r="L17" s="2307"/>
    </row>
    <row r="18" spans="1:12 14013:14022">
      <c r="A18" s="2338"/>
      <c r="B18" s="2340"/>
      <c r="C18" s="2347"/>
      <c r="D18" s="34">
        <v>2059</v>
      </c>
      <c r="E18" s="245"/>
      <c r="F18" s="245">
        <v>73422</v>
      </c>
      <c r="G18" s="78"/>
      <c r="H18" s="78"/>
      <c r="I18" s="79"/>
      <c r="J18" s="78"/>
      <c r="K18" s="78">
        <f t="shared" si="1"/>
        <v>0</v>
      </c>
      <c r="L18" s="2307"/>
    </row>
    <row r="19" spans="1:12 14013:14022">
      <c r="A19" s="2338"/>
      <c r="B19" s="2340"/>
      <c r="C19" s="2347"/>
      <c r="D19" s="34">
        <v>2918</v>
      </c>
      <c r="E19" s="245"/>
      <c r="F19" s="245">
        <v>117</v>
      </c>
      <c r="G19" s="78"/>
      <c r="H19" s="78"/>
      <c r="I19" s="79"/>
      <c r="J19" s="78"/>
      <c r="K19" s="78">
        <f t="shared" si="1"/>
        <v>0</v>
      </c>
      <c r="L19" s="2307"/>
    </row>
    <row r="20" spans="1:12 14013:14022">
      <c r="A20" s="2338"/>
      <c r="B20" s="2340"/>
      <c r="C20" s="2347"/>
      <c r="D20" s="34">
        <v>2919</v>
      </c>
      <c r="E20" s="245"/>
      <c r="F20" s="245">
        <v>67</v>
      </c>
      <c r="G20" s="78"/>
      <c r="H20" s="78"/>
      <c r="I20" s="79"/>
      <c r="J20" s="78"/>
      <c r="K20" s="78">
        <f t="shared" si="1"/>
        <v>0</v>
      </c>
      <c r="L20" s="2307"/>
    </row>
    <row r="21" spans="1:12 14013:14022" s="80" customFormat="1">
      <c r="A21" s="2338"/>
      <c r="B21" s="2340"/>
      <c r="C21" s="2347"/>
      <c r="D21" s="76">
        <v>4018</v>
      </c>
      <c r="E21" s="244">
        <v>2926980</v>
      </c>
      <c r="F21" s="245">
        <v>3047877</v>
      </c>
      <c r="G21" s="35"/>
      <c r="H21" s="35">
        <v>3161610</v>
      </c>
      <c r="I21" s="79">
        <f t="shared" si="0"/>
        <v>1.0801611217022324</v>
      </c>
      <c r="J21" s="35"/>
      <c r="K21" s="78">
        <f t="shared" si="1"/>
        <v>3161610</v>
      </c>
      <c r="L21" s="2307"/>
    </row>
    <row r="22" spans="1:12 14013:14022">
      <c r="A22" s="2338"/>
      <c r="B22" s="2340"/>
      <c r="C22" s="2347"/>
      <c r="D22" s="76">
        <v>4019</v>
      </c>
      <c r="E22" s="244">
        <v>1673020</v>
      </c>
      <c r="F22" s="245">
        <v>1742123</v>
      </c>
      <c r="G22" s="35"/>
      <c r="H22" s="35">
        <v>1808390</v>
      </c>
      <c r="I22" s="79">
        <f t="shared" si="0"/>
        <v>1.0809135575187385</v>
      </c>
      <c r="J22" s="35"/>
      <c r="K22" s="78">
        <f t="shared" si="1"/>
        <v>1808390</v>
      </c>
      <c r="L22" s="2307"/>
    </row>
    <row r="23" spans="1:12 14013:14022" s="41" customFormat="1">
      <c r="A23" s="2338"/>
      <c r="B23" s="2340"/>
      <c r="C23" s="2347"/>
      <c r="D23" s="76">
        <v>4048</v>
      </c>
      <c r="E23" s="244">
        <v>222006</v>
      </c>
      <c r="F23" s="245">
        <v>202917</v>
      </c>
      <c r="G23" s="78"/>
      <c r="H23" s="78">
        <v>254520</v>
      </c>
      <c r="I23" s="79">
        <f t="shared" si="0"/>
        <v>1.1464555012026703</v>
      </c>
      <c r="J23" s="78"/>
      <c r="K23" s="78">
        <f t="shared" si="1"/>
        <v>254520</v>
      </c>
      <c r="L23" s="2307"/>
      <c r="TRY23" s="2"/>
      <c r="TRZ23" s="2"/>
      <c r="TSA23" s="2"/>
      <c r="TSB23" s="2"/>
      <c r="TSC23" s="2"/>
      <c r="TSD23" s="2"/>
      <c r="TSE23" s="2"/>
      <c r="TSF23" s="2"/>
      <c r="TSG23" s="2"/>
      <c r="TSH23" s="2"/>
    </row>
    <row r="24" spans="1:12 14013:14022" s="41" customFormat="1">
      <c r="A24" s="2338"/>
      <c r="B24" s="2340"/>
      <c r="C24" s="2347"/>
      <c r="D24" s="76">
        <v>4049</v>
      </c>
      <c r="E24" s="244">
        <v>127994</v>
      </c>
      <c r="F24" s="245">
        <v>117083</v>
      </c>
      <c r="G24" s="78"/>
      <c r="H24" s="78">
        <v>145480</v>
      </c>
      <c r="I24" s="79">
        <f t="shared" si="0"/>
        <v>1.1366157788646343</v>
      </c>
      <c r="J24" s="78"/>
      <c r="K24" s="78">
        <f t="shared" si="1"/>
        <v>145480</v>
      </c>
      <c r="L24" s="2307"/>
      <c r="TRY24" s="2"/>
      <c r="TRZ24" s="2"/>
      <c r="TSA24" s="2"/>
      <c r="TSB24" s="2"/>
      <c r="TSC24" s="2"/>
      <c r="TSD24" s="2"/>
      <c r="TSE24" s="2"/>
      <c r="TSF24" s="2"/>
      <c r="TSG24" s="2"/>
      <c r="TSH24" s="2"/>
    </row>
    <row r="25" spans="1:12 14013:14022" s="41" customFormat="1">
      <c r="A25" s="2338"/>
      <c r="B25" s="2340"/>
      <c r="C25" s="2347"/>
      <c r="D25" s="76">
        <v>4118</v>
      </c>
      <c r="E25" s="244">
        <v>535765</v>
      </c>
      <c r="F25" s="245">
        <v>558036</v>
      </c>
      <c r="G25" s="78"/>
      <c r="H25" s="78">
        <v>604485</v>
      </c>
      <c r="I25" s="79">
        <f t="shared" si="0"/>
        <v>1.1282651908952619</v>
      </c>
      <c r="J25" s="78"/>
      <c r="K25" s="78">
        <f t="shared" si="1"/>
        <v>604485</v>
      </c>
      <c r="L25" s="2307"/>
      <c r="TRY25" s="2"/>
      <c r="TRZ25" s="2"/>
      <c r="TSA25" s="2"/>
      <c r="TSB25" s="2"/>
      <c r="TSC25" s="2"/>
      <c r="TSD25" s="2"/>
      <c r="TSE25" s="2"/>
      <c r="TSF25" s="2"/>
      <c r="TSG25" s="2"/>
      <c r="TSH25" s="2"/>
    </row>
    <row r="26" spans="1:12 14013:14022" s="41" customFormat="1">
      <c r="A26" s="2338"/>
      <c r="B26" s="2340"/>
      <c r="C26" s="2347"/>
      <c r="D26" s="76">
        <v>4119</v>
      </c>
      <c r="E26" s="244">
        <v>306235</v>
      </c>
      <c r="F26" s="245">
        <v>318964</v>
      </c>
      <c r="G26" s="78"/>
      <c r="H26" s="78">
        <v>345515</v>
      </c>
      <c r="I26" s="79">
        <f t="shared" si="0"/>
        <v>1.1282675069799337</v>
      </c>
      <c r="J26" s="78"/>
      <c r="K26" s="78">
        <f t="shared" si="1"/>
        <v>345515</v>
      </c>
      <c r="L26" s="2307"/>
      <c r="TRY26" s="2"/>
      <c r="TRZ26" s="2"/>
      <c r="TSA26" s="2"/>
      <c r="TSB26" s="2"/>
      <c r="TSC26" s="2"/>
      <c r="TSD26" s="2"/>
      <c r="TSE26" s="2"/>
      <c r="TSF26" s="2"/>
      <c r="TSG26" s="2"/>
      <c r="TSH26" s="2"/>
    </row>
    <row r="27" spans="1:12 14013:14022" s="41" customFormat="1">
      <c r="A27" s="2338"/>
      <c r="B27" s="2340"/>
      <c r="C27" s="2347"/>
      <c r="D27" s="76">
        <v>4128</v>
      </c>
      <c r="E27" s="244">
        <v>79537</v>
      </c>
      <c r="F27" s="245">
        <v>82719</v>
      </c>
      <c r="G27" s="78"/>
      <c r="H27" s="78">
        <v>89082</v>
      </c>
      <c r="I27" s="79">
        <f t="shared" si="0"/>
        <v>1.1200070407483309</v>
      </c>
      <c r="J27" s="78"/>
      <c r="K27" s="78">
        <f t="shared" si="1"/>
        <v>89082</v>
      </c>
      <c r="L27" s="2307"/>
      <c r="TRY27" s="2"/>
      <c r="TRZ27" s="2"/>
      <c r="TSA27" s="2"/>
      <c r="TSB27" s="2"/>
      <c r="TSC27" s="2"/>
      <c r="TSD27" s="2"/>
      <c r="TSE27" s="2"/>
      <c r="TSF27" s="2"/>
      <c r="TSG27" s="2"/>
      <c r="TSH27" s="2"/>
    </row>
    <row r="28" spans="1:12 14013:14022" s="41" customFormat="1">
      <c r="A28" s="2338"/>
      <c r="B28" s="2340"/>
      <c r="C28" s="2347"/>
      <c r="D28" s="76">
        <v>4129</v>
      </c>
      <c r="E28" s="244">
        <v>45463</v>
      </c>
      <c r="F28" s="245">
        <v>47281</v>
      </c>
      <c r="G28" s="78"/>
      <c r="H28" s="78">
        <v>50918</v>
      </c>
      <c r="I28" s="79">
        <f t="shared" si="0"/>
        <v>1.1199876822910939</v>
      </c>
      <c r="J28" s="78"/>
      <c r="K28" s="78">
        <f t="shared" si="1"/>
        <v>50918</v>
      </c>
      <c r="L28" s="2307"/>
      <c r="TRY28" s="2"/>
      <c r="TRZ28" s="2"/>
      <c r="TSA28" s="2"/>
      <c r="TSB28" s="2"/>
      <c r="TSC28" s="2"/>
      <c r="TSD28" s="2"/>
      <c r="TSE28" s="2"/>
      <c r="TSF28" s="2"/>
      <c r="TSG28" s="2"/>
      <c r="TSH28" s="2"/>
    </row>
    <row r="29" spans="1:12 14013:14022" s="41" customFormat="1">
      <c r="A29" s="2338"/>
      <c r="B29" s="2340"/>
      <c r="C29" s="2347"/>
      <c r="D29" s="76">
        <v>4178</v>
      </c>
      <c r="E29" s="244">
        <v>6363</v>
      </c>
      <c r="F29" s="245">
        <v>6363</v>
      </c>
      <c r="G29" s="78"/>
      <c r="H29" s="78">
        <v>6363</v>
      </c>
      <c r="I29" s="79">
        <f t="shared" si="0"/>
        <v>1</v>
      </c>
      <c r="J29" s="78"/>
      <c r="K29" s="78">
        <f t="shared" si="1"/>
        <v>6363</v>
      </c>
      <c r="L29" s="2307"/>
      <c r="TRY29" s="2"/>
      <c r="TRZ29" s="2"/>
      <c r="TSA29" s="2"/>
      <c r="TSB29" s="2"/>
      <c r="TSC29" s="2"/>
      <c r="TSD29" s="2"/>
      <c r="TSE29" s="2"/>
      <c r="TSF29" s="2"/>
      <c r="TSG29" s="2"/>
      <c r="TSH29" s="2"/>
    </row>
    <row r="30" spans="1:12 14013:14022" s="41" customFormat="1">
      <c r="A30" s="2338"/>
      <c r="B30" s="2340"/>
      <c r="C30" s="2347"/>
      <c r="D30" s="76">
        <v>4179</v>
      </c>
      <c r="E30" s="244">
        <v>3637</v>
      </c>
      <c r="F30" s="245">
        <v>3637</v>
      </c>
      <c r="G30" s="78"/>
      <c r="H30" s="78">
        <v>3637</v>
      </c>
      <c r="I30" s="79">
        <f t="shared" si="0"/>
        <v>1</v>
      </c>
      <c r="J30" s="78"/>
      <c r="K30" s="78">
        <f t="shared" si="1"/>
        <v>3637</v>
      </c>
      <c r="L30" s="2307"/>
      <c r="TRY30" s="2"/>
      <c r="TRZ30" s="2"/>
      <c r="TSA30" s="2"/>
      <c r="TSB30" s="2"/>
      <c r="TSC30" s="2"/>
      <c r="TSD30" s="2"/>
      <c r="TSE30" s="2"/>
      <c r="TSF30" s="2"/>
      <c r="TSG30" s="2"/>
      <c r="TSH30" s="2"/>
    </row>
    <row r="31" spans="1:12 14013:14022" s="41" customFormat="1">
      <c r="A31" s="2338"/>
      <c r="B31" s="2340"/>
      <c r="C31" s="2347"/>
      <c r="D31" s="76">
        <v>4198</v>
      </c>
      <c r="E31" s="244">
        <v>190890</v>
      </c>
      <c r="F31" s="245">
        <v>82719</v>
      </c>
      <c r="G31" s="78"/>
      <c r="H31" s="78">
        <v>190890</v>
      </c>
      <c r="I31" s="79">
        <f t="shared" si="0"/>
        <v>1</v>
      </c>
      <c r="J31" s="78"/>
      <c r="K31" s="78">
        <f t="shared" si="1"/>
        <v>190890</v>
      </c>
      <c r="L31" s="2307"/>
      <c r="TRY31" s="2"/>
      <c r="TRZ31" s="2"/>
      <c r="TSA31" s="2"/>
      <c r="TSB31" s="2"/>
      <c r="TSC31" s="2"/>
      <c r="TSD31" s="2"/>
      <c r="TSE31" s="2"/>
      <c r="TSF31" s="2"/>
      <c r="TSG31" s="2"/>
      <c r="TSH31" s="2"/>
    </row>
    <row r="32" spans="1:12 14013:14022" s="41" customFormat="1">
      <c r="A32" s="2338"/>
      <c r="B32" s="2340"/>
      <c r="C32" s="2347"/>
      <c r="D32" s="76">
        <v>4199</v>
      </c>
      <c r="E32" s="244">
        <v>109110</v>
      </c>
      <c r="F32" s="245">
        <v>47281</v>
      </c>
      <c r="G32" s="78"/>
      <c r="H32" s="78">
        <v>109110</v>
      </c>
      <c r="I32" s="79">
        <f t="shared" si="0"/>
        <v>1</v>
      </c>
      <c r="J32" s="78"/>
      <c r="K32" s="78">
        <f t="shared" si="1"/>
        <v>109110</v>
      </c>
      <c r="L32" s="2307"/>
      <c r="TRY32" s="2"/>
      <c r="TRZ32" s="2"/>
      <c r="TSA32" s="2"/>
      <c r="TSB32" s="2"/>
      <c r="TSC32" s="2"/>
      <c r="TSD32" s="2"/>
      <c r="TSE32" s="2"/>
      <c r="TSF32" s="2"/>
      <c r="TSG32" s="2"/>
      <c r="TSH32" s="2"/>
    </row>
    <row r="33" spans="1:12 14013:14022" s="41" customFormat="1">
      <c r="A33" s="2338"/>
      <c r="B33" s="2340"/>
      <c r="C33" s="2347"/>
      <c r="D33" s="34">
        <v>4218</v>
      </c>
      <c r="E33" s="245">
        <v>336602</v>
      </c>
      <c r="F33" s="245">
        <v>321966</v>
      </c>
      <c r="G33" s="78"/>
      <c r="H33" s="78">
        <v>463226</v>
      </c>
      <c r="I33" s="79">
        <f t="shared" si="0"/>
        <v>1.3761831480502196</v>
      </c>
      <c r="J33" s="78"/>
      <c r="K33" s="78">
        <f t="shared" si="1"/>
        <v>463226</v>
      </c>
      <c r="L33" s="2307"/>
      <c r="TRY33" s="2"/>
      <c r="TRZ33" s="2"/>
      <c r="TSA33" s="2"/>
      <c r="TSB33" s="2"/>
      <c r="TSC33" s="2"/>
      <c r="TSD33" s="2"/>
      <c r="TSE33" s="2"/>
      <c r="TSF33" s="2"/>
      <c r="TSG33" s="2"/>
      <c r="TSH33" s="2"/>
    </row>
    <row r="34" spans="1:12 14013:14022" s="41" customFormat="1">
      <c r="A34" s="2338"/>
      <c r="B34" s="2340"/>
      <c r="C34" s="2347"/>
      <c r="D34" s="34">
        <v>4219</v>
      </c>
      <c r="E34" s="245">
        <v>192398</v>
      </c>
      <c r="F34" s="245">
        <v>184034</v>
      </c>
      <c r="G34" s="78"/>
      <c r="H34" s="78">
        <v>264774</v>
      </c>
      <c r="I34" s="79">
        <f t="shared" si="0"/>
        <v>1.376178546554538</v>
      </c>
      <c r="J34" s="78"/>
      <c r="K34" s="78">
        <f t="shared" si="1"/>
        <v>264774</v>
      </c>
      <c r="L34" s="2307"/>
      <c r="TRY34" s="2"/>
      <c r="TRZ34" s="2"/>
      <c r="TSA34" s="2"/>
      <c r="TSB34" s="2"/>
      <c r="TSC34" s="2"/>
      <c r="TSD34" s="2"/>
      <c r="TSE34" s="2"/>
      <c r="TSF34" s="2"/>
      <c r="TSG34" s="2"/>
      <c r="TSH34" s="2"/>
    </row>
    <row r="35" spans="1:12 14013:14022" s="41" customFormat="1">
      <c r="A35" s="2338"/>
      <c r="B35" s="2340"/>
      <c r="C35" s="2347"/>
      <c r="D35" s="34">
        <v>4278</v>
      </c>
      <c r="E35" s="245">
        <v>6999</v>
      </c>
      <c r="F35" s="245">
        <v>13362</v>
      </c>
      <c r="G35" s="78"/>
      <c r="H35" s="78">
        <v>13362</v>
      </c>
      <c r="I35" s="79">
        <f t="shared" si="0"/>
        <v>1.909129875696528</v>
      </c>
      <c r="J35" s="78"/>
      <c r="K35" s="78">
        <f t="shared" si="1"/>
        <v>13362</v>
      </c>
      <c r="L35" s="2307"/>
      <c r="TRY35" s="2"/>
      <c r="TRZ35" s="2"/>
      <c r="TSA35" s="2"/>
      <c r="TSB35" s="2"/>
      <c r="TSC35" s="2"/>
      <c r="TSD35" s="2"/>
      <c r="TSE35" s="2"/>
      <c r="TSF35" s="2"/>
      <c r="TSG35" s="2"/>
      <c r="TSH35" s="2"/>
    </row>
    <row r="36" spans="1:12 14013:14022" s="41" customFormat="1">
      <c r="A36" s="2338"/>
      <c r="B36" s="2340"/>
      <c r="C36" s="2347"/>
      <c r="D36" s="34">
        <v>4279</v>
      </c>
      <c r="E36" s="245">
        <v>4001</v>
      </c>
      <c r="F36" s="245">
        <v>7638</v>
      </c>
      <c r="G36" s="78"/>
      <c r="H36" s="78">
        <v>7638</v>
      </c>
      <c r="I36" s="79">
        <f t="shared" si="0"/>
        <v>1.9090227443139216</v>
      </c>
      <c r="J36" s="78"/>
      <c r="K36" s="78">
        <f t="shared" si="1"/>
        <v>7638</v>
      </c>
      <c r="L36" s="2307"/>
      <c r="TRY36" s="2"/>
      <c r="TRZ36" s="2"/>
      <c r="TSA36" s="2"/>
      <c r="TSB36" s="2"/>
      <c r="TSC36" s="2"/>
      <c r="TSD36" s="2"/>
      <c r="TSE36" s="2"/>
      <c r="TSF36" s="2"/>
      <c r="TSG36" s="2"/>
      <c r="TSH36" s="2"/>
    </row>
    <row r="37" spans="1:12 14013:14022" s="41" customFormat="1">
      <c r="A37" s="2338"/>
      <c r="B37" s="2340"/>
      <c r="C37" s="2347"/>
      <c r="D37" s="34">
        <v>4308</v>
      </c>
      <c r="E37" s="245">
        <v>1352138</v>
      </c>
      <c r="F37" s="245">
        <v>565241</v>
      </c>
      <c r="G37" s="78"/>
      <c r="H37" s="78">
        <v>747652</v>
      </c>
      <c r="I37" s="79">
        <f t="shared" si="0"/>
        <v>0.55294060221663766</v>
      </c>
      <c r="J37" s="78"/>
      <c r="K37" s="78">
        <f t="shared" si="1"/>
        <v>747652</v>
      </c>
      <c r="L37" s="2307"/>
      <c r="TRY37" s="2"/>
      <c r="TRZ37" s="2"/>
      <c r="TSA37" s="2"/>
      <c r="TSB37" s="2"/>
      <c r="TSC37" s="2"/>
      <c r="TSD37" s="2"/>
      <c r="TSE37" s="2"/>
      <c r="TSF37" s="2"/>
      <c r="TSG37" s="2"/>
      <c r="TSH37" s="2"/>
    </row>
    <row r="38" spans="1:12 14013:14022" s="41" customFormat="1">
      <c r="A38" s="2338"/>
      <c r="B38" s="2340"/>
      <c r="C38" s="2347"/>
      <c r="D38" s="34">
        <v>4309</v>
      </c>
      <c r="E38" s="245">
        <v>772862</v>
      </c>
      <c r="F38" s="245">
        <v>323084</v>
      </c>
      <c r="G38" s="78"/>
      <c r="H38" s="78">
        <v>427348</v>
      </c>
      <c r="I38" s="79">
        <f t="shared" si="0"/>
        <v>0.55294218113971183</v>
      </c>
      <c r="J38" s="78"/>
      <c r="K38" s="78">
        <f t="shared" si="1"/>
        <v>427348</v>
      </c>
      <c r="L38" s="2307"/>
      <c r="TRY38" s="2"/>
      <c r="TRZ38" s="2"/>
      <c r="TSA38" s="2"/>
      <c r="TSB38" s="2"/>
      <c r="TSC38" s="2"/>
      <c r="TSD38" s="2"/>
      <c r="TSE38" s="2"/>
      <c r="TSF38" s="2"/>
      <c r="TSG38" s="2"/>
      <c r="TSH38" s="2"/>
    </row>
    <row r="39" spans="1:12 14013:14022" s="41" customFormat="1">
      <c r="A39" s="2338"/>
      <c r="B39" s="2340"/>
      <c r="C39" s="2347"/>
      <c r="D39" s="34">
        <v>4398</v>
      </c>
      <c r="E39" s="245">
        <v>2545</v>
      </c>
      <c r="F39" s="245">
        <v>2545</v>
      </c>
      <c r="G39" s="78"/>
      <c r="H39" s="78">
        <v>3181</v>
      </c>
      <c r="I39" s="79">
        <f t="shared" si="0"/>
        <v>1.2499017681728881</v>
      </c>
      <c r="J39" s="78"/>
      <c r="K39" s="78">
        <f t="shared" si="1"/>
        <v>3181</v>
      </c>
      <c r="L39" s="2307"/>
      <c r="TRY39" s="2"/>
      <c r="TRZ39" s="2"/>
      <c r="TSA39" s="2"/>
      <c r="TSB39" s="2"/>
      <c r="TSC39" s="2"/>
      <c r="TSD39" s="2"/>
      <c r="TSE39" s="2"/>
      <c r="TSF39" s="2"/>
      <c r="TSG39" s="2"/>
      <c r="TSH39" s="2"/>
    </row>
    <row r="40" spans="1:12 14013:14022" s="41" customFormat="1">
      <c r="A40" s="2338"/>
      <c r="B40" s="2340"/>
      <c r="C40" s="2347"/>
      <c r="D40" s="34">
        <v>4399</v>
      </c>
      <c r="E40" s="245">
        <v>1455</v>
      </c>
      <c r="F40" s="245">
        <v>1455</v>
      </c>
      <c r="G40" s="78"/>
      <c r="H40" s="78">
        <v>1819</v>
      </c>
      <c r="I40" s="79">
        <f t="shared" si="0"/>
        <v>1.2501718213058419</v>
      </c>
      <c r="J40" s="78"/>
      <c r="K40" s="78">
        <f t="shared" si="1"/>
        <v>1819</v>
      </c>
      <c r="L40" s="2307"/>
      <c r="TRY40" s="2"/>
      <c r="TRZ40" s="2"/>
      <c r="TSA40" s="2"/>
      <c r="TSB40" s="2"/>
      <c r="TSC40" s="2"/>
      <c r="TSD40" s="2"/>
      <c r="TSE40" s="2"/>
      <c r="TSF40" s="2"/>
      <c r="TSG40" s="2"/>
      <c r="TSH40" s="2"/>
    </row>
    <row r="41" spans="1:12 14013:14022" s="41" customFormat="1">
      <c r="A41" s="2338"/>
      <c r="B41" s="2340"/>
      <c r="C41" s="2347"/>
      <c r="D41" s="34">
        <v>4418</v>
      </c>
      <c r="E41" s="245">
        <v>10817</v>
      </c>
      <c r="F41" s="245">
        <v>10181</v>
      </c>
      <c r="G41" s="78"/>
      <c r="H41" s="78">
        <v>10817</v>
      </c>
      <c r="I41" s="79">
        <f t="shared" ref="I41:I49" si="2">H41/E41</f>
        <v>1</v>
      </c>
      <c r="J41" s="78"/>
      <c r="K41" s="78">
        <f t="shared" si="1"/>
        <v>10817</v>
      </c>
      <c r="L41" s="2307"/>
      <c r="TRY41" s="2"/>
      <c r="TRZ41" s="2"/>
      <c r="TSA41" s="2"/>
      <c r="TSB41" s="2"/>
      <c r="TSC41" s="2"/>
      <c r="TSD41" s="2"/>
      <c r="TSE41" s="2"/>
      <c r="TSF41" s="2"/>
      <c r="TSG41" s="2"/>
      <c r="TSH41" s="2"/>
    </row>
    <row r="42" spans="1:12 14013:14022" s="41" customFormat="1">
      <c r="A42" s="2338"/>
      <c r="B42" s="2340"/>
      <c r="C42" s="2347"/>
      <c r="D42" s="34">
        <v>4419</v>
      </c>
      <c r="E42" s="245">
        <v>6183</v>
      </c>
      <c r="F42" s="245">
        <v>5819</v>
      </c>
      <c r="G42" s="78"/>
      <c r="H42" s="78">
        <v>6183</v>
      </c>
      <c r="I42" s="79">
        <f t="shared" si="2"/>
        <v>1</v>
      </c>
      <c r="J42" s="78"/>
      <c r="K42" s="78">
        <f t="shared" si="1"/>
        <v>6183</v>
      </c>
      <c r="L42" s="2307"/>
      <c r="TRY42" s="2"/>
      <c r="TRZ42" s="2"/>
      <c r="TSA42" s="2"/>
      <c r="TSB42" s="2"/>
      <c r="TSC42" s="2"/>
      <c r="TSD42" s="2"/>
      <c r="TSE42" s="2"/>
      <c r="TSF42" s="2"/>
      <c r="TSG42" s="2"/>
      <c r="TSH42" s="2"/>
    </row>
    <row r="43" spans="1:12 14013:14022" s="41" customFormat="1">
      <c r="A43" s="2338"/>
      <c r="B43" s="2340"/>
      <c r="C43" s="2347"/>
      <c r="D43" s="34">
        <v>4438</v>
      </c>
      <c r="E43" s="245">
        <v>12726</v>
      </c>
      <c r="F43" s="245">
        <v>6363</v>
      </c>
      <c r="G43" s="78"/>
      <c r="H43" s="78">
        <v>12726</v>
      </c>
      <c r="I43" s="79">
        <f t="shared" si="2"/>
        <v>1</v>
      </c>
      <c r="J43" s="78"/>
      <c r="K43" s="78">
        <f t="shared" si="1"/>
        <v>12726</v>
      </c>
      <c r="L43" s="2307"/>
      <c r="TRY43" s="2"/>
      <c r="TRZ43" s="2"/>
      <c r="TSA43" s="2"/>
      <c r="TSB43" s="2"/>
      <c r="TSC43" s="2"/>
      <c r="TSD43" s="2"/>
      <c r="TSE43" s="2"/>
      <c r="TSF43" s="2"/>
      <c r="TSG43" s="2"/>
      <c r="TSH43" s="2"/>
    </row>
    <row r="44" spans="1:12 14013:14022" s="41" customFormat="1">
      <c r="A44" s="2338"/>
      <c r="B44" s="2340"/>
      <c r="C44" s="2347"/>
      <c r="D44" s="34">
        <v>4439</v>
      </c>
      <c r="E44" s="245">
        <v>7274</v>
      </c>
      <c r="F44" s="245">
        <v>3637</v>
      </c>
      <c r="G44" s="78"/>
      <c r="H44" s="78">
        <v>7274</v>
      </c>
      <c r="I44" s="79">
        <f t="shared" si="2"/>
        <v>1</v>
      </c>
      <c r="J44" s="78"/>
      <c r="K44" s="78">
        <f t="shared" si="1"/>
        <v>7274</v>
      </c>
      <c r="L44" s="2307"/>
      <c r="TRY44" s="2"/>
      <c r="TRZ44" s="2"/>
      <c r="TSA44" s="2"/>
      <c r="TSB44" s="2"/>
      <c r="TSC44" s="2"/>
      <c r="TSD44" s="2"/>
      <c r="TSE44" s="2"/>
      <c r="TSF44" s="2"/>
      <c r="TSG44" s="2"/>
      <c r="TSH44" s="2"/>
    </row>
    <row r="45" spans="1:12 14013:14022" s="41" customFormat="1">
      <c r="A45" s="2338"/>
      <c r="B45" s="2340"/>
      <c r="C45" s="2347"/>
      <c r="D45" s="34">
        <v>4569</v>
      </c>
      <c r="E45" s="245"/>
      <c r="F45" s="245">
        <v>10</v>
      </c>
      <c r="G45" s="78"/>
      <c r="H45" s="78"/>
      <c r="I45" s="79"/>
      <c r="J45" s="78"/>
      <c r="K45" s="78">
        <f t="shared" si="1"/>
        <v>0</v>
      </c>
      <c r="L45" s="2307"/>
      <c r="TRY45" s="2"/>
      <c r="TRZ45" s="2"/>
      <c r="TSA45" s="2"/>
      <c r="TSB45" s="2"/>
      <c r="TSC45" s="2"/>
      <c r="TSD45" s="2"/>
      <c r="TSE45" s="2"/>
      <c r="TSF45" s="2"/>
      <c r="TSG45" s="2"/>
      <c r="TSH45" s="2"/>
    </row>
    <row r="46" spans="1:12 14013:14022" s="41" customFormat="1">
      <c r="A46" s="2338"/>
      <c r="B46" s="2340"/>
      <c r="C46" s="2347"/>
      <c r="D46" s="34">
        <v>4708</v>
      </c>
      <c r="E46" s="245">
        <v>21634</v>
      </c>
      <c r="F46" s="245">
        <v>16544</v>
      </c>
      <c r="G46" s="78"/>
      <c r="H46" s="78">
        <v>21634</v>
      </c>
      <c r="I46" s="79">
        <f t="shared" si="2"/>
        <v>1</v>
      </c>
      <c r="J46" s="78"/>
      <c r="K46" s="78">
        <f t="shared" si="1"/>
        <v>21634</v>
      </c>
      <c r="L46" s="2307"/>
      <c r="TRY46" s="2"/>
      <c r="TRZ46" s="2"/>
      <c r="TSA46" s="2"/>
      <c r="TSB46" s="2"/>
      <c r="TSC46" s="2"/>
      <c r="TSD46" s="2"/>
      <c r="TSE46" s="2"/>
      <c r="TSF46" s="2"/>
      <c r="TSG46" s="2"/>
      <c r="TSH46" s="2"/>
    </row>
    <row r="47" spans="1:12 14013:14022" s="41" customFormat="1">
      <c r="A47" s="2338"/>
      <c r="B47" s="2340"/>
      <c r="C47" s="2347"/>
      <c r="D47" s="34">
        <v>4709</v>
      </c>
      <c r="E47" s="245">
        <v>12366</v>
      </c>
      <c r="F47" s="245">
        <v>9456</v>
      </c>
      <c r="G47" s="78"/>
      <c r="H47" s="78">
        <v>12366</v>
      </c>
      <c r="I47" s="79">
        <f t="shared" si="2"/>
        <v>1</v>
      </c>
      <c r="J47" s="78"/>
      <c r="K47" s="78">
        <f t="shared" si="1"/>
        <v>12366</v>
      </c>
      <c r="L47" s="2307"/>
      <c r="TRY47" s="2"/>
      <c r="TRZ47" s="2"/>
      <c r="TSA47" s="2"/>
      <c r="TSB47" s="2"/>
      <c r="TSC47" s="2"/>
      <c r="TSD47" s="2"/>
      <c r="TSE47" s="2"/>
      <c r="TSF47" s="2"/>
      <c r="TSG47" s="2"/>
      <c r="TSH47" s="2"/>
    </row>
    <row r="48" spans="1:12 14013:14022" s="243" customFormat="1">
      <c r="A48" s="2338"/>
      <c r="B48" s="2340"/>
      <c r="C48" s="2347"/>
      <c r="D48" s="34">
        <v>4718</v>
      </c>
      <c r="E48" s="245">
        <v>20998</v>
      </c>
      <c r="F48" s="245">
        <v>20998</v>
      </c>
      <c r="G48" s="78"/>
      <c r="H48" s="78">
        <v>25452</v>
      </c>
      <c r="I48" s="79">
        <f t="shared" si="2"/>
        <v>1.212115439565673</v>
      </c>
      <c r="J48" s="78"/>
      <c r="K48" s="78">
        <f t="shared" si="1"/>
        <v>25452</v>
      </c>
      <c r="L48" s="2307"/>
      <c r="TRY48" s="2"/>
      <c r="TRZ48" s="2"/>
      <c r="TSA48" s="2"/>
      <c r="TSB48" s="2"/>
      <c r="TSC48" s="2"/>
      <c r="TSD48" s="2"/>
      <c r="TSE48" s="2"/>
      <c r="TSF48" s="2"/>
      <c r="TSG48" s="2"/>
      <c r="TSH48" s="2"/>
    </row>
    <row r="49" spans="1:12 14013:14022" s="243" customFormat="1">
      <c r="A49" s="2338"/>
      <c r="B49" s="2340"/>
      <c r="C49" s="2348"/>
      <c r="D49" s="34">
        <v>4719</v>
      </c>
      <c r="E49" s="245">
        <v>12002</v>
      </c>
      <c r="F49" s="245">
        <v>11937</v>
      </c>
      <c r="G49" s="78"/>
      <c r="H49" s="78">
        <v>14548</v>
      </c>
      <c r="I49" s="79">
        <f t="shared" si="2"/>
        <v>1.2121313114480921</v>
      </c>
      <c r="J49" s="78"/>
      <c r="K49" s="78">
        <f t="shared" si="1"/>
        <v>14548</v>
      </c>
      <c r="L49" s="2307"/>
      <c r="TRY49" s="2"/>
      <c r="TRZ49" s="2"/>
      <c r="TSA49" s="2"/>
      <c r="TSB49" s="2"/>
      <c r="TSC49" s="2"/>
      <c r="TSD49" s="2"/>
      <c r="TSE49" s="2"/>
      <c r="TSF49" s="2"/>
      <c r="TSG49" s="2"/>
      <c r="TSH49" s="2"/>
    </row>
    <row r="50" spans="1:12 14013:14022">
      <c r="A50" s="2338"/>
      <c r="B50" s="2340"/>
      <c r="C50" s="52" t="s">
        <v>26</v>
      </c>
      <c r="D50" s="81"/>
      <c r="E50" s="244"/>
      <c r="F50" s="77"/>
      <c r="G50" s="35"/>
      <c r="H50" s="35"/>
      <c r="I50" s="79"/>
      <c r="J50" s="35"/>
      <c r="K50" s="35"/>
      <c r="L50" s="2307"/>
    </row>
    <row r="51" spans="1:12 14013:14022">
      <c r="A51" s="2338"/>
      <c r="B51" s="2340"/>
      <c r="C51" s="52" t="s">
        <v>27</v>
      </c>
      <c r="D51" s="81"/>
      <c r="E51" s="77"/>
      <c r="F51" s="77"/>
      <c r="G51" s="35"/>
      <c r="H51" s="35"/>
      <c r="I51" s="79"/>
      <c r="J51" s="35"/>
      <c r="K51" s="35"/>
      <c r="L51" s="2307"/>
    </row>
    <row r="52" spans="1:12 14013:14022">
      <c r="A52" s="2338"/>
      <c r="B52" s="2340"/>
      <c r="C52" s="54" t="s">
        <v>28</v>
      </c>
      <c r="D52" s="54"/>
      <c r="E52" s="74">
        <f>SUM(E53)</f>
        <v>0</v>
      </c>
      <c r="F52" s="74">
        <f>SUM(F53)</f>
        <v>0</v>
      </c>
      <c r="G52" s="74" t="e">
        <f>SUM(G53)</f>
        <v>#REF!</v>
      </c>
      <c r="H52" s="74">
        <f>SUM(H53)</f>
        <v>0</v>
      </c>
      <c r="I52" s="67"/>
      <c r="J52" s="74">
        <f>SUM(J53)</f>
        <v>0</v>
      </c>
      <c r="K52" s="74">
        <f>SUM(K53)</f>
        <v>0</v>
      </c>
      <c r="L52" s="2307"/>
    </row>
    <row r="53" spans="1:12 14013:14022">
      <c r="A53" s="2338"/>
      <c r="B53" s="2340"/>
      <c r="C53" s="82" t="s">
        <v>29</v>
      </c>
      <c r="D53" s="31"/>
      <c r="E53" s="66"/>
      <c r="F53" s="66"/>
      <c r="G53" s="66" t="e">
        <f>SUM(#REF!)</f>
        <v>#REF!</v>
      </c>
      <c r="H53" s="66"/>
      <c r="I53" s="67"/>
      <c r="J53" s="66"/>
      <c r="K53" s="66"/>
      <c r="L53" s="2307"/>
    </row>
    <row r="54" spans="1:12 14013:14022" ht="24" customHeight="1">
      <c r="A54" s="2338"/>
      <c r="B54" s="2340"/>
      <c r="C54" s="68" t="s">
        <v>46</v>
      </c>
      <c r="D54" s="38"/>
      <c r="E54" s="70"/>
      <c r="F54" s="70"/>
      <c r="G54" s="70" t="e">
        <f>SUM(#REF!)</f>
        <v>#REF!</v>
      </c>
      <c r="H54" s="70"/>
      <c r="I54" s="67"/>
      <c r="J54" s="70"/>
      <c r="K54" s="70"/>
      <c r="L54" s="2307"/>
    </row>
    <row r="55" spans="1:12 14013:14022">
      <c r="A55" s="2338"/>
      <c r="B55" s="2340"/>
      <c r="C55" s="52" t="s">
        <v>31</v>
      </c>
      <c r="D55" s="52"/>
      <c r="E55" s="66"/>
      <c r="F55" s="66"/>
      <c r="G55" s="32"/>
      <c r="H55" s="32"/>
      <c r="I55" s="67"/>
      <c r="J55" s="32"/>
      <c r="K55" s="32"/>
      <c r="L55" s="2307"/>
    </row>
    <row r="56" spans="1:12 14013:14022" s="25" customFormat="1">
      <c r="A56" s="2338"/>
      <c r="B56" s="2340"/>
      <c r="C56" s="52" t="s">
        <v>32</v>
      </c>
      <c r="D56" s="52"/>
      <c r="E56" s="66"/>
      <c r="F56" s="66"/>
      <c r="G56" s="28"/>
      <c r="H56" s="28"/>
      <c r="I56" s="67"/>
      <c r="J56" s="28"/>
      <c r="K56" s="28"/>
      <c r="L56" s="2308"/>
    </row>
    <row r="57" spans="1:12 14013:14022">
      <c r="A57" s="2338"/>
      <c r="B57" s="2340" t="s">
        <v>49</v>
      </c>
      <c r="C57" s="75" t="s">
        <v>17</v>
      </c>
      <c r="D57" s="61"/>
      <c r="E57" s="23">
        <f>SUM(E58,E69)</f>
        <v>1065308</v>
      </c>
      <c r="F57" s="23">
        <f>SUM(F58,F69)</f>
        <v>0</v>
      </c>
      <c r="G57" s="23">
        <f>SUM(G58,G69)</f>
        <v>0</v>
      </c>
      <c r="H57" s="23">
        <f>SUM(H58,H69)</f>
        <v>1225104</v>
      </c>
      <c r="I57" s="62">
        <f>H57/E57</f>
        <v>1.1499998122608672</v>
      </c>
      <c r="J57" s="23">
        <f>SUM(J58,J69)</f>
        <v>0</v>
      </c>
      <c r="K57" s="23">
        <f>SUM(K58,K69)</f>
        <v>1225104</v>
      </c>
      <c r="L57" s="2322" t="s">
        <v>172</v>
      </c>
    </row>
    <row r="58" spans="1:12 14013:14022">
      <c r="A58" s="2338"/>
      <c r="B58" s="2340"/>
      <c r="C58" s="26" t="s">
        <v>18</v>
      </c>
      <c r="D58" s="63"/>
      <c r="E58" s="28">
        <f>SUM(E59,E64,E65,E66,E67,E68)</f>
        <v>1065308</v>
      </c>
      <c r="F58" s="28">
        <f>SUM(F59,F64,F65,F66,F67,F68)</f>
        <v>0</v>
      </c>
      <c r="G58" s="28">
        <f>SUM(G59,G64,G65,G66,G67,G68)</f>
        <v>0</v>
      </c>
      <c r="H58" s="28">
        <f>SUM(H59,H64,H65,H66,H67,H68)</f>
        <v>1225104</v>
      </c>
      <c r="I58" s="64">
        <f>H58/E58</f>
        <v>1.1499998122608672</v>
      </c>
      <c r="J58" s="28">
        <f>SUM(J59,J64,J65,J66,J67,J68)</f>
        <v>0</v>
      </c>
      <c r="K58" s="28">
        <f>SUM(K59,K64,K65,K66,K67,K68)</f>
        <v>1225104</v>
      </c>
      <c r="L58" s="2323"/>
    </row>
    <row r="59" spans="1:12 14013:14022">
      <c r="A59" s="2338"/>
      <c r="B59" s="2340"/>
      <c r="C59" s="52" t="s">
        <v>19</v>
      </c>
      <c r="D59" s="65"/>
      <c r="E59" s="66">
        <f>SUM(E60,E61)</f>
        <v>1065308</v>
      </c>
      <c r="F59" s="66">
        <f>SUM(F60,F61)</f>
        <v>0</v>
      </c>
      <c r="G59" s="66">
        <f>SUM(G60,G61)</f>
        <v>0</v>
      </c>
      <c r="H59" s="66">
        <f>SUM(H60,H61)</f>
        <v>1225104</v>
      </c>
      <c r="I59" s="67">
        <f>H59/E59</f>
        <v>1.1499998122608672</v>
      </c>
      <c r="J59" s="66">
        <f>SUM(J60,J61)</f>
        <v>0</v>
      </c>
      <c r="K59" s="66">
        <f>SUM(K60,K61)</f>
        <v>1225104</v>
      </c>
      <c r="L59" s="2323"/>
    </row>
    <row r="60" spans="1:12 14013:14022">
      <c r="A60" s="2338"/>
      <c r="B60" s="2340"/>
      <c r="C60" s="52" t="s">
        <v>20</v>
      </c>
      <c r="D60" s="65"/>
      <c r="E60" s="66"/>
      <c r="F60" s="66"/>
      <c r="G60" s="32"/>
      <c r="H60" s="32"/>
      <c r="I60" s="67"/>
      <c r="J60" s="32"/>
      <c r="K60" s="32"/>
      <c r="L60" s="2323"/>
    </row>
    <row r="61" spans="1:12 14013:14022" ht="12.75" customHeight="1">
      <c r="A61" s="2338"/>
      <c r="B61" s="2340"/>
      <c r="C61" s="2150" t="s">
        <v>21</v>
      </c>
      <c r="D61" s="69" t="s">
        <v>22</v>
      </c>
      <c r="E61" s="70">
        <f>SUM(E62:E63)</f>
        <v>1065308</v>
      </c>
      <c r="F61" s="70">
        <f>SUM(F62:F63)</f>
        <v>0</v>
      </c>
      <c r="G61" s="70">
        <f>SUM(G62:G63)</f>
        <v>0</v>
      </c>
      <c r="H61" s="70">
        <f>SUM(H62:H63)</f>
        <v>1225104</v>
      </c>
      <c r="I61" s="67">
        <f>H61/E61</f>
        <v>1.1499998122608672</v>
      </c>
      <c r="J61" s="70">
        <f>SUM(J62:J63)</f>
        <v>0</v>
      </c>
      <c r="K61" s="70">
        <f>SUM(K62:K63)</f>
        <v>1225104</v>
      </c>
      <c r="L61" s="2323"/>
    </row>
    <row r="62" spans="1:12 14013:14022">
      <c r="A62" s="2338"/>
      <c r="B62" s="2340"/>
      <c r="C62" s="2150"/>
      <c r="D62" s="83">
        <v>4190</v>
      </c>
      <c r="E62" s="78"/>
      <c r="F62" s="78"/>
      <c r="G62" s="35"/>
      <c r="H62" s="35"/>
      <c r="I62" s="67"/>
      <c r="J62" s="35"/>
      <c r="K62" s="35"/>
      <c r="L62" s="2323"/>
    </row>
    <row r="63" spans="1:12 14013:14022">
      <c r="A63" s="2338"/>
      <c r="B63" s="2340"/>
      <c r="C63" s="2150"/>
      <c r="D63" s="83">
        <v>4300</v>
      </c>
      <c r="E63" s="78">
        <v>1065308</v>
      </c>
      <c r="F63" s="78">
        <v>0</v>
      </c>
      <c r="G63" s="35"/>
      <c r="H63" s="35">
        <v>1225104</v>
      </c>
      <c r="I63" s="79">
        <f>H63/E63</f>
        <v>1.1499998122608672</v>
      </c>
      <c r="J63" s="35">
        <v>0</v>
      </c>
      <c r="K63" s="35">
        <f>H63+J63</f>
        <v>1225104</v>
      </c>
      <c r="L63" s="2323"/>
    </row>
    <row r="64" spans="1:12 14013:14022">
      <c r="A64" s="2338"/>
      <c r="B64" s="2340"/>
      <c r="C64" s="52" t="s">
        <v>23</v>
      </c>
      <c r="D64" s="71"/>
      <c r="E64" s="66"/>
      <c r="F64" s="66"/>
      <c r="G64" s="32"/>
      <c r="H64" s="32"/>
      <c r="I64" s="67"/>
      <c r="J64" s="32"/>
      <c r="K64" s="32"/>
      <c r="L64" s="2323"/>
    </row>
    <row r="65" spans="1:12">
      <c r="A65" s="2338"/>
      <c r="B65" s="2340"/>
      <c r="C65" s="52" t="s">
        <v>24</v>
      </c>
      <c r="D65" s="65"/>
      <c r="E65" s="66"/>
      <c r="F65" s="66"/>
      <c r="G65" s="32"/>
      <c r="H65" s="32"/>
      <c r="I65" s="67"/>
      <c r="J65" s="32"/>
      <c r="K65" s="32"/>
      <c r="L65" s="2323"/>
    </row>
    <row r="66" spans="1:12" ht="22.5">
      <c r="A66" s="2338"/>
      <c r="B66" s="2340"/>
      <c r="C66" s="41" t="s">
        <v>45</v>
      </c>
      <c r="D66" s="72"/>
      <c r="E66" s="70"/>
      <c r="F66" s="70"/>
      <c r="G66" s="32"/>
      <c r="H66" s="32"/>
      <c r="I66" s="67"/>
      <c r="J66" s="32"/>
      <c r="K66" s="32"/>
      <c r="L66" s="2323"/>
    </row>
    <row r="67" spans="1:12">
      <c r="A67" s="2338"/>
      <c r="B67" s="2340"/>
      <c r="C67" s="52" t="s">
        <v>26</v>
      </c>
      <c r="D67" s="65"/>
      <c r="E67" s="66"/>
      <c r="F67" s="66"/>
      <c r="G67" s="32"/>
      <c r="H67" s="32"/>
      <c r="I67" s="67"/>
      <c r="J67" s="32"/>
      <c r="K67" s="32"/>
      <c r="L67" s="2323"/>
    </row>
    <row r="68" spans="1:12">
      <c r="A68" s="2338"/>
      <c r="B68" s="2340"/>
      <c r="C68" s="52" t="s">
        <v>27</v>
      </c>
      <c r="D68" s="65"/>
      <c r="E68" s="66"/>
      <c r="F68" s="66"/>
      <c r="G68" s="32"/>
      <c r="H68" s="32"/>
      <c r="I68" s="67"/>
      <c r="J68" s="32"/>
      <c r="K68" s="32"/>
      <c r="L68" s="2323"/>
    </row>
    <row r="69" spans="1:12">
      <c r="A69" s="2338"/>
      <c r="B69" s="2340"/>
      <c r="C69" s="54" t="s">
        <v>28</v>
      </c>
      <c r="D69" s="73"/>
      <c r="E69" s="74">
        <f>SUM(E70,E72,E73)</f>
        <v>0</v>
      </c>
      <c r="F69" s="74">
        <f>SUM(F70,F72,F73)</f>
        <v>0</v>
      </c>
      <c r="G69" s="74">
        <f>SUM(G70,G72,G73)</f>
        <v>0</v>
      </c>
      <c r="H69" s="74">
        <f>SUM(H70,H72,H73)</f>
        <v>0</v>
      </c>
      <c r="I69" s="67"/>
      <c r="J69" s="74">
        <f>SUM(J70,J72,J73)</f>
        <v>0</v>
      </c>
      <c r="K69" s="74">
        <f>SUM(K70,K72,K73)</f>
        <v>0</v>
      </c>
      <c r="L69" s="2323"/>
    </row>
    <row r="70" spans="1:12">
      <c r="A70" s="2338"/>
      <c r="B70" s="2340"/>
      <c r="C70" s="52" t="s">
        <v>29</v>
      </c>
      <c r="D70" s="65"/>
      <c r="E70" s="66"/>
      <c r="F70" s="66"/>
      <c r="G70" s="32"/>
      <c r="H70" s="32"/>
      <c r="I70" s="67"/>
      <c r="J70" s="32"/>
      <c r="K70" s="32"/>
      <c r="L70" s="2323"/>
    </row>
    <row r="71" spans="1:12" ht="22.5">
      <c r="A71" s="2338"/>
      <c r="B71" s="2340"/>
      <c r="C71" s="41" t="s">
        <v>46</v>
      </c>
      <c r="D71" s="72"/>
      <c r="E71" s="70"/>
      <c r="F71" s="70"/>
      <c r="G71" s="32"/>
      <c r="H71" s="32"/>
      <c r="I71" s="67"/>
      <c r="J71" s="32"/>
      <c r="K71" s="32"/>
      <c r="L71" s="2323"/>
    </row>
    <row r="72" spans="1:12">
      <c r="A72" s="2338"/>
      <c r="B72" s="2340"/>
      <c r="C72" s="52" t="s">
        <v>31</v>
      </c>
      <c r="D72" s="65"/>
      <c r="E72" s="66"/>
      <c r="F72" s="66"/>
      <c r="G72" s="32"/>
      <c r="H72" s="32"/>
      <c r="I72" s="67"/>
      <c r="J72" s="32"/>
      <c r="K72" s="32"/>
      <c r="L72" s="2323"/>
    </row>
    <row r="73" spans="1:12">
      <c r="A73" s="2338"/>
      <c r="B73" s="2340"/>
      <c r="C73" s="52" t="s">
        <v>32</v>
      </c>
      <c r="D73" s="65"/>
      <c r="E73" s="66"/>
      <c r="F73" s="66"/>
      <c r="G73" s="28"/>
      <c r="H73" s="28"/>
      <c r="I73" s="67"/>
      <c r="J73" s="28"/>
      <c r="K73" s="28"/>
      <c r="L73" s="2324"/>
    </row>
    <row r="74" spans="1:12">
      <c r="A74" s="14" t="s">
        <v>50</v>
      </c>
      <c r="B74" s="84"/>
      <c r="C74" s="85" t="s">
        <v>51</v>
      </c>
      <c r="D74" s="85"/>
      <c r="E74" s="86">
        <f>SUM(E75)</f>
        <v>500000</v>
      </c>
      <c r="F74" s="86">
        <f>SUM(F75)</f>
        <v>500015</v>
      </c>
      <c r="G74" s="86" t="e">
        <f>SUM(G75)</f>
        <v>#REF!</v>
      </c>
      <c r="H74" s="86">
        <f>SUM(H75)</f>
        <v>400000</v>
      </c>
      <c r="I74" s="87">
        <f>H74/E74</f>
        <v>0.8</v>
      </c>
      <c r="J74" s="86">
        <f>SUM(J75)</f>
        <v>0</v>
      </c>
      <c r="K74" s="86">
        <f>SUM(K75)</f>
        <v>400000</v>
      </c>
      <c r="L74" s="215"/>
    </row>
    <row r="75" spans="1:12" ht="45" customHeight="1">
      <c r="A75" s="2342"/>
      <c r="B75" s="2334" t="s">
        <v>52</v>
      </c>
      <c r="C75" s="60" t="s">
        <v>53</v>
      </c>
      <c r="D75" s="60"/>
      <c r="E75" s="88">
        <f>E76+E110</f>
        <v>500000</v>
      </c>
      <c r="F75" s="88">
        <f>F76+F110</f>
        <v>500015</v>
      </c>
      <c r="G75" s="88" t="e">
        <f>G76+G110</f>
        <v>#REF!</v>
      </c>
      <c r="H75" s="88">
        <f>H76+H110</f>
        <v>400000</v>
      </c>
      <c r="I75" s="62">
        <f>H75/E75</f>
        <v>0.8</v>
      </c>
      <c r="J75" s="88">
        <f>J76+J110</f>
        <v>0</v>
      </c>
      <c r="K75" s="88">
        <f>K76+K110</f>
        <v>400000</v>
      </c>
      <c r="L75" s="2322" t="s">
        <v>192</v>
      </c>
    </row>
    <row r="76" spans="1:12" ht="12.75" customHeight="1">
      <c r="A76" s="2343"/>
      <c r="B76" s="2335"/>
      <c r="C76" s="26" t="s">
        <v>18</v>
      </c>
      <c r="D76" s="26"/>
      <c r="E76" s="28">
        <f>E77+E80+E81+E82+E108+E109</f>
        <v>500000</v>
      </c>
      <c r="F76" s="28">
        <f>F77+F80+F81+F82+F108+F109</f>
        <v>500015</v>
      </c>
      <c r="G76" s="28">
        <f>G77+G80+G81+G82+G108+G109</f>
        <v>0</v>
      </c>
      <c r="H76" s="28">
        <f>H77+H80+H81+H82+H108+H109</f>
        <v>400000</v>
      </c>
      <c r="I76" s="64">
        <f>H76/E76</f>
        <v>0.8</v>
      </c>
      <c r="J76" s="28">
        <f>J77+J80+J81+J82+J108+J109</f>
        <v>0</v>
      </c>
      <c r="K76" s="28">
        <f>K77+K80+K81+K82+K108+K109</f>
        <v>400000</v>
      </c>
      <c r="L76" s="2323"/>
    </row>
    <row r="77" spans="1:12" ht="12.75" customHeight="1">
      <c r="A77" s="2343"/>
      <c r="B77" s="2335"/>
      <c r="C77" s="52" t="s">
        <v>19</v>
      </c>
      <c r="D77" s="52"/>
      <c r="E77" s="66"/>
      <c r="F77" s="66"/>
      <c r="G77" s="66">
        <f>G78+G79</f>
        <v>0</v>
      </c>
      <c r="H77" s="66"/>
      <c r="I77" s="67"/>
      <c r="J77" s="66"/>
      <c r="K77" s="66"/>
      <c r="L77" s="2323"/>
    </row>
    <row r="78" spans="1:12" ht="12.75" customHeight="1">
      <c r="A78" s="2343"/>
      <c r="B78" s="2335"/>
      <c r="C78" s="52" t="s">
        <v>20</v>
      </c>
      <c r="D78" s="52"/>
      <c r="E78" s="66"/>
      <c r="F78" s="66"/>
      <c r="G78" s="32"/>
      <c r="H78" s="32"/>
      <c r="I78" s="67"/>
      <c r="J78" s="32"/>
      <c r="K78" s="32"/>
      <c r="L78" s="2323"/>
    </row>
    <row r="79" spans="1:12" ht="12.75" customHeight="1">
      <c r="A79" s="2343"/>
      <c r="B79" s="2335"/>
      <c r="C79" s="41" t="s">
        <v>21</v>
      </c>
      <c r="D79" s="41"/>
      <c r="E79" s="70"/>
      <c r="F79" s="70"/>
      <c r="G79" s="32"/>
      <c r="H79" s="32"/>
      <c r="I79" s="67"/>
      <c r="J79" s="32"/>
      <c r="K79" s="32"/>
      <c r="L79" s="2323"/>
    </row>
    <row r="80" spans="1:12" ht="12.75" customHeight="1">
      <c r="A80" s="2343"/>
      <c r="B80" s="2335"/>
      <c r="C80" s="52" t="s">
        <v>23</v>
      </c>
      <c r="D80" s="52"/>
      <c r="E80" s="66"/>
      <c r="F80" s="66"/>
      <c r="G80" s="32"/>
      <c r="H80" s="32"/>
      <c r="I80" s="67"/>
      <c r="J80" s="32"/>
      <c r="K80" s="32"/>
      <c r="L80" s="2323"/>
    </row>
    <row r="81" spans="1:12 14013:14022" ht="12.75" customHeight="1">
      <c r="A81" s="2343"/>
      <c r="B81" s="2335"/>
      <c r="C81" s="52" t="s">
        <v>24</v>
      </c>
      <c r="D81" s="52"/>
      <c r="E81" s="66"/>
      <c r="F81" s="66"/>
      <c r="G81" s="32"/>
      <c r="H81" s="32"/>
      <c r="I81" s="67"/>
      <c r="J81" s="32"/>
      <c r="K81" s="32"/>
      <c r="L81" s="2323"/>
    </row>
    <row r="82" spans="1:12 14013:14022" ht="12.75" customHeight="1">
      <c r="A82" s="2343"/>
      <c r="B82" s="2335"/>
      <c r="C82" s="2346" t="s">
        <v>54</v>
      </c>
      <c r="D82" s="38" t="s">
        <v>22</v>
      </c>
      <c r="E82" s="70">
        <f>SUM(E83:E107)</f>
        <v>500000</v>
      </c>
      <c r="F82" s="70">
        <f>SUM(F83:F107)</f>
        <v>500015</v>
      </c>
      <c r="G82" s="70">
        <f t="shared" ref="G82:H82" si="3">SUM(G83:G107)</f>
        <v>0</v>
      </c>
      <c r="H82" s="70">
        <f t="shared" si="3"/>
        <v>400000</v>
      </c>
      <c r="I82" s="67">
        <f t="shared" ref="I82:I92" si="4">H82/E82</f>
        <v>0.8</v>
      </c>
      <c r="J82" s="70">
        <f>SUM(J85:J105)</f>
        <v>0</v>
      </c>
      <c r="K82" s="70">
        <f>SUM(K85:K107)</f>
        <v>400000</v>
      </c>
      <c r="L82" s="2323"/>
    </row>
    <row r="83" spans="1:12 14013:14022" ht="12.75" customHeight="1">
      <c r="A83" s="2343"/>
      <c r="B83" s="2335"/>
      <c r="C83" s="2347"/>
      <c r="D83" s="34">
        <v>2918</v>
      </c>
      <c r="E83" s="78"/>
      <c r="F83" s="78">
        <v>10</v>
      </c>
      <c r="G83" s="78"/>
      <c r="H83" s="78"/>
      <c r="I83" s="79"/>
      <c r="J83" s="78"/>
      <c r="K83" s="78">
        <f>H83+J83</f>
        <v>0</v>
      </c>
      <c r="L83" s="2323"/>
    </row>
    <row r="84" spans="1:12 14013:14022" ht="12.75" customHeight="1">
      <c r="A84" s="2343"/>
      <c r="B84" s="2335"/>
      <c r="C84" s="2347"/>
      <c r="D84" s="34">
        <v>2919</v>
      </c>
      <c r="E84" s="78"/>
      <c r="F84" s="78">
        <v>4</v>
      </c>
      <c r="G84" s="78"/>
      <c r="H84" s="78"/>
      <c r="I84" s="79"/>
      <c r="J84" s="78"/>
      <c r="K84" s="78">
        <f t="shared" ref="K84:K107" si="5">H84+J84</f>
        <v>0</v>
      </c>
      <c r="L84" s="2323"/>
    </row>
    <row r="85" spans="1:12 14013:14022" ht="12.75" customHeight="1">
      <c r="A85" s="2343"/>
      <c r="B85" s="2335"/>
      <c r="C85" s="2347"/>
      <c r="D85" s="34">
        <v>4018</v>
      </c>
      <c r="E85" s="245">
        <v>265500</v>
      </c>
      <c r="F85" s="78">
        <v>265500</v>
      </c>
      <c r="G85" s="35"/>
      <c r="H85" s="35">
        <v>157500</v>
      </c>
      <c r="I85" s="79">
        <f t="shared" si="4"/>
        <v>0.59322033898305082</v>
      </c>
      <c r="J85" s="35"/>
      <c r="K85" s="78">
        <f t="shared" si="5"/>
        <v>157500</v>
      </c>
      <c r="L85" s="2323"/>
    </row>
    <row r="86" spans="1:12 14013:14022" ht="12.75" customHeight="1">
      <c r="A86" s="2343"/>
      <c r="B86" s="2335"/>
      <c r="C86" s="2347"/>
      <c r="D86" s="34">
        <v>4019</v>
      </c>
      <c r="E86" s="245">
        <v>88500</v>
      </c>
      <c r="F86" s="78">
        <v>88500</v>
      </c>
      <c r="G86" s="35"/>
      <c r="H86" s="35">
        <v>52500</v>
      </c>
      <c r="I86" s="79">
        <f t="shared" si="4"/>
        <v>0.59322033898305082</v>
      </c>
      <c r="J86" s="35"/>
      <c r="K86" s="78">
        <f t="shared" si="5"/>
        <v>52500</v>
      </c>
      <c r="L86" s="2323"/>
    </row>
    <row r="87" spans="1:12 14013:14022" ht="12.75" customHeight="1">
      <c r="A87" s="2343"/>
      <c r="B87" s="2335"/>
      <c r="C87" s="2347"/>
      <c r="D87" s="34">
        <v>4048</v>
      </c>
      <c r="E87" s="245">
        <v>19500</v>
      </c>
      <c r="F87" s="78">
        <v>19500</v>
      </c>
      <c r="G87" s="35"/>
      <c r="H87" s="35">
        <v>26250</v>
      </c>
      <c r="I87" s="79">
        <f t="shared" si="4"/>
        <v>1.3461538461538463</v>
      </c>
      <c r="J87" s="35"/>
      <c r="K87" s="78">
        <f t="shared" si="5"/>
        <v>26250</v>
      </c>
      <c r="L87" s="2323"/>
    </row>
    <row r="88" spans="1:12 14013:14022" ht="12.75" customHeight="1">
      <c r="A88" s="2343"/>
      <c r="B88" s="2335"/>
      <c r="C88" s="2347"/>
      <c r="D88" s="34">
        <v>4049</v>
      </c>
      <c r="E88" s="245">
        <v>6500</v>
      </c>
      <c r="F88" s="78">
        <v>6500</v>
      </c>
      <c r="G88" s="35"/>
      <c r="H88" s="35">
        <v>8750</v>
      </c>
      <c r="I88" s="79">
        <f t="shared" si="4"/>
        <v>1.3461538461538463</v>
      </c>
      <c r="J88" s="35"/>
      <c r="K88" s="78">
        <f t="shared" si="5"/>
        <v>8750</v>
      </c>
      <c r="L88" s="2323"/>
    </row>
    <row r="89" spans="1:12 14013:14022" ht="12.75" customHeight="1">
      <c r="A89" s="2343"/>
      <c r="B89" s="2335"/>
      <c r="C89" s="2347"/>
      <c r="D89" s="34">
        <v>4118</v>
      </c>
      <c r="E89" s="245">
        <v>50250</v>
      </c>
      <c r="F89" s="78">
        <v>50250</v>
      </c>
      <c r="G89" s="35"/>
      <c r="H89" s="35">
        <v>33750</v>
      </c>
      <c r="I89" s="79">
        <f t="shared" si="4"/>
        <v>0.67164179104477617</v>
      </c>
      <c r="J89" s="35"/>
      <c r="K89" s="78">
        <f t="shared" si="5"/>
        <v>33750</v>
      </c>
      <c r="L89" s="2323"/>
    </row>
    <row r="90" spans="1:12 14013:14022" ht="12.75" customHeight="1">
      <c r="A90" s="2343"/>
      <c r="B90" s="2335"/>
      <c r="C90" s="2347"/>
      <c r="D90" s="34">
        <v>4119</v>
      </c>
      <c r="E90" s="245">
        <v>16750</v>
      </c>
      <c r="F90" s="78">
        <v>16750</v>
      </c>
      <c r="G90" s="35"/>
      <c r="H90" s="35">
        <v>11250</v>
      </c>
      <c r="I90" s="79">
        <f t="shared" si="4"/>
        <v>0.67164179104477617</v>
      </c>
      <c r="J90" s="35"/>
      <c r="K90" s="78">
        <f t="shared" si="5"/>
        <v>11250</v>
      </c>
      <c r="L90" s="2323"/>
    </row>
    <row r="91" spans="1:12 14013:14022" s="41" customFormat="1" ht="12.75" customHeight="1">
      <c r="A91" s="2343"/>
      <c r="B91" s="2335"/>
      <c r="C91" s="2347"/>
      <c r="D91" s="34">
        <v>4128</v>
      </c>
      <c r="E91" s="245">
        <v>7500</v>
      </c>
      <c r="F91" s="78">
        <v>7500</v>
      </c>
      <c r="G91" s="89"/>
      <c r="H91" s="78">
        <v>6000</v>
      </c>
      <c r="I91" s="79">
        <f t="shared" si="4"/>
        <v>0.8</v>
      </c>
      <c r="J91" s="78"/>
      <c r="K91" s="78">
        <f t="shared" si="5"/>
        <v>6000</v>
      </c>
      <c r="L91" s="2323"/>
      <c r="TRY91" s="2"/>
      <c r="TRZ91" s="2"/>
      <c r="TSA91" s="2"/>
      <c r="TSB91" s="2"/>
      <c r="TSC91" s="2"/>
      <c r="TSD91" s="2"/>
      <c r="TSE91" s="2"/>
      <c r="TSF91" s="2"/>
      <c r="TSG91" s="2"/>
      <c r="TSH91" s="2"/>
    </row>
    <row r="92" spans="1:12 14013:14022" s="41" customFormat="1" ht="12.75" customHeight="1">
      <c r="A92" s="2343"/>
      <c r="B92" s="2335"/>
      <c r="C92" s="2347"/>
      <c r="D92" s="34">
        <v>4129</v>
      </c>
      <c r="E92" s="245">
        <v>2500</v>
      </c>
      <c r="F92" s="78">
        <v>2500</v>
      </c>
      <c r="G92" s="89"/>
      <c r="H92" s="78">
        <v>2000</v>
      </c>
      <c r="I92" s="79">
        <f t="shared" si="4"/>
        <v>0.8</v>
      </c>
      <c r="J92" s="78"/>
      <c r="K92" s="78">
        <f t="shared" si="5"/>
        <v>2000</v>
      </c>
      <c r="L92" s="2323"/>
      <c r="TRY92" s="2"/>
      <c r="TRZ92" s="2"/>
      <c r="TSA92" s="2"/>
      <c r="TSB92" s="2"/>
      <c r="TSC92" s="2"/>
      <c r="TSD92" s="2"/>
      <c r="TSE92" s="2"/>
      <c r="TSF92" s="2"/>
      <c r="TSG92" s="2"/>
      <c r="TSH92" s="2"/>
    </row>
    <row r="93" spans="1:12 14013:14022" s="41" customFormat="1" ht="12.75" customHeight="1">
      <c r="A93" s="2343"/>
      <c r="B93" s="2335"/>
      <c r="C93" s="2347"/>
      <c r="D93" s="34">
        <v>4218</v>
      </c>
      <c r="E93" s="245">
        <v>15000</v>
      </c>
      <c r="F93" s="78">
        <v>15000</v>
      </c>
      <c r="G93" s="89"/>
      <c r="H93" s="78">
        <v>54750</v>
      </c>
      <c r="I93" s="79">
        <f t="shared" ref="I93:I98" si="6">H93/E93</f>
        <v>3.65</v>
      </c>
      <c r="J93" s="78"/>
      <c r="K93" s="78">
        <f t="shared" si="5"/>
        <v>54750</v>
      </c>
      <c r="L93" s="2323"/>
      <c r="TRY93" s="2"/>
      <c r="TRZ93" s="2"/>
      <c r="TSA93" s="2"/>
      <c r="TSB93" s="2"/>
      <c r="TSC93" s="2"/>
      <c r="TSD93" s="2"/>
      <c r="TSE93" s="2"/>
      <c r="TSF93" s="2"/>
      <c r="TSG93" s="2"/>
      <c r="TSH93" s="2"/>
    </row>
    <row r="94" spans="1:12 14013:14022" s="41" customFormat="1" ht="12.75" customHeight="1">
      <c r="A94" s="2343"/>
      <c r="B94" s="2335"/>
      <c r="C94" s="2347"/>
      <c r="D94" s="34">
        <v>4219</v>
      </c>
      <c r="E94" s="245">
        <v>5000</v>
      </c>
      <c r="F94" s="78">
        <v>5000</v>
      </c>
      <c r="G94" s="89"/>
      <c r="H94" s="78">
        <v>18250</v>
      </c>
      <c r="I94" s="79">
        <f t="shared" si="6"/>
        <v>3.65</v>
      </c>
      <c r="J94" s="78"/>
      <c r="K94" s="78">
        <f t="shared" si="5"/>
        <v>18250</v>
      </c>
      <c r="L94" s="2323"/>
      <c r="TRY94" s="2"/>
      <c r="TRZ94" s="2"/>
      <c r="TSA94" s="2"/>
      <c r="TSB94" s="2"/>
      <c r="TSC94" s="2"/>
      <c r="TSD94" s="2"/>
      <c r="TSE94" s="2"/>
      <c r="TSF94" s="2"/>
      <c r="TSG94" s="2"/>
      <c r="TSH94" s="2"/>
    </row>
    <row r="95" spans="1:12 14013:14022" s="41" customFormat="1" ht="12.75" customHeight="1">
      <c r="A95" s="2343"/>
      <c r="B95" s="2335"/>
      <c r="C95" s="2347"/>
      <c r="D95" s="34">
        <v>4278</v>
      </c>
      <c r="E95" s="245">
        <v>2250</v>
      </c>
      <c r="F95" s="78">
        <v>2250</v>
      </c>
      <c r="G95" s="89"/>
      <c r="H95" s="78">
        <v>2250</v>
      </c>
      <c r="I95" s="79">
        <f t="shared" si="6"/>
        <v>1</v>
      </c>
      <c r="J95" s="78"/>
      <c r="K95" s="78">
        <f t="shared" si="5"/>
        <v>2250</v>
      </c>
      <c r="L95" s="2323"/>
      <c r="TRY95" s="2"/>
      <c r="TRZ95" s="2"/>
      <c r="TSA95" s="2"/>
      <c r="TSB95" s="2"/>
      <c r="TSC95" s="2"/>
      <c r="TSD95" s="2"/>
      <c r="TSE95" s="2"/>
      <c r="TSF95" s="2"/>
      <c r="TSG95" s="2"/>
      <c r="TSH95" s="2"/>
    </row>
    <row r="96" spans="1:12 14013:14022" s="41" customFormat="1" ht="12.75" customHeight="1">
      <c r="A96" s="2343"/>
      <c r="B96" s="2335"/>
      <c r="C96" s="2347"/>
      <c r="D96" s="34">
        <v>4279</v>
      </c>
      <c r="E96" s="245">
        <v>750</v>
      </c>
      <c r="F96" s="78">
        <v>750</v>
      </c>
      <c r="G96" s="89"/>
      <c r="H96" s="78">
        <v>750</v>
      </c>
      <c r="I96" s="79">
        <f t="shared" si="6"/>
        <v>1</v>
      </c>
      <c r="J96" s="78"/>
      <c r="K96" s="78">
        <f t="shared" si="5"/>
        <v>750</v>
      </c>
      <c r="L96" s="2323"/>
      <c r="TRY96" s="2"/>
      <c r="TRZ96" s="2"/>
      <c r="TSA96" s="2"/>
      <c r="TSB96" s="2"/>
      <c r="TSC96" s="2"/>
      <c r="TSD96" s="2"/>
      <c r="TSE96" s="2"/>
      <c r="TSF96" s="2"/>
      <c r="TSG96" s="2"/>
      <c r="TSH96" s="2"/>
    </row>
    <row r="97" spans="1:12 14013:14022" s="41" customFormat="1" ht="12.75" customHeight="1">
      <c r="A97" s="2343"/>
      <c r="B97" s="2335"/>
      <c r="C97" s="2347"/>
      <c r="D97" s="34">
        <v>4308</v>
      </c>
      <c r="E97" s="245">
        <v>7500</v>
      </c>
      <c r="F97" s="78">
        <v>7500</v>
      </c>
      <c r="G97" s="89"/>
      <c r="H97" s="78">
        <v>13500</v>
      </c>
      <c r="I97" s="79">
        <f t="shared" si="6"/>
        <v>1.8</v>
      </c>
      <c r="J97" s="78"/>
      <c r="K97" s="78">
        <f t="shared" si="5"/>
        <v>13500</v>
      </c>
      <c r="L97" s="2323"/>
      <c r="TRY97" s="2"/>
      <c r="TRZ97" s="2"/>
      <c r="TSA97" s="2"/>
      <c r="TSB97" s="2"/>
      <c r="TSC97" s="2"/>
      <c r="TSD97" s="2"/>
      <c r="TSE97" s="2"/>
      <c r="TSF97" s="2"/>
      <c r="TSG97" s="2"/>
      <c r="TSH97" s="2"/>
    </row>
    <row r="98" spans="1:12 14013:14022" s="41" customFormat="1" ht="12.75" customHeight="1">
      <c r="A98" s="2343"/>
      <c r="B98" s="2335"/>
      <c r="C98" s="2347"/>
      <c r="D98" s="34">
        <v>4309</v>
      </c>
      <c r="E98" s="245">
        <v>2500</v>
      </c>
      <c r="F98" s="78">
        <v>2500</v>
      </c>
      <c r="G98" s="89"/>
      <c r="H98" s="78">
        <v>4500</v>
      </c>
      <c r="I98" s="79">
        <f t="shared" si="6"/>
        <v>1.8</v>
      </c>
      <c r="J98" s="78"/>
      <c r="K98" s="78">
        <f t="shared" si="5"/>
        <v>4500</v>
      </c>
      <c r="L98" s="2323"/>
      <c r="TRY98" s="2"/>
      <c r="TRZ98" s="2"/>
      <c r="TSA98" s="2"/>
      <c r="TSB98" s="2"/>
      <c r="TSC98" s="2"/>
      <c r="TSD98" s="2"/>
      <c r="TSE98" s="2"/>
      <c r="TSF98" s="2"/>
      <c r="TSG98" s="2"/>
      <c r="TSH98" s="2"/>
    </row>
    <row r="99" spans="1:12 14013:14022" s="41" customFormat="1" ht="12.75" customHeight="1">
      <c r="A99" s="2343"/>
      <c r="B99" s="2335"/>
      <c r="C99" s="2347"/>
      <c r="D99" s="34">
        <v>4418</v>
      </c>
      <c r="E99" s="245">
        <v>1500</v>
      </c>
      <c r="F99" s="78">
        <v>1500</v>
      </c>
      <c r="G99" s="89"/>
      <c r="H99" s="78">
        <v>1500</v>
      </c>
      <c r="I99" s="79">
        <f t="shared" ref="I99:I107" si="7">H99/E99</f>
        <v>1</v>
      </c>
      <c r="J99" s="78"/>
      <c r="K99" s="78">
        <f t="shared" si="5"/>
        <v>1500</v>
      </c>
      <c r="L99" s="2323"/>
      <c r="TRY99" s="2"/>
      <c r="TRZ99" s="2"/>
      <c r="TSA99" s="2"/>
      <c r="TSB99" s="2"/>
      <c r="TSC99" s="2"/>
      <c r="TSD99" s="2"/>
      <c r="TSE99" s="2"/>
      <c r="TSF99" s="2"/>
      <c r="TSG99" s="2"/>
      <c r="TSH99" s="2"/>
    </row>
    <row r="100" spans="1:12 14013:14022" s="41" customFormat="1" ht="12.75" customHeight="1">
      <c r="A100" s="2343"/>
      <c r="B100" s="2335"/>
      <c r="C100" s="2347"/>
      <c r="D100" s="34">
        <v>4419</v>
      </c>
      <c r="E100" s="245">
        <v>500</v>
      </c>
      <c r="F100" s="78">
        <v>500</v>
      </c>
      <c r="G100" s="89"/>
      <c r="H100" s="78">
        <v>500</v>
      </c>
      <c r="I100" s="79">
        <f t="shared" si="7"/>
        <v>1</v>
      </c>
      <c r="J100" s="78"/>
      <c r="K100" s="78">
        <f t="shared" si="5"/>
        <v>500</v>
      </c>
      <c r="L100" s="2323"/>
      <c r="TRY100" s="2"/>
      <c r="TRZ100" s="2"/>
      <c r="TSA100" s="2"/>
      <c r="TSB100" s="2"/>
      <c r="TSC100" s="2"/>
      <c r="TSD100" s="2"/>
      <c r="TSE100" s="2"/>
      <c r="TSF100" s="2"/>
      <c r="TSG100" s="2"/>
      <c r="TSH100" s="2"/>
    </row>
    <row r="101" spans="1:12 14013:14022" s="41" customFormat="1" ht="12.75" customHeight="1">
      <c r="A101" s="2343"/>
      <c r="B101" s="2335"/>
      <c r="C101" s="2347"/>
      <c r="D101" s="34">
        <v>4438</v>
      </c>
      <c r="E101" s="245">
        <v>750</v>
      </c>
      <c r="F101" s="78">
        <v>750</v>
      </c>
      <c r="G101" s="89"/>
      <c r="H101" s="78">
        <v>750</v>
      </c>
      <c r="I101" s="79">
        <f t="shared" si="7"/>
        <v>1</v>
      </c>
      <c r="J101" s="78"/>
      <c r="K101" s="78">
        <f t="shared" si="5"/>
        <v>750</v>
      </c>
      <c r="L101" s="2323"/>
      <c r="TRY101" s="2"/>
      <c r="TRZ101" s="2"/>
      <c r="TSA101" s="2"/>
      <c r="TSB101" s="2"/>
      <c r="TSC101" s="2"/>
      <c r="TSD101" s="2"/>
      <c r="TSE101" s="2"/>
      <c r="TSF101" s="2"/>
      <c r="TSG101" s="2"/>
      <c r="TSH101" s="2"/>
    </row>
    <row r="102" spans="1:12 14013:14022" s="41" customFormat="1" ht="12.75" customHeight="1">
      <c r="A102" s="2343"/>
      <c r="B102" s="2335"/>
      <c r="C102" s="2347"/>
      <c r="D102" s="34">
        <v>4439</v>
      </c>
      <c r="E102" s="245">
        <v>250</v>
      </c>
      <c r="F102" s="78">
        <v>250</v>
      </c>
      <c r="G102" s="89"/>
      <c r="H102" s="78">
        <v>250</v>
      </c>
      <c r="I102" s="79">
        <f t="shared" si="7"/>
        <v>1</v>
      </c>
      <c r="J102" s="78"/>
      <c r="K102" s="78">
        <f t="shared" si="5"/>
        <v>250</v>
      </c>
      <c r="L102" s="2323"/>
      <c r="TRY102" s="2"/>
      <c r="TRZ102" s="2"/>
      <c r="TSA102" s="2"/>
      <c r="TSB102" s="2"/>
      <c r="TSC102" s="2"/>
      <c r="TSD102" s="2"/>
      <c r="TSE102" s="2"/>
      <c r="TSF102" s="2"/>
      <c r="TSG102" s="2"/>
      <c r="TSH102" s="2"/>
    </row>
    <row r="103" spans="1:12 14013:14022" s="41" customFormat="1" ht="12.75" customHeight="1">
      <c r="A103" s="2343"/>
      <c r="B103" s="2335"/>
      <c r="C103" s="2347"/>
      <c r="D103" s="34">
        <v>4569</v>
      </c>
      <c r="E103" s="245"/>
      <c r="F103" s="78">
        <v>1</v>
      </c>
      <c r="G103" s="89"/>
      <c r="H103" s="78"/>
      <c r="I103" s="79"/>
      <c r="J103" s="78"/>
      <c r="K103" s="78">
        <f t="shared" si="5"/>
        <v>0</v>
      </c>
      <c r="L103" s="2323"/>
      <c r="TRY103" s="2"/>
      <c r="TRZ103" s="2"/>
      <c r="TSA103" s="2"/>
      <c r="TSB103" s="2"/>
      <c r="TSC103" s="2"/>
      <c r="TSD103" s="2"/>
      <c r="TSE103" s="2"/>
      <c r="TSF103" s="2"/>
      <c r="TSG103" s="2"/>
      <c r="TSH103" s="2"/>
    </row>
    <row r="104" spans="1:12 14013:14022" s="41" customFormat="1" ht="12.75" customHeight="1">
      <c r="A104" s="2343"/>
      <c r="B104" s="2335"/>
      <c r="C104" s="2347"/>
      <c r="D104" s="34">
        <v>4708</v>
      </c>
      <c r="E104" s="245">
        <v>3000</v>
      </c>
      <c r="F104" s="78">
        <v>3000</v>
      </c>
      <c r="G104" s="89"/>
      <c r="H104" s="78">
        <v>2250</v>
      </c>
      <c r="I104" s="79">
        <f t="shared" si="7"/>
        <v>0.75</v>
      </c>
      <c r="J104" s="78"/>
      <c r="K104" s="78">
        <f t="shared" si="5"/>
        <v>2250</v>
      </c>
      <c r="L104" s="2323"/>
      <c r="TRY104" s="2"/>
      <c r="TRZ104" s="2"/>
      <c r="TSA104" s="2"/>
      <c r="TSB104" s="2"/>
      <c r="TSC104" s="2"/>
      <c r="TSD104" s="2"/>
      <c r="TSE104" s="2"/>
      <c r="TSF104" s="2"/>
      <c r="TSG104" s="2"/>
      <c r="TSH104" s="2"/>
    </row>
    <row r="105" spans="1:12 14013:14022" s="41" customFormat="1" ht="12.75" customHeight="1">
      <c r="A105" s="2343"/>
      <c r="B105" s="2335"/>
      <c r="C105" s="2347"/>
      <c r="D105" s="34">
        <v>4709</v>
      </c>
      <c r="E105" s="245">
        <v>1000</v>
      </c>
      <c r="F105" s="78">
        <v>1000</v>
      </c>
      <c r="G105" s="89"/>
      <c r="H105" s="78">
        <v>750</v>
      </c>
      <c r="I105" s="79">
        <f t="shared" si="7"/>
        <v>0.75</v>
      </c>
      <c r="J105" s="78"/>
      <c r="K105" s="78">
        <f t="shared" si="5"/>
        <v>750</v>
      </c>
      <c r="L105" s="2323"/>
      <c r="TRY105" s="2"/>
      <c r="TRZ105" s="2"/>
      <c r="TSA105" s="2"/>
      <c r="TSB105" s="2"/>
      <c r="TSC105" s="2"/>
      <c r="TSD105" s="2"/>
      <c r="TSE105" s="2"/>
      <c r="TSF105" s="2"/>
      <c r="TSG105" s="2"/>
      <c r="TSH105" s="2"/>
    </row>
    <row r="106" spans="1:12 14013:14022" s="243" customFormat="1" ht="12.75" customHeight="1">
      <c r="A106" s="2343"/>
      <c r="B106" s="2335"/>
      <c r="C106" s="2347"/>
      <c r="D106" s="34">
        <v>4718</v>
      </c>
      <c r="E106" s="245">
        <v>2250</v>
      </c>
      <c r="F106" s="78">
        <v>2250</v>
      </c>
      <c r="G106" s="89"/>
      <c r="H106" s="78">
        <v>1500</v>
      </c>
      <c r="I106" s="79">
        <f t="shared" si="7"/>
        <v>0.66666666666666663</v>
      </c>
      <c r="J106" s="78"/>
      <c r="K106" s="78">
        <f t="shared" si="5"/>
        <v>1500</v>
      </c>
      <c r="L106" s="2323"/>
      <c r="TRY106" s="2"/>
      <c r="TRZ106" s="2"/>
      <c r="TSA106" s="2"/>
      <c r="TSB106" s="2"/>
      <c r="TSC106" s="2"/>
      <c r="TSD106" s="2"/>
      <c r="TSE106" s="2"/>
      <c r="TSF106" s="2"/>
      <c r="TSG106" s="2"/>
      <c r="TSH106" s="2"/>
    </row>
    <row r="107" spans="1:12 14013:14022" s="243" customFormat="1" ht="12.75" customHeight="1">
      <c r="A107" s="2343"/>
      <c r="B107" s="2335"/>
      <c r="C107" s="2348"/>
      <c r="D107" s="34">
        <v>4719</v>
      </c>
      <c r="E107" s="245">
        <v>750</v>
      </c>
      <c r="F107" s="78">
        <v>750</v>
      </c>
      <c r="G107" s="89"/>
      <c r="H107" s="78">
        <v>500</v>
      </c>
      <c r="I107" s="79">
        <f t="shared" si="7"/>
        <v>0.66666666666666663</v>
      </c>
      <c r="J107" s="78"/>
      <c r="K107" s="78">
        <f t="shared" si="5"/>
        <v>500</v>
      </c>
      <c r="L107" s="2323"/>
      <c r="TRY107" s="2"/>
      <c r="TRZ107" s="2"/>
      <c r="TSA107" s="2"/>
      <c r="TSB107" s="2"/>
      <c r="TSC107" s="2"/>
      <c r="TSD107" s="2"/>
      <c r="TSE107" s="2"/>
      <c r="TSF107" s="2"/>
      <c r="TSG107" s="2"/>
      <c r="TSH107" s="2"/>
    </row>
    <row r="108" spans="1:12 14013:14022" ht="12.75" customHeight="1">
      <c r="A108" s="2343"/>
      <c r="B108" s="2335"/>
      <c r="C108" s="52" t="s">
        <v>26</v>
      </c>
      <c r="D108" s="76"/>
      <c r="E108" s="66"/>
      <c r="F108" s="66"/>
      <c r="G108" s="32"/>
      <c r="H108" s="32"/>
      <c r="I108" s="67"/>
      <c r="J108" s="32"/>
      <c r="K108" s="32"/>
      <c r="L108" s="2323"/>
    </row>
    <row r="109" spans="1:12 14013:14022" ht="12.75" customHeight="1">
      <c r="A109" s="2344"/>
      <c r="B109" s="2336"/>
      <c r="C109" s="52" t="s">
        <v>27</v>
      </c>
      <c r="D109" s="76"/>
      <c r="E109" s="66"/>
      <c r="F109" s="66"/>
      <c r="G109" s="32"/>
      <c r="H109" s="32"/>
      <c r="I109" s="67"/>
      <c r="J109" s="32"/>
      <c r="K109" s="32"/>
      <c r="L109" s="2324"/>
    </row>
    <row r="110" spans="1:12 14013:14022" ht="12.75" customHeight="1">
      <c r="A110" s="2342"/>
      <c r="B110" s="2334"/>
      <c r="C110" s="54" t="s">
        <v>28</v>
      </c>
      <c r="D110" s="90"/>
      <c r="E110" s="74">
        <f>E111+E113+E114</f>
        <v>0</v>
      </c>
      <c r="F110" s="74">
        <f>F111+F113+F114</f>
        <v>0</v>
      </c>
      <c r="G110" s="74" t="e">
        <f>G111+G113+G114</f>
        <v>#REF!</v>
      </c>
      <c r="H110" s="74">
        <f>H111+H113+H114</f>
        <v>0</v>
      </c>
      <c r="I110" s="67"/>
      <c r="J110" s="74">
        <f>J111+J113+J114</f>
        <v>0</v>
      </c>
      <c r="K110" s="74">
        <f>K111+K113+K114</f>
        <v>0</v>
      </c>
      <c r="L110" s="2325"/>
    </row>
    <row r="111" spans="1:12 14013:14022" ht="12.75" customHeight="1">
      <c r="A111" s="2343"/>
      <c r="B111" s="2335"/>
      <c r="C111" s="225" t="s">
        <v>29</v>
      </c>
      <c r="D111" s="31"/>
      <c r="E111" s="66"/>
      <c r="F111" s="66"/>
      <c r="G111" s="66" t="e">
        <f>G112</f>
        <v>#REF!</v>
      </c>
      <c r="H111" s="66"/>
      <c r="I111" s="67"/>
      <c r="J111" s="66"/>
      <c r="K111" s="66"/>
      <c r="L111" s="2326"/>
    </row>
    <row r="112" spans="1:12 14013:14022" ht="22.5">
      <c r="A112" s="2343"/>
      <c r="B112" s="2335"/>
      <c r="C112" s="224" t="s">
        <v>46</v>
      </c>
      <c r="D112" s="38"/>
      <c r="E112" s="70"/>
      <c r="F112" s="70"/>
      <c r="G112" s="70" t="e">
        <f>SUM(#REF!)</f>
        <v>#REF!</v>
      </c>
      <c r="H112" s="70"/>
      <c r="I112" s="67"/>
      <c r="J112" s="70"/>
      <c r="K112" s="70"/>
      <c r="L112" s="2326"/>
    </row>
    <row r="113" spans="1:12" ht="12.75" customHeight="1">
      <c r="A113" s="2343"/>
      <c r="B113" s="2335"/>
      <c r="C113" s="52" t="s">
        <v>31</v>
      </c>
      <c r="D113" s="52"/>
      <c r="E113" s="66"/>
      <c r="F113" s="66"/>
      <c r="G113" s="32"/>
      <c r="H113" s="32"/>
      <c r="I113" s="67"/>
      <c r="J113" s="32"/>
      <c r="K113" s="32"/>
      <c r="L113" s="2326"/>
    </row>
    <row r="114" spans="1:12" ht="12.75" customHeight="1">
      <c r="A114" s="2350"/>
      <c r="B114" s="2349"/>
      <c r="C114" s="359" t="s">
        <v>32</v>
      </c>
      <c r="D114" s="359"/>
      <c r="E114" s="360"/>
      <c r="F114" s="360"/>
      <c r="G114" s="361"/>
      <c r="H114" s="361"/>
      <c r="I114" s="362"/>
      <c r="J114" s="361"/>
      <c r="K114" s="361"/>
      <c r="L114" s="2327"/>
    </row>
    <row r="115" spans="1:12" s="95" customFormat="1" ht="0.75" customHeight="1">
      <c r="A115" s="57" t="s">
        <v>55</v>
      </c>
      <c r="B115" s="15"/>
      <c r="C115" s="16" t="s">
        <v>56</v>
      </c>
      <c r="D115" s="16"/>
      <c r="E115" s="58">
        <f>SUM(E116,E131)</f>
        <v>0</v>
      </c>
      <c r="F115" s="58">
        <f>SUM(F116)</f>
        <v>0</v>
      </c>
      <c r="G115" s="58" t="e">
        <f>SUM(G116,G131)</f>
        <v>#REF!</v>
      </c>
      <c r="H115" s="58">
        <f>SUM(H116,H131)</f>
        <v>0</v>
      </c>
      <c r="I115" s="59"/>
      <c r="J115" s="17">
        <f>SUM(J116,J131)</f>
        <v>0</v>
      </c>
      <c r="K115" s="17">
        <f>SUM(K116,K131)</f>
        <v>0</v>
      </c>
      <c r="L115" s="358"/>
    </row>
    <row r="116" spans="1:12" hidden="1">
      <c r="A116" s="2338"/>
      <c r="B116" s="2340" t="s">
        <v>134</v>
      </c>
      <c r="C116" s="60" t="s">
        <v>17</v>
      </c>
      <c r="D116" s="61"/>
      <c r="E116" s="23">
        <f>SUM(E117,E126)</f>
        <v>0</v>
      </c>
      <c r="F116" s="23">
        <f>SUM(F117,F126)</f>
        <v>0</v>
      </c>
      <c r="G116" s="23">
        <f>SUM(G117,G126)</f>
        <v>0</v>
      </c>
      <c r="H116" s="23">
        <f>SUM(H117,H126)</f>
        <v>0</v>
      </c>
      <c r="I116" s="62"/>
      <c r="J116" s="23">
        <f>SUM(J117,J126)</f>
        <v>0</v>
      </c>
      <c r="K116" s="23">
        <f>SUM(K117,K126)</f>
        <v>0</v>
      </c>
      <c r="L116" s="2315"/>
    </row>
    <row r="117" spans="1:12" hidden="1">
      <c r="A117" s="2338"/>
      <c r="B117" s="2340"/>
      <c r="C117" s="26" t="s">
        <v>18</v>
      </c>
      <c r="D117" s="63"/>
      <c r="E117" s="28">
        <f>SUM(E118,E121,E122,E123,E124,E125)</f>
        <v>0</v>
      </c>
      <c r="F117" s="28">
        <f>SUM(F118,F121,F122,F123,F124,F125)</f>
        <v>0</v>
      </c>
      <c r="G117" s="28">
        <f>SUM(G118,G121,G122,G123,G124,G125)</f>
        <v>0</v>
      </c>
      <c r="H117" s="28">
        <f>SUM(H118,H121,H122,H123,H124,H125)</f>
        <v>0</v>
      </c>
      <c r="I117" s="64"/>
      <c r="J117" s="28">
        <f>SUM(J118,J121,J122,J123,J124,J125)</f>
        <v>0</v>
      </c>
      <c r="K117" s="28">
        <f>SUM(K118,K121,K122,K123,K124,K125)</f>
        <v>0</v>
      </c>
      <c r="L117" s="2316"/>
    </row>
    <row r="118" spans="1:12" hidden="1">
      <c r="A118" s="2338"/>
      <c r="B118" s="2340"/>
      <c r="C118" s="52" t="s">
        <v>19</v>
      </c>
      <c r="D118" s="65"/>
      <c r="E118" s="66"/>
      <c r="F118" s="66"/>
      <c r="G118" s="66"/>
      <c r="H118" s="66"/>
      <c r="I118" s="67"/>
      <c r="J118" s="66"/>
      <c r="K118" s="66"/>
      <c r="L118" s="2316"/>
    </row>
    <row r="119" spans="1:12" hidden="1">
      <c r="A119" s="2338"/>
      <c r="B119" s="2340"/>
      <c r="C119" s="52" t="s">
        <v>20</v>
      </c>
      <c r="D119" s="65"/>
      <c r="E119" s="66"/>
      <c r="F119" s="66"/>
      <c r="G119" s="32"/>
      <c r="H119" s="32"/>
      <c r="I119" s="67"/>
      <c r="J119" s="32"/>
      <c r="K119" s="32"/>
      <c r="L119" s="2316"/>
    </row>
    <row r="120" spans="1:12" ht="12.75" hidden="1" customHeight="1">
      <c r="A120" s="2338"/>
      <c r="B120" s="2340"/>
      <c r="C120" s="68" t="s">
        <v>21</v>
      </c>
      <c r="D120" s="69"/>
      <c r="E120" s="70"/>
      <c r="F120" s="70"/>
      <c r="G120" s="70" t="e">
        <f>SUM(#REF!)</f>
        <v>#REF!</v>
      </c>
      <c r="H120" s="70"/>
      <c r="I120" s="67"/>
      <c r="J120" s="70"/>
      <c r="K120" s="70"/>
      <c r="L120" s="2316"/>
    </row>
    <row r="121" spans="1:12" hidden="1">
      <c r="A121" s="2338"/>
      <c r="B121" s="2340"/>
      <c r="C121" s="52" t="s">
        <v>23</v>
      </c>
      <c r="D121" s="71">
        <v>2710</v>
      </c>
      <c r="E121" s="66"/>
      <c r="F121" s="66"/>
      <c r="G121" s="32"/>
      <c r="H121" s="32"/>
      <c r="I121" s="67"/>
      <c r="J121" s="32"/>
      <c r="K121" s="32"/>
      <c r="L121" s="2316"/>
    </row>
    <row r="122" spans="1:12" hidden="1">
      <c r="A122" s="2338"/>
      <c r="B122" s="2340"/>
      <c r="C122" s="52" t="s">
        <v>24</v>
      </c>
      <c r="D122" s="65"/>
      <c r="E122" s="66"/>
      <c r="F122" s="66"/>
      <c r="G122" s="32"/>
      <c r="H122" s="32"/>
      <c r="I122" s="67"/>
      <c r="J122" s="32"/>
      <c r="K122" s="32"/>
      <c r="L122" s="2316"/>
    </row>
    <row r="123" spans="1:12" ht="22.5" hidden="1">
      <c r="A123" s="2338"/>
      <c r="B123" s="2340"/>
      <c r="C123" s="41" t="s">
        <v>45</v>
      </c>
      <c r="D123" s="72"/>
      <c r="E123" s="70"/>
      <c r="F123" s="70"/>
      <c r="G123" s="32"/>
      <c r="H123" s="32"/>
      <c r="I123" s="67"/>
      <c r="J123" s="32"/>
      <c r="K123" s="32"/>
      <c r="L123" s="2316"/>
    </row>
    <row r="124" spans="1:12" hidden="1">
      <c r="A124" s="2338"/>
      <c r="B124" s="2340"/>
      <c r="C124" s="52" t="s">
        <v>26</v>
      </c>
      <c r="D124" s="65"/>
      <c r="E124" s="66"/>
      <c r="F124" s="66"/>
      <c r="G124" s="32"/>
      <c r="H124" s="32"/>
      <c r="I124" s="67"/>
      <c r="J124" s="32"/>
      <c r="K124" s="32"/>
      <c r="L124" s="2316"/>
    </row>
    <row r="125" spans="1:12" hidden="1">
      <c r="A125" s="2338"/>
      <c r="B125" s="2340"/>
      <c r="C125" s="52" t="s">
        <v>27</v>
      </c>
      <c r="D125" s="65"/>
      <c r="E125" s="66"/>
      <c r="F125" s="66"/>
      <c r="G125" s="32"/>
      <c r="H125" s="32"/>
      <c r="I125" s="67"/>
      <c r="J125" s="32"/>
      <c r="K125" s="32"/>
      <c r="L125" s="2316"/>
    </row>
    <row r="126" spans="1:12" hidden="1">
      <c r="A126" s="2338"/>
      <c r="B126" s="2340"/>
      <c r="C126" s="54" t="s">
        <v>28</v>
      </c>
      <c r="D126" s="73"/>
      <c r="E126" s="74">
        <f>SUM(E127,E129,E130)</f>
        <v>0</v>
      </c>
      <c r="F126" s="74">
        <f>SUM(F127,F129,F130)</f>
        <v>0</v>
      </c>
      <c r="G126" s="74">
        <f>SUM(G127,G129,G130)</f>
        <v>0</v>
      </c>
      <c r="H126" s="74">
        <f>SUM(H127,H129,H130)</f>
        <v>0</v>
      </c>
      <c r="I126" s="67"/>
      <c r="J126" s="74">
        <f>SUM(J127,J129,J130)</f>
        <v>0</v>
      </c>
      <c r="K126" s="74">
        <f>SUM(K127,K129,K130)</f>
        <v>0</v>
      </c>
      <c r="L126" s="2316"/>
    </row>
    <row r="127" spans="1:12" hidden="1">
      <c r="A127" s="2338"/>
      <c r="B127" s="2340"/>
      <c r="C127" s="52" t="s">
        <v>29</v>
      </c>
      <c r="D127" s="71"/>
      <c r="E127" s="66"/>
      <c r="F127" s="66"/>
      <c r="G127" s="32"/>
      <c r="H127" s="32"/>
      <c r="I127" s="67"/>
      <c r="J127" s="32"/>
      <c r="K127" s="32"/>
      <c r="L127" s="2316"/>
    </row>
    <row r="128" spans="1:12" ht="22.5" hidden="1">
      <c r="A128" s="2338"/>
      <c r="B128" s="2340"/>
      <c r="C128" s="41" t="s">
        <v>46</v>
      </c>
      <c r="D128" s="72"/>
      <c r="E128" s="70"/>
      <c r="F128" s="70"/>
      <c r="G128" s="32"/>
      <c r="H128" s="32"/>
      <c r="I128" s="67"/>
      <c r="J128" s="32"/>
      <c r="K128" s="32"/>
      <c r="L128" s="2316"/>
    </row>
    <row r="129" spans="1:12" hidden="1">
      <c r="A129" s="2338"/>
      <c r="B129" s="2340"/>
      <c r="C129" s="52" t="s">
        <v>31</v>
      </c>
      <c r="D129" s="65"/>
      <c r="E129" s="66"/>
      <c r="F129" s="66"/>
      <c r="G129" s="32"/>
      <c r="H129" s="32"/>
      <c r="I129" s="67"/>
      <c r="J129" s="32"/>
      <c r="K129" s="32"/>
      <c r="L129" s="2316"/>
    </row>
    <row r="130" spans="1:12" hidden="1">
      <c r="A130" s="2338"/>
      <c r="B130" s="2340"/>
      <c r="C130" s="52" t="s">
        <v>32</v>
      </c>
      <c r="D130" s="65"/>
      <c r="E130" s="66"/>
      <c r="F130" s="66"/>
      <c r="G130" s="28"/>
      <c r="H130" s="28"/>
      <c r="I130" s="67"/>
      <c r="J130" s="28"/>
      <c r="K130" s="28"/>
      <c r="L130" s="2317"/>
    </row>
    <row r="131" spans="1:12" s="95" customFormat="1" ht="3.75" hidden="1" customHeight="1">
      <c r="A131" s="14" t="s">
        <v>57</v>
      </c>
      <c r="B131" s="84"/>
      <c r="C131" s="85" t="s">
        <v>58</v>
      </c>
      <c r="D131" s="85"/>
      <c r="E131" s="86">
        <f>SUM(E132,E147)</f>
        <v>0</v>
      </c>
      <c r="F131" s="86">
        <f>SUM(F132,F147)</f>
        <v>0</v>
      </c>
      <c r="G131" s="86" t="e">
        <f t="shared" ref="G131:H131" si="8">SUM(G132,G147)</f>
        <v>#REF!</v>
      </c>
      <c r="H131" s="86">
        <f t="shared" si="8"/>
        <v>0</v>
      </c>
      <c r="I131" s="93"/>
      <c r="J131" s="94">
        <f>SUM(J132)</f>
        <v>0</v>
      </c>
      <c r="K131" s="94">
        <f>SUM(K132)</f>
        <v>0</v>
      </c>
      <c r="L131" s="215"/>
    </row>
    <row r="132" spans="1:12" ht="12.75" hidden="1" customHeight="1">
      <c r="A132" s="2338"/>
      <c r="B132" s="2340" t="s">
        <v>121</v>
      </c>
      <c r="C132" s="60" t="s">
        <v>17</v>
      </c>
      <c r="D132" s="61"/>
      <c r="E132" s="23">
        <f>SUM(E133,E142)</f>
        <v>0</v>
      </c>
      <c r="F132" s="23">
        <f>SUM(F133,F142)</f>
        <v>0</v>
      </c>
      <c r="G132" s="23" t="e">
        <f>SUM(G133,G142)</f>
        <v>#REF!</v>
      </c>
      <c r="H132" s="23">
        <f>SUM(H133,H142)</f>
        <v>0</v>
      </c>
      <c r="I132" s="62"/>
      <c r="J132" s="23">
        <f>SUM(J133,J142)</f>
        <v>0</v>
      </c>
      <c r="K132" s="23">
        <f>SUM(K133,K142)</f>
        <v>0</v>
      </c>
      <c r="L132" s="2315" t="s">
        <v>147</v>
      </c>
    </row>
    <row r="133" spans="1:12" ht="12.75" hidden="1" customHeight="1">
      <c r="A133" s="2338"/>
      <c r="B133" s="2340"/>
      <c r="C133" s="26" t="s">
        <v>18</v>
      </c>
      <c r="D133" s="63"/>
      <c r="E133" s="28">
        <f>SUM(E134,E137,E138,E139,E140,E141)</f>
        <v>0</v>
      </c>
      <c r="F133" s="28">
        <f>SUM(F134,F137,F138,F139,F140,F141)</f>
        <v>0</v>
      </c>
      <c r="G133" s="28" t="e">
        <f>SUM(G134,G137,G138,G139,G140,G141)</f>
        <v>#REF!</v>
      </c>
      <c r="H133" s="28">
        <f>SUM(H134,H137,H138,H139,H140,H141)</f>
        <v>0</v>
      </c>
      <c r="I133" s="64"/>
      <c r="J133" s="28">
        <f>SUM(J134,J137,J138,J139,J140,J141)</f>
        <v>0</v>
      </c>
      <c r="K133" s="28">
        <f>SUM(K134,K137,K138,K139,K140,K141)</f>
        <v>0</v>
      </c>
      <c r="L133" s="2316"/>
    </row>
    <row r="134" spans="1:12" ht="12.75" hidden="1" customHeight="1">
      <c r="A134" s="2338"/>
      <c r="B134" s="2340"/>
      <c r="C134" s="52" t="s">
        <v>19</v>
      </c>
      <c r="D134" s="65"/>
      <c r="E134" s="66"/>
      <c r="F134" s="66"/>
      <c r="G134" s="66" t="e">
        <f>SUM(G135,G136)</f>
        <v>#REF!</v>
      </c>
      <c r="H134" s="66"/>
      <c r="I134" s="67"/>
      <c r="J134" s="66"/>
      <c r="K134" s="66"/>
      <c r="L134" s="2316"/>
    </row>
    <row r="135" spans="1:12" ht="12.75" hidden="1" customHeight="1">
      <c r="A135" s="2338"/>
      <c r="B135" s="2340"/>
      <c r="C135" s="52" t="s">
        <v>20</v>
      </c>
      <c r="D135" s="65"/>
      <c r="E135" s="66"/>
      <c r="F135" s="66"/>
      <c r="G135" s="32"/>
      <c r="H135" s="32"/>
      <c r="I135" s="67"/>
      <c r="J135" s="32"/>
      <c r="K135" s="32"/>
      <c r="L135" s="2316"/>
    </row>
    <row r="136" spans="1:12" ht="12.75" hidden="1" customHeight="1">
      <c r="A136" s="2338"/>
      <c r="B136" s="2340"/>
      <c r="C136" s="68" t="s">
        <v>21</v>
      </c>
      <c r="D136" s="69"/>
      <c r="E136" s="70"/>
      <c r="F136" s="70"/>
      <c r="G136" s="70" t="e">
        <f>SUM(#REF!)</f>
        <v>#REF!</v>
      </c>
      <c r="H136" s="70"/>
      <c r="I136" s="67"/>
      <c r="J136" s="70"/>
      <c r="K136" s="70"/>
      <c r="L136" s="2316"/>
    </row>
    <row r="137" spans="1:12" ht="12.75" hidden="1" customHeight="1">
      <c r="A137" s="2338"/>
      <c r="B137" s="2340"/>
      <c r="C137" s="52" t="s">
        <v>23</v>
      </c>
      <c r="D137" s="71"/>
      <c r="E137" s="66"/>
      <c r="F137" s="66"/>
      <c r="G137" s="32"/>
      <c r="H137" s="32"/>
      <c r="I137" s="67"/>
      <c r="J137" s="32"/>
      <c r="K137" s="32"/>
      <c r="L137" s="2316"/>
    </row>
    <row r="138" spans="1:12" ht="12.75" hidden="1" customHeight="1">
      <c r="A138" s="2338"/>
      <c r="B138" s="2340"/>
      <c r="C138" s="52" t="s">
        <v>24</v>
      </c>
      <c r="D138" s="65"/>
      <c r="E138" s="66"/>
      <c r="F138" s="66"/>
      <c r="G138" s="32"/>
      <c r="H138" s="32"/>
      <c r="I138" s="67"/>
      <c r="J138" s="32"/>
      <c r="K138" s="32"/>
      <c r="L138" s="2316"/>
    </row>
    <row r="139" spans="1:12" ht="22.5" hidden="1">
      <c r="A139" s="2338"/>
      <c r="B139" s="2340"/>
      <c r="C139" s="41" t="s">
        <v>45</v>
      </c>
      <c r="D139" s="72"/>
      <c r="E139" s="70"/>
      <c r="F139" s="70"/>
      <c r="G139" s="32"/>
      <c r="H139" s="32"/>
      <c r="I139" s="67"/>
      <c r="J139" s="32"/>
      <c r="K139" s="32"/>
      <c r="L139" s="2316"/>
    </row>
    <row r="140" spans="1:12" ht="12.75" hidden="1" customHeight="1">
      <c r="A140" s="2338"/>
      <c r="B140" s="2340"/>
      <c r="C140" s="52" t="s">
        <v>26</v>
      </c>
      <c r="D140" s="65"/>
      <c r="E140" s="66"/>
      <c r="F140" s="66"/>
      <c r="G140" s="32"/>
      <c r="H140" s="32"/>
      <c r="I140" s="67"/>
      <c r="J140" s="32"/>
      <c r="K140" s="32"/>
      <c r="L140" s="2316"/>
    </row>
    <row r="141" spans="1:12" ht="12.75" hidden="1" customHeight="1">
      <c r="A141" s="2338"/>
      <c r="B141" s="2340"/>
      <c r="C141" s="52" t="s">
        <v>27</v>
      </c>
      <c r="D141" s="65"/>
      <c r="E141" s="66"/>
      <c r="F141" s="66"/>
      <c r="G141" s="32"/>
      <c r="H141" s="32"/>
      <c r="I141" s="67"/>
      <c r="J141" s="32"/>
      <c r="K141" s="32"/>
      <c r="L141" s="2316"/>
    </row>
    <row r="142" spans="1:12" ht="12.75" hidden="1" customHeight="1">
      <c r="A142" s="2338"/>
      <c r="B142" s="2340"/>
      <c r="C142" s="54" t="s">
        <v>28</v>
      </c>
      <c r="D142" s="73"/>
      <c r="E142" s="74">
        <f>SUM(E143,E145,E146)</f>
        <v>0</v>
      </c>
      <c r="F142" s="74">
        <f>SUM(F143,F145,F146)</f>
        <v>0</v>
      </c>
      <c r="G142" s="74">
        <f>SUM(G143,G145,G146)</f>
        <v>0</v>
      </c>
      <c r="H142" s="74">
        <f>SUM(H143,H145,H146)</f>
        <v>0</v>
      </c>
      <c r="I142" s="67"/>
      <c r="J142" s="74">
        <f>SUM(J143,J145,J146)</f>
        <v>0</v>
      </c>
      <c r="K142" s="74">
        <f>SUM(K143,K145,K146)</f>
        <v>0</v>
      </c>
      <c r="L142" s="2316"/>
    </row>
    <row r="143" spans="1:12" ht="12.75" hidden="1" customHeight="1">
      <c r="A143" s="2338"/>
      <c r="B143" s="2340"/>
      <c r="C143" s="52" t="s">
        <v>29</v>
      </c>
      <c r="D143" s="65">
        <v>6300</v>
      </c>
      <c r="E143" s="66"/>
      <c r="F143" s="66"/>
      <c r="G143" s="32"/>
      <c r="H143" s="32"/>
      <c r="I143" s="67"/>
      <c r="J143" s="32"/>
      <c r="K143" s="32"/>
      <c r="L143" s="2316"/>
    </row>
    <row r="144" spans="1:12" ht="22.5" hidden="1">
      <c r="A144" s="2338"/>
      <c r="B144" s="2340"/>
      <c r="C144" s="41" t="s">
        <v>46</v>
      </c>
      <c r="D144" s="72"/>
      <c r="E144" s="70"/>
      <c r="F144" s="70"/>
      <c r="G144" s="32"/>
      <c r="H144" s="32"/>
      <c r="I144" s="67"/>
      <c r="J144" s="32"/>
      <c r="K144" s="32"/>
      <c r="L144" s="2316"/>
    </row>
    <row r="145" spans="1:12" ht="12.75" hidden="1" customHeight="1">
      <c r="A145" s="2338"/>
      <c r="B145" s="2340"/>
      <c r="C145" s="52" t="s">
        <v>31</v>
      </c>
      <c r="D145" s="65"/>
      <c r="E145" s="66"/>
      <c r="F145" s="66"/>
      <c r="G145" s="32"/>
      <c r="H145" s="32"/>
      <c r="I145" s="67"/>
      <c r="J145" s="32"/>
      <c r="K145" s="32"/>
      <c r="L145" s="2316"/>
    </row>
    <row r="146" spans="1:12" ht="12.75" hidden="1" customHeight="1">
      <c r="A146" s="2338"/>
      <c r="B146" s="2340"/>
      <c r="C146" s="52" t="s">
        <v>32</v>
      </c>
      <c r="D146" s="65"/>
      <c r="E146" s="66"/>
      <c r="F146" s="66"/>
      <c r="G146" s="28"/>
      <c r="H146" s="28"/>
      <c r="I146" s="67"/>
      <c r="J146" s="28"/>
      <c r="K146" s="28"/>
      <c r="L146" s="2317"/>
    </row>
    <row r="147" spans="1:12" hidden="1">
      <c r="A147" s="2338"/>
      <c r="B147" s="2340" t="s">
        <v>121</v>
      </c>
      <c r="C147" s="60" t="s">
        <v>59</v>
      </c>
      <c r="D147" s="61"/>
      <c r="E147" s="23">
        <f>SUM(E148,E157)</f>
        <v>0</v>
      </c>
      <c r="F147" s="23">
        <f>SUM(F148,F157)</f>
        <v>0</v>
      </c>
      <c r="G147" s="23" t="e">
        <f>SUM(G148,G157)</f>
        <v>#REF!</v>
      </c>
      <c r="H147" s="23">
        <f>SUM(H148,H157)</f>
        <v>0</v>
      </c>
      <c r="I147" s="62"/>
      <c r="J147" s="23">
        <f>SUM(J148,J157)</f>
        <v>0</v>
      </c>
      <c r="K147" s="23">
        <f>SUM(K148,K157)</f>
        <v>0</v>
      </c>
      <c r="L147" s="2259" t="s">
        <v>133</v>
      </c>
    </row>
    <row r="148" spans="1:12" hidden="1">
      <c r="A148" s="2338"/>
      <c r="B148" s="2340"/>
      <c r="C148" s="26" t="s">
        <v>18</v>
      </c>
      <c r="D148" s="63"/>
      <c r="E148" s="28">
        <f>SUM(E149,E152,E153,E154,E155,E156)</f>
        <v>0</v>
      </c>
      <c r="F148" s="28">
        <f>SUM(F149,F152,F153,F154,F155,F156)</f>
        <v>0</v>
      </c>
      <c r="G148" s="28" t="e">
        <f>SUM(G149,G152,G153,G154,G155,G156)</f>
        <v>#REF!</v>
      </c>
      <c r="H148" s="28">
        <f>SUM(H149,H152,H153,H154,H155,H156)</f>
        <v>0</v>
      </c>
      <c r="I148" s="64"/>
      <c r="J148" s="28">
        <f>SUM(J149,J152,J153,J154,J155,J156)</f>
        <v>0</v>
      </c>
      <c r="K148" s="28">
        <f>SUM(K149,K152,K153,K154,K155,K156)</f>
        <v>0</v>
      </c>
      <c r="L148" s="2312"/>
    </row>
    <row r="149" spans="1:12" hidden="1">
      <c r="A149" s="2338"/>
      <c r="B149" s="2340"/>
      <c r="C149" s="52" t="s">
        <v>19</v>
      </c>
      <c r="D149" s="65"/>
      <c r="E149" s="66"/>
      <c r="F149" s="66"/>
      <c r="G149" s="66" t="e">
        <f>SUM(G150,G151)</f>
        <v>#REF!</v>
      </c>
      <c r="H149" s="66"/>
      <c r="I149" s="67"/>
      <c r="J149" s="66"/>
      <c r="K149" s="66"/>
      <c r="L149" s="2312"/>
    </row>
    <row r="150" spans="1:12" hidden="1">
      <c r="A150" s="2338"/>
      <c r="B150" s="2340"/>
      <c r="C150" s="52" t="s">
        <v>20</v>
      </c>
      <c r="D150" s="65"/>
      <c r="E150" s="66"/>
      <c r="F150" s="66"/>
      <c r="G150" s="32"/>
      <c r="H150" s="32"/>
      <c r="I150" s="67"/>
      <c r="J150" s="32"/>
      <c r="K150" s="32"/>
      <c r="L150" s="2312"/>
    </row>
    <row r="151" spans="1:12" ht="12.75" hidden="1" customHeight="1">
      <c r="A151" s="2338"/>
      <c r="B151" s="2340"/>
      <c r="C151" s="68" t="s">
        <v>21</v>
      </c>
      <c r="D151" s="69"/>
      <c r="E151" s="70"/>
      <c r="F151" s="70"/>
      <c r="G151" s="70" t="e">
        <f>SUM(#REF!)</f>
        <v>#REF!</v>
      </c>
      <c r="H151" s="70"/>
      <c r="I151" s="67"/>
      <c r="J151" s="70"/>
      <c r="K151" s="70"/>
      <c r="L151" s="2312"/>
    </row>
    <row r="152" spans="1:12" hidden="1">
      <c r="A152" s="2338"/>
      <c r="B152" s="2340"/>
      <c r="C152" s="52" t="s">
        <v>23</v>
      </c>
      <c r="D152" s="71"/>
      <c r="E152" s="66"/>
      <c r="F152" s="66"/>
      <c r="G152" s="32"/>
      <c r="H152" s="32"/>
      <c r="I152" s="67"/>
      <c r="J152" s="32"/>
      <c r="K152" s="32"/>
      <c r="L152" s="2312"/>
    </row>
    <row r="153" spans="1:12" hidden="1">
      <c r="A153" s="2338"/>
      <c r="B153" s="2340"/>
      <c r="C153" s="52" t="s">
        <v>24</v>
      </c>
      <c r="D153" s="65"/>
      <c r="E153" s="66"/>
      <c r="F153" s="66"/>
      <c r="G153" s="32"/>
      <c r="H153" s="32"/>
      <c r="I153" s="67"/>
      <c r="J153" s="32"/>
      <c r="K153" s="32"/>
      <c r="L153" s="2312"/>
    </row>
    <row r="154" spans="1:12" ht="22.5" hidden="1">
      <c r="A154" s="2338"/>
      <c r="B154" s="2340"/>
      <c r="C154" s="41" t="s">
        <v>45</v>
      </c>
      <c r="D154" s="72"/>
      <c r="E154" s="70"/>
      <c r="F154" s="70"/>
      <c r="G154" s="32"/>
      <c r="H154" s="32"/>
      <c r="I154" s="67"/>
      <c r="J154" s="32"/>
      <c r="K154" s="32"/>
      <c r="L154" s="2312"/>
    </row>
    <row r="155" spans="1:12" hidden="1">
      <c r="A155" s="2338"/>
      <c r="B155" s="2340"/>
      <c r="C155" s="52" t="s">
        <v>26</v>
      </c>
      <c r="D155" s="65"/>
      <c r="E155" s="66"/>
      <c r="F155" s="66"/>
      <c r="G155" s="32"/>
      <c r="H155" s="32"/>
      <c r="I155" s="67"/>
      <c r="J155" s="32"/>
      <c r="K155" s="32"/>
      <c r="L155" s="2312"/>
    </row>
    <row r="156" spans="1:12" hidden="1">
      <c r="A156" s="2338"/>
      <c r="B156" s="2340"/>
      <c r="C156" s="52" t="s">
        <v>27</v>
      </c>
      <c r="D156" s="65"/>
      <c r="E156" s="66"/>
      <c r="F156" s="66"/>
      <c r="G156" s="32"/>
      <c r="H156" s="32"/>
      <c r="I156" s="67"/>
      <c r="J156" s="32"/>
      <c r="K156" s="32"/>
      <c r="L156" s="2312"/>
    </row>
    <row r="157" spans="1:12" hidden="1">
      <c r="A157" s="2338"/>
      <c r="B157" s="2340"/>
      <c r="C157" s="54" t="s">
        <v>28</v>
      </c>
      <c r="D157" s="73"/>
      <c r="E157" s="74">
        <f>SUM(E158,E160,E161)</f>
        <v>0</v>
      </c>
      <c r="F157" s="74">
        <f>SUM(F158,F160,F161)</f>
        <v>0</v>
      </c>
      <c r="G157" s="74">
        <f>SUM(G158,G160,G161)</f>
        <v>0</v>
      </c>
      <c r="H157" s="74">
        <f>SUM(H158,H160,H161)</f>
        <v>0</v>
      </c>
      <c r="I157" s="67"/>
      <c r="J157" s="74">
        <f>SUM(J158,J160,J161)</f>
        <v>0</v>
      </c>
      <c r="K157" s="74">
        <f>SUM(K158,K160,K161)</f>
        <v>0</v>
      </c>
      <c r="L157" s="2312"/>
    </row>
    <row r="158" spans="1:12" hidden="1">
      <c r="A158" s="2338"/>
      <c r="B158" s="2340"/>
      <c r="C158" s="52" t="s">
        <v>29</v>
      </c>
      <c r="D158" s="71">
        <v>6300</v>
      </c>
      <c r="E158" s="66"/>
      <c r="F158" s="66"/>
      <c r="G158" s="32"/>
      <c r="H158" s="32"/>
      <c r="I158" s="67"/>
      <c r="J158" s="32"/>
      <c r="K158" s="32"/>
      <c r="L158" s="2312"/>
    </row>
    <row r="159" spans="1:12" ht="22.5" hidden="1">
      <c r="A159" s="2338"/>
      <c r="B159" s="2340"/>
      <c r="C159" s="41" t="s">
        <v>46</v>
      </c>
      <c r="D159" s="72"/>
      <c r="E159" s="70"/>
      <c r="F159" s="70"/>
      <c r="G159" s="32"/>
      <c r="H159" s="32"/>
      <c r="I159" s="67"/>
      <c r="J159" s="32"/>
      <c r="K159" s="32"/>
      <c r="L159" s="2312"/>
    </row>
    <row r="160" spans="1:12" hidden="1">
      <c r="A160" s="2338"/>
      <c r="B160" s="2340"/>
      <c r="C160" s="52" t="s">
        <v>31</v>
      </c>
      <c r="D160" s="65"/>
      <c r="E160" s="66"/>
      <c r="F160" s="66"/>
      <c r="G160" s="32"/>
      <c r="H160" s="32"/>
      <c r="I160" s="67"/>
      <c r="J160" s="32"/>
      <c r="K160" s="32"/>
      <c r="L160" s="2312"/>
    </row>
    <row r="161" spans="1:12" hidden="1">
      <c r="A161" s="2331"/>
      <c r="B161" s="2334"/>
      <c r="C161" s="53" t="s">
        <v>32</v>
      </c>
      <c r="D161" s="363"/>
      <c r="E161" s="91"/>
      <c r="F161" s="91"/>
      <c r="G161" s="44"/>
      <c r="H161" s="44"/>
      <c r="I161" s="92"/>
      <c r="J161" s="44"/>
      <c r="K161" s="44"/>
      <c r="L161" s="2321"/>
    </row>
    <row r="162" spans="1:12" s="95" customFormat="1">
      <c r="A162" s="364" t="s">
        <v>60</v>
      </c>
      <c r="B162" s="365"/>
      <c r="C162" s="366" t="s">
        <v>61</v>
      </c>
      <c r="D162" s="366"/>
      <c r="E162" s="367">
        <f>SUM(E163,E178)</f>
        <v>0</v>
      </c>
      <c r="F162" s="367">
        <f>SUM(F163,F178)</f>
        <v>248794</v>
      </c>
      <c r="G162" s="367">
        <f>SUM(G163,G178)</f>
        <v>0</v>
      </c>
      <c r="H162" s="367">
        <f>SUM(H163,H178)</f>
        <v>0</v>
      </c>
      <c r="I162" s="368"/>
      <c r="J162" s="369">
        <f>SUM(J163,J178)</f>
        <v>0</v>
      </c>
      <c r="K162" s="369">
        <f>SUM(K163,K178)</f>
        <v>0</v>
      </c>
      <c r="L162" s="370"/>
    </row>
    <row r="163" spans="1:12" ht="12.75" customHeight="1">
      <c r="A163" s="2338"/>
      <c r="B163" s="2340" t="s">
        <v>62</v>
      </c>
      <c r="C163" s="60" t="s">
        <v>63</v>
      </c>
      <c r="D163" s="61"/>
      <c r="E163" s="23">
        <f>SUM(E164,E173)</f>
        <v>0</v>
      </c>
      <c r="F163" s="23">
        <f>SUM(F164,F173)</f>
        <v>209794</v>
      </c>
      <c r="G163" s="23">
        <f>SUM(G164,G173)</f>
        <v>0</v>
      </c>
      <c r="H163" s="23">
        <f>SUM(H164,H173)</f>
        <v>0</v>
      </c>
      <c r="I163" s="62"/>
      <c r="J163" s="23">
        <f>SUM(J164,J173)</f>
        <v>0</v>
      </c>
      <c r="K163" s="23">
        <f>SUM(K164,K173)</f>
        <v>0</v>
      </c>
      <c r="L163" s="2315"/>
    </row>
    <row r="164" spans="1:12" ht="12.75" customHeight="1">
      <c r="A164" s="2338"/>
      <c r="B164" s="2340"/>
      <c r="C164" s="26" t="s">
        <v>18</v>
      </c>
      <c r="D164" s="63"/>
      <c r="E164" s="28">
        <f>SUM(E165,E168,E169,E170,E171,E172)</f>
        <v>0</v>
      </c>
      <c r="F164" s="28">
        <f>SUM(F165,F168,F169,F170,F171,F172)</f>
        <v>126000</v>
      </c>
      <c r="G164" s="28">
        <f>SUM(G165,G168,G169,G170,G171,G172)</f>
        <v>0</v>
      </c>
      <c r="H164" s="28">
        <f>SUM(H165,H168,H169,H170,H171,H172)</f>
        <v>0</v>
      </c>
      <c r="I164" s="64"/>
      <c r="J164" s="28">
        <f>SUM(J165,J168,J169,J170,J171,J172)</f>
        <v>0</v>
      </c>
      <c r="K164" s="28">
        <f>SUM(K165,K168,K169,K170,K171,K172)</f>
        <v>0</v>
      </c>
      <c r="L164" s="2316"/>
    </row>
    <row r="165" spans="1:12" ht="12.75" customHeight="1">
      <c r="A165" s="2338"/>
      <c r="B165" s="2340"/>
      <c r="C165" s="52" t="s">
        <v>19</v>
      </c>
      <c r="D165" s="65"/>
      <c r="E165" s="66"/>
      <c r="F165" s="66"/>
      <c r="G165" s="66"/>
      <c r="H165" s="66"/>
      <c r="I165" s="67"/>
      <c r="J165" s="66"/>
      <c r="K165" s="66"/>
      <c r="L165" s="2316"/>
    </row>
    <row r="166" spans="1:12" ht="12.75" customHeight="1">
      <c r="A166" s="2338"/>
      <c r="B166" s="2340"/>
      <c r="C166" s="52" t="s">
        <v>20</v>
      </c>
      <c r="D166" s="65"/>
      <c r="E166" s="66"/>
      <c r="F166" s="66"/>
      <c r="G166" s="32"/>
      <c r="H166" s="32"/>
      <c r="I166" s="67"/>
      <c r="J166" s="32"/>
      <c r="K166" s="32"/>
      <c r="L166" s="2316"/>
    </row>
    <row r="167" spans="1:12" ht="12.75" customHeight="1">
      <c r="A167" s="2338"/>
      <c r="B167" s="2340"/>
      <c r="C167" s="68" t="s">
        <v>21</v>
      </c>
      <c r="D167" s="69"/>
      <c r="E167" s="70"/>
      <c r="F167" s="70"/>
      <c r="G167" s="70" t="e">
        <f>SUM(#REF!)</f>
        <v>#REF!</v>
      </c>
      <c r="H167" s="70"/>
      <c r="I167" s="67"/>
      <c r="J167" s="70"/>
      <c r="K167" s="70"/>
      <c r="L167" s="2316"/>
    </row>
    <row r="168" spans="1:12" ht="12.75" customHeight="1">
      <c r="A168" s="2338"/>
      <c r="B168" s="2340"/>
      <c r="C168" s="52" t="s">
        <v>23</v>
      </c>
      <c r="D168" s="71">
        <v>2710</v>
      </c>
      <c r="E168" s="66"/>
      <c r="F168" s="66">
        <v>126000</v>
      </c>
      <c r="G168" s="32"/>
      <c r="H168" s="32"/>
      <c r="I168" s="67"/>
      <c r="J168" s="32"/>
      <c r="K168" s="32"/>
      <c r="L168" s="2316"/>
    </row>
    <row r="169" spans="1:12" ht="12.75" customHeight="1">
      <c r="A169" s="2338"/>
      <c r="B169" s="2340"/>
      <c r="C169" s="52" t="s">
        <v>24</v>
      </c>
      <c r="D169" s="65"/>
      <c r="E169" s="66"/>
      <c r="F169" s="66"/>
      <c r="G169" s="32"/>
      <c r="H169" s="32"/>
      <c r="I169" s="67"/>
      <c r="J169" s="32"/>
      <c r="K169" s="32"/>
      <c r="L169" s="2316"/>
    </row>
    <row r="170" spans="1:12" ht="22.5">
      <c r="A170" s="2338"/>
      <c r="B170" s="2340"/>
      <c r="C170" s="41" t="s">
        <v>45</v>
      </c>
      <c r="D170" s="72"/>
      <c r="E170" s="70"/>
      <c r="F170" s="70"/>
      <c r="G170" s="32"/>
      <c r="H170" s="32"/>
      <c r="I170" s="67"/>
      <c r="J170" s="32"/>
      <c r="K170" s="32"/>
      <c r="L170" s="2316"/>
    </row>
    <row r="171" spans="1:12" ht="12.75" customHeight="1">
      <c r="A171" s="2338"/>
      <c r="B171" s="2340"/>
      <c r="C171" s="52" t="s">
        <v>26</v>
      </c>
      <c r="D171" s="65"/>
      <c r="E171" s="66"/>
      <c r="F171" s="66"/>
      <c r="G171" s="32"/>
      <c r="H171" s="32"/>
      <c r="I171" s="67"/>
      <c r="J171" s="32"/>
      <c r="K171" s="32"/>
      <c r="L171" s="2316"/>
    </row>
    <row r="172" spans="1:12" ht="12.75" customHeight="1">
      <c r="A172" s="2338"/>
      <c r="B172" s="2340"/>
      <c r="C172" s="52" t="s">
        <v>27</v>
      </c>
      <c r="D172" s="65"/>
      <c r="E172" s="66"/>
      <c r="F172" s="66"/>
      <c r="G172" s="32"/>
      <c r="H172" s="32"/>
      <c r="I172" s="67"/>
      <c r="J172" s="32"/>
      <c r="K172" s="32"/>
      <c r="L172" s="2316"/>
    </row>
    <row r="173" spans="1:12" ht="12.75" customHeight="1">
      <c r="A173" s="2338"/>
      <c r="B173" s="2340"/>
      <c r="C173" s="54" t="s">
        <v>28</v>
      </c>
      <c r="D173" s="73"/>
      <c r="E173" s="74">
        <f>SUM(E174,E176,E177)</f>
        <v>0</v>
      </c>
      <c r="F173" s="74">
        <f>SUM(F174,F176,F177)</f>
        <v>83794</v>
      </c>
      <c r="G173" s="74">
        <f>SUM(G174,G176,G177)</f>
        <v>0</v>
      </c>
      <c r="H173" s="74">
        <f>SUM(H174,H176,H177)</f>
        <v>0</v>
      </c>
      <c r="I173" s="67"/>
      <c r="J173" s="74">
        <f>SUM(J174,J176,J177)</f>
        <v>0</v>
      </c>
      <c r="K173" s="74">
        <f>SUM(K174,K176,K177)</f>
        <v>0</v>
      </c>
      <c r="L173" s="2316"/>
    </row>
    <row r="174" spans="1:12" ht="12.75" customHeight="1">
      <c r="A174" s="2338"/>
      <c r="B174" s="2340"/>
      <c r="C174" s="52" t="s">
        <v>29</v>
      </c>
      <c r="D174" s="71">
        <v>6300</v>
      </c>
      <c r="E174" s="66"/>
      <c r="F174" s="66">
        <v>83794</v>
      </c>
      <c r="G174" s="32"/>
      <c r="H174" s="32"/>
      <c r="I174" s="67"/>
      <c r="J174" s="32"/>
      <c r="K174" s="32"/>
      <c r="L174" s="2316"/>
    </row>
    <row r="175" spans="1:12" ht="22.5">
      <c r="A175" s="2338"/>
      <c r="B175" s="2340"/>
      <c r="C175" s="41" t="s">
        <v>46</v>
      </c>
      <c r="D175" s="72"/>
      <c r="E175" s="70"/>
      <c r="F175" s="70"/>
      <c r="G175" s="32"/>
      <c r="H175" s="32"/>
      <c r="I175" s="67"/>
      <c r="J175" s="32"/>
      <c r="K175" s="32"/>
      <c r="L175" s="2316"/>
    </row>
    <row r="176" spans="1:12" ht="12.75" customHeight="1">
      <c r="A176" s="2338"/>
      <c r="B176" s="2340"/>
      <c r="C176" s="52" t="s">
        <v>31</v>
      </c>
      <c r="D176" s="65"/>
      <c r="E176" s="66"/>
      <c r="F176" s="66"/>
      <c r="G176" s="32"/>
      <c r="H176" s="32"/>
      <c r="I176" s="67"/>
      <c r="J176" s="32"/>
      <c r="K176" s="32"/>
      <c r="L176" s="2316"/>
    </row>
    <row r="177" spans="1:12" ht="12.75" customHeight="1">
      <c r="A177" s="2338"/>
      <c r="B177" s="2340"/>
      <c r="C177" s="52" t="s">
        <v>32</v>
      </c>
      <c r="D177" s="65"/>
      <c r="E177" s="66"/>
      <c r="F177" s="66"/>
      <c r="G177" s="28"/>
      <c r="H177" s="28"/>
      <c r="I177" s="67"/>
      <c r="J177" s="28"/>
      <c r="K177" s="28"/>
      <c r="L177" s="2317"/>
    </row>
    <row r="178" spans="1:12" ht="12.75" customHeight="1">
      <c r="A178" s="2338"/>
      <c r="B178" s="2340" t="s">
        <v>64</v>
      </c>
      <c r="C178" s="60" t="s">
        <v>17</v>
      </c>
      <c r="D178" s="61"/>
      <c r="E178" s="23">
        <f>SUM(E179,E188)</f>
        <v>0</v>
      </c>
      <c r="F178" s="23">
        <f>SUM(F179,F188)</f>
        <v>39000</v>
      </c>
      <c r="G178" s="23">
        <f>SUM(G179,G188)</f>
        <v>0</v>
      </c>
      <c r="H178" s="23">
        <f>SUM(H179,H188)</f>
        <v>0</v>
      </c>
      <c r="I178" s="62"/>
      <c r="J178" s="23">
        <f>SUM(J179,J188)</f>
        <v>0</v>
      </c>
      <c r="K178" s="23">
        <f>SUM(K179,K188)</f>
        <v>0</v>
      </c>
      <c r="L178" s="2315"/>
    </row>
    <row r="179" spans="1:12" ht="12.75" customHeight="1">
      <c r="A179" s="2338"/>
      <c r="B179" s="2340"/>
      <c r="C179" s="26" t="s">
        <v>18</v>
      </c>
      <c r="D179" s="63"/>
      <c r="E179" s="28">
        <f>SUM(E180,E183,E184,E185,E186,E187)</f>
        <v>0</v>
      </c>
      <c r="F179" s="28">
        <f>SUM(F180,F183,F184,F185,F186,F187)</f>
        <v>27000</v>
      </c>
      <c r="G179" s="28">
        <f>SUM(G180,G183,G184,G185,G186,G187)</f>
        <v>0</v>
      </c>
      <c r="H179" s="28">
        <f>SUM(H180,H183,H184,H185,H186,H187)</f>
        <v>0</v>
      </c>
      <c r="I179" s="64"/>
      <c r="J179" s="28">
        <f>SUM(J180,J183,J184,J185,J186,J187)</f>
        <v>0</v>
      </c>
      <c r="K179" s="28">
        <f>SUM(K180,K183,K184,K185,K186,K187)</f>
        <v>0</v>
      </c>
      <c r="L179" s="2316"/>
    </row>
    <row r="180" spans="1:12" ht="12.75" customHeight="1">
      <c r="A180" s="2338"/>
      <c r="B180" s="2340"/>
      <c r="C180" s="52" t="s">
        <v>19</v>
      </c>
      <c r="D180" s="65"/>
      <c r="E180" s="66"/>
      <c r="F180" s="66"/>
      <c r="G180" s="66"/>
      <c r="H180" s="66"/>
      <c r="I180" s="67"/>
      <c r="J180" s="66"/>
      <c r="K180" s="66"/>
      <c r="L180" s="2316"/>
    </row>
    <row r="181" spans="1:12" ht="12.75" customHeight="1">
      <c r="A181" s="2338"/>
      <c r="B181" s="2340"/>
      <c r="C181" s="52" t="s">
        <v>20</v>
      </c>
      <c r="D181" s="65"/>
      <c r="E181" s="66"/>
      <c r="F181" s="66"/>
      <c r="G181" s="32"/>
      <c r="H181" s="32"/>
      <c r="I181" s="67"/>
      <c r="J181" s="32"/>
      <c r="K181" s="32"/>
      <c r="L181" s="2316"/>
    </row>
    <row r="182" spans="1:12" ht="12.75" customHeight="1">
      <c r="A182" s="2338"/>
      <c r="B182" s="2340"/>
      <c r="C182" s="68" t="s">
        <v>21</v>
      </c>
      <c r="D182" s="69"/>
      <c r="E182" s="70"/>
      <c r="F182" s="70"/>
      <c r="G182" s="70" t="e">
        <f>SUM(#REF!)</f>
        <v>#REF!</v>
      </c>
      <c r="H182" s="70"/>
      <c r="I182" s="67"/>
      <c r="J182" s="70"/>
      <c r="K182" s="70"/>
      <c r="L182" s="2316"/>
    </row>
    <row r="183" spans="1:12" ht="12.75" customHeight="1">
      <c r="A183" s="2338"/>
      <c r="B183" s="2340"/>
      <c r="C183" s="52" t="s">
        <v>23</v>
      </c>
      <c r="D183" s="71">
        <v>2710</v>
      </c>
      <c r="E183" s="66"/>
      <c r="F183" s="66">
        <v>27000</v>
      </c>
      <c r="G183" s="32"/>
      <c r="H183" s="32"/>
      <c r="I183" s="67"/>
      <c r="J183" s="32"/>
      <c r="K183" s="32"/>
      <c r="L183" s="2316"/>
    </row>
    <row r="184" spans="1:12" ht="12.75" customHeight="1">
      <c r="A184" s="2338"/>
      <c r="B184" s="2340"/>
      <c r="C184" s="52" t="s">
        <v>24</v>
      </c>
      <c r="D184" s="65"/>
      <c r="E184" s="66"/>
      <c r="F184" s="66"/>
      <c r="G184" s="32"/>
      <c r="H184" s="32"/>
      <c r="I184" s="67"/>
      <c r="J184" s="32"/>
      <c r="K184" s="32"/>
      <c r="L184" s="2316"/>
    </row>
    <row r="185" spans="1:12" ht="22.5">
      <c r="A185" s="2338"/>
      <c r="B185" s="2340"/>
      <c r="C185" s="41" t="s">
        <v>45</v>
      </c>
      <c r="D185" s="72"/>
      <c r="E185" s="70"/>
      <c r="F185" s="70"/>
      <c r="G185" s="32"/>
      <c r="H185" s="32"/>
      <c r="I185" s="67"/>
      <c r="J185" s="32"/>
      <c r="K185" s="32"/>
      <c r="L185" s="2316"/>
    </row>
    <row r="186" spans="1:12" ht="12.75" customHeight="1">
      <c r="A186" s="2338"/>
      <c r="B186" s="2340"/>
      <c r="C186" s="52" t="s">
        <v>26</v>
      </c>
      <c r="D186" s="65"/>
      <c r="E186" s="66"/>
      <c r="F186" s="66"/>
      <c r="G186" s="32"/>
      <c r="H186" s="32"/>
      <c r="I186" s="67"/>
      <c r="J186" s="32"/>
      <c r="K186" s="32"/>
      <c r="L186" s="2316"/>
    </row>
    <row r="187" spans="1:12" ht="12.75" customHeight="1">
      <c r="A187" s="2338"/>
      <c r="B187" s="2340"/>
      <c r="C187" s="52" t="s">
        <v>27</v>
      </c>
      <c r="D187" s="65"/>
      <c r="E187" s="66"/>
      <c r="F187" s="66"/>
      <c r="G187" s="32"/>
      <c r="H187" s="32"/>
      <c r="I187" s="67"/>
      <c r="J187" s="32"/>
      <c r="K187" s="32"/>
      <c r="L187" s="2316"/>
    </row>
    <row r="188" spans="1:12" ht="12.75" customHeight="1">
      <c r="A188" s="2338"/>
      <c r="B188" s="2340"/>
      <c r="C188" s="54" t="s">
        <v>28</v>
      </c>
      <c r="D188" s="73"/>
      <c r="E188" s="74">
        <f>SUM(E189,E191,E192)</f>
        <v>0</v>
      </c>
      <c r="F188" s="74">
        <f>SUM(F189,F191,F192)</f>
        <v>12000</v>
      </c>
      <c r="G188" s="74">
        <f>SUM(G189,G191,G192)</f>
        <v>0</v>
      </c>
      <c r="H188" s="74">
        <f>SUM(H189,H191,H192)</f>
        <v>0</v>
      </c>
      <c r="I188" s="67"/>
      <c r="J188" s="74">
        <f>SUM(J189,J191,J192)</f>
        <v>0</v>
      </c>
      <c r="K188" s="74">
        <f>SUM(K189,K191,K192)</f>
        <v>0</v>
      </c>
      <c r="L188" s="2316"/>
    </row>
    <row r="189" spans="1:12" ht="12.75" customHeight="1">
      <c r="A189" s="2338"/>
      <c r="B189" s="2340"/>
      <c r="C189" s="52" t="s">
        <v>29</v>
      </c>
      <c r="D189" s="71">
        <v>6300</v>
      </c>
      <c r="E189" s="66"/>
      <c r="F189" s="66">
        <v>12000</v>
      </c>
      <c r="G189" s="32"/>
      <c r="H189" s="32"/>
      <c r="I189" s="249"/>
      <c r="J189" s="32"/>
      <c r="K189" s="32"/>
      <c r="L189" s="2316"/>
    </row>
    <row r="190" spans="1:12" ht="22.5">
      <c r="A190" s="2338"/>
      <c r="B190" s="2340"/>
      <c r="C190" s="41" t="s">
        <v>46</v>
      </c>
      <c r="D190" s="72"/>
      <c r="E190" s="70"/>
      <c r="F190" s="70"/>
      <c r="G190" s="32"/>
      <c r="H190" s="32"/>
      <c r="I190" s="67"/>
      <c r="J190" s="32"/>
      <c r="K190" s="32"/>
      <c r="L190" s="2316"/>
    </row>
    <row r="191" spans="1:12" ht="12.75" customHeight="1">
      <c r="A191" s="2338"/>
      <c r="B191" s="2340"/>
      <c r="C191" s="52" t="s">
        <v>31</v>
      </c>
      <c r="D191" s="65"/>
      <c r="E191" s="66"/>
      <c r="F191" s="66"/>
      <c r="G191" s="32"/>
      <c r="H191" s="32"/>
      <c r="I191" s="67"/>
      <c r="J191" s="32"/>
      <c r="K191" s="32"/>
      <c r="L191" s="2316"/>
    </row>
    <row r="192" spans="1:12" ht="12.75" customHeight="1">
      <c r="A192" s="2338"/>
      <c r="B192" s="2340"/>
      <c r="C192" s="52" t="s">
        <v>32</v>
      </c>
      <c r="D192" s="65"/>
      <c r="E192" s="66"/>
      <c r="F192" s="66"/>
      <c r="G192" s="28"/>
      <c r="H192" s="28"/>
      <c r="I192" s="67"/>
      <c r="J192" s="28"/>
      <c r="K192" s="28"/>
      <c r="L192" s="2317"/>
    </row>
    <row r="193" spans="1:12" s="95" customFormat="1">
      <c r="A193" s="14" t="s">
        <v>65</v>
      </c>
      <c r="B193" s="84"/>
      <c r="C193" s="85" t="s">
        <v>66</v>
      </c>
      <c r="D193" s="85"/>
      <c r="E193" s="86">
        <f>SUM(E194)</f>
        <v>0</v>
      </c>
      <c r="F193" s="86">
        <f>SUM(F194)</f>
        <v>12000</v>
      </c>
      <c r="G193" s="86">
        <f>SUM(G194)</f>
        <v>0</v>
      </c>
      <c r="H193" s="86">
        <f>SUM(H194)</f>
        <v>0</v>
      </c>
      <c r="I193" s="93"/>
      <c r="J193" s="94">
        <f>SUM(J194)</f>
        <v>0</v>
      </c>
      <c r="K193" s="94">
        <f>SUM(K194)</f>
        <v>0</v>
      </c>
      <c r="L193" s="215"/>
    </row>
    <row r="194" spans="1:12">
      <c r="A194" s="2338"/>
      <c r="B194" s="2340" t="s">
        <v>129</v>
      </c>
      <c r="C194" s="60" t="s">
        <v>130</v>
      </c>
      <c r="D194" s="61"/>
      <c r="E194" s="23">
        <f>SUM(E195,E204)</f>
        <v>0</v>
      </c>
      <c r="F194" s="23">
        <f>SUM(F195,F204)</f>
        <v>12000</v>
      </c>
      <c r="G194" s="23">
        <f>SUM(G195,G204)</f>
        <v>0</v>
      </c>
      <c r="H194" s="23">
        <f>SUM(H195,H204)</f>
        <v>0</v>
      </c>
      <c r="I194" s="62"/>
      <c r="J194" s="23">
        <f>SUM(J195,J204)</f>
        <v>0</v>
      </c>
      <c r="K194" s="23">
        <f>SUM(K195,K204)</f>
        <v>0</v>
      </c>
      <c r="L194" s="2315"/>
    </row>
    <row r="195" spans="1:12">
      <c r="A195" s="2338"/>
      <c r="B195" s="2340"/>
      <c r="C195" s="26" t="s">
        <v>18</v>
      </c>
      <c r="D195" s="63"/>
      <c r="E195" s="28">
        <f>SUM(E196,E199,E200,E201,E202,E203)</f>
        <v>0</v>
      </c>
      <c r="F195" s="28">
        <f>SUM(F196,F199,F200,F201,F202,F203)</f>
        <v>12000</v>
      </c>
      <c r="G195" s="28">
        <f>SUM(G196,G199,G200,G201,G202,G203)</f>
        <v>0</v>
      </c>
      <c r="H195" s="28">
        <f>SUM(H196,H199,H200,H201,H202,H203)</f>
        <v>0</v>
      </c>
      <c r="I195" s="64"/>
      <c r="J195" s="28">
        <f>SUM(J196,J199,J200,J201,J202,J203)</f>
        <v>0</v>
      </c>
      <c r="K195" s="28">
        <f>SUM(K196,K199,K200,K201,K202,K203)</f>
        <v>0</v>
      </c>
      <c r="L195" s="2316"/>
    </row>
    <row r="196" spans="1:12">
      <c r="A196" s="2338"/>
      <c r="B196" s="2340"/>
      <c r="C196" s="52" t="s">
        <v>19</v>
      </c>
      <c r="D196" s="65"/>
      <c r="E196" s="66"/>
      <c r="F196" s="66"/>
      <c r="G196" s="66"/>
      <c r="H196" s="66"/>
      <c r="I196" s="67"/>
      <c r="J196" s="66"/>
      <c r="K196" s="66"/>
      <c r="L196" s="2316"/>
    </row>
    <row r="197" spans="1:12">
      <c r="A197" s="2338"/>
      <c r="B197" s="2340"/>
      <c r="C197" s="52" t="s">
        <v>20</v>
      </c>
      <c r="D197" s="65"/>
      <c r="E197" s="66"/>
      <c r="F197" s="66"/>
      <c r="G197" s="32"/>
      <c r="H197" s="32"/>
      <c r="I197" s="67"/>
      <c r="J197" s="32"/>
      <c r="K197" s="32"/>
      <c r="L197" s="2316"/>
    </row>
    <row r="198" spans="1:12">
      <c r="A198" s="2338"/>
      <c r="B198" s="2340"/>
      <c r="C198" s="68" t="s">
        <v>21</v>
      </c>
      <c r="D198" s="69"/>
      <c r="E198" s="70"/>
      <c r="F198" s="70"/>
      <c r="G198" s="70" t="e">
        <f>SUM(#REF!)</f>
        <v>#REF!</v>
      </c>
      <c r="H198" s="70"/>
      <c r="I198" s="67"/>
      <c r="J198" s="70"/>
      <c r="K198" s="70"/>
      <c r="L198" s="2316"/>
    </row>
    <row r="199" spans="1:12">
      <c r="A199" s="2338"/>
      <c r="B199" s="2340"/>
      <c r="C199" s="52" t="s">
        <v>23</v>
      </c>
      <c r="D199" s="71">
        <v>2710</v>
      </c>
      <c r="E199" s="66"/>
      <c r="F199" s="66">
        <v>12000</v>
      </c>
      <c r="G199" s="32"/>
      <c r="H199" s="32"/>
      <c r="I199" s="67"/>
      <c r="J199" s="32"/>
      <c r="K199" s="32"/>
      <c r="L199" s="2316"/>
    </row>
    <row r="200" spans="1:12">
      <c r="A200" s="2338"/>
      <c r="B200" s="2340"/>
      <c r="C200" s="52" t="s">
        <v>24</v>
      </c>
      <c r="D200" s="65"/>
      <c r="E200" s="66"/>
      <c r="F200" s="66"/>
      <c r="G200" s="32"/>
      <c r="H200" s="32"/>
      <c r="I200" s="67"/>
      <c r="J200" s="32"/>
      <c r="K200" s="32"/>
      <c r="L200" s="2316"/>
    </row>
    <row r="201" spans="1:12" ht="22.5">
      <c r="A201" s="2338"/>
      <c r="B201" s="2340"/>
      <c r="C201" s="41" t="s">
        <v>45</v>
      </c>
      <c r="D201" s="72"/>
      <c r="E201" s="70"/>
      <c r="F201" s="70"/>
      <c r="G201" s="32"/>
      <c r="H201" s="32"/>
      <c r="I201" s="67"/>
      <c r="J201" s="32"/>
      <c r="K201" s="32"/>
      <c r="L201" s="2316"/>
    </row>
    <row r="202" spans="1:12">
      <c r="A202" s="2338"/>
      <c r="B202" s="2340"/>
      <c r="C202" s="52" t="s">
        <v>26</v>
      </c>
      <c r="D202" s="65"/>
      <c r="E202" s="66"/>
      <c r="F202" s="66"/>
      <c r="G202" s="32"/>
      <c r="H202" s="32"/>
      <c r="I202" s="67"/>
      <c r="J202" s="32"/>
      <c r="K202" s="32"/>
      <c r="L202" s="2316"/>
    </row>
    <row r="203" spans="1:12">
      <c r="A203" s="2338"/>
      <c r="B203" s="2340"/>
      <c r="C203" s="52" t="s">
        <v>27</v>
      </c>
      <c r="D203" s="65"/>
      <c r="E203" s="66"/>
      <c r="F203" s="66"/>
      <c r="G203" s="32"/>
      <c r="H203" s="32"/>
      <c r="I203" s="67"/>
      <c r="J203" s="32"/>
      <c r="K203" s="32"/>
      <c r="L203" s="2316"/>
    </row>
    <row r="204" spans="1:12">
      <c r="A204" s="2338"/>
      <c r="B204" s="2340"/>
      <c r="C204" s="54" t="s">
        <v>28</v>
      </c>
      <c r="D204" s="73"/>
      <c r="E204" s="74">
        <f>SUM(E205,E207,E208)</f>
        <v>0</v>
      </c>
      <c r="F204" s="74">
        <f>SUM(F205,F207,F208)</f>
        <v>0</v>
      </c>
      <c r="G204" s="74">
        <f>SUM(G205,G207,G208)</f>
        <v>0</v>
      </c>
      <c r="H204" s="74">
        <f>SUM(H205,H207,H208)</f>
        <v>0</v>
      </c>
      <c r="I204" s="67"/>
      <c r="J204" s="74">
        <f>SUM(J205,J207,J208)</f>
        <v>0</v>
      </c>
      <c r="K204" s="74">
        <f>SUM(K205,K207,K208)</f>
        <v>0</v>
      </c>
      <c r="L204" s="2316"/>
    </row>
    <row r="205" spans="1:12">
      <c r="A205" s="2338"/>
      <c r="B205" s="2340"/>
      <c r="C205" s="52" t="s">
        <v>29</v>
      </c>
      <c r="D205" s="217"/>
      <c r="E205" s="66"/>
      <c r="F205" s="66"/>
      <c r="G205" s="32"/>
      <c r="H205" s="32"/>
      <c r="I205" s="67"/>
      <c r="J205" s="32"/>
      <c r="K205" s="32"/>
      <c r="L205" s="2316"/>
    </row>
    <row r="206" spans="1:12" ht="22.5">
      <c r="A206" s="2338"/>
      <c r="B206" s="2340"/>
      <c r="C206" s="41" t="s">
        <v>46</v>
      </c>
      <c r="D206" s="72"/>
      <c r="E206" s="70"/>
      <c r="F206" s="70"/>
      <c r="G206" s="32"/>
      <c r="H206" s="32"/>
      <c r="I206" s="67"/>
      <c r="J206" s="32"/>
      <c r="K206" s="32"/>
      <c r="L206" s="2316"/>
    </row>
    <row r="207" spans="1:12">
      <c r="A207" s="2338"/>
      <c r="B207" s="2340"/>
      <c r="C207" s="52" t="s">
        <v>31</v>
      </c>
      <c r="D207" s="65"/>
      <c r="E207" s="66"/>
      <c r="F207" s="66"/>
      <c r="G207" s="32"/>
      <c r="H207" s="32"/>
      <c r="I207" s="67"/>
      <c r="J207" s="32"/>
      <c r="K207" s="32"/>
      <c r="L207" s="2316"/>
    </row>
    <row r="208" spans="1:12">
      <c r="A208" s="2338"/>
      <c r="B208" s="2340"/>
      <c r="C208" s="52" t="s">
        <v>32</v>
      </c>
      <c r="D208" s="65"/>
      <c r="E208" s="66"/>
      <c r="F208" s="66"/>
      <c r="G208" s="28"/>
      <c r="H208" s="28"/>
      <c r="I208" s="67"/>
      <c r="J208" s="28"/>
      <c r="K208" s="28"/>
      <c r="L208" s="2317"/>
    </row>
    <row r="209" spans="1:12" s="95" customFormat="1">
      <c r="A209" s="14" t="s">
        <v>14</v>
      </c>
      <c r="B209" s="84"/>
      <c r="C209" s="85" t="s">
        <v>15</v>
      </c>
      <c r="D209" s="85"/>
      <c r="E209" s="86">
        <f>SUM(E225)</f>
        <v>0</v>
      </c>
      <c r="F209" s="86">
        <f>SUM(F225,F210)</f>
        <v>47225</v>
      </c>
      <c r="G209" s="86">
        <f t="shared" ref="G209:H209" si="9">SUM(G225,G210)</f>
        <v>0</v>
      </c>
      <c r="H209" s="86">
        <f t="shared" si="9"/>
        <v>0</v>
      </c>
      <c r="I209" s="93"/>
      <c r="J209" s="94">
        <f>SUM(J225)</f>
        <v>0</v>
      </c>
      <c r="K209" s="94">
        <f>SUM(K225)</f>
        <v>0</v>
      </c>
      <c r="L209" s="215"/>
    </row>
    <row r="210" spans="1:12">
      <c r="A210" s="2338"/>
      <c r="B210" s="2340" t="s">
        <v>67</v>
      </c>
      <c r="C210" s="60" t="s">
        <v>68</v>
      </c>
      <c r="D210" s="61"/>
      <c r="E210" s="23">
        <f>SUM(E211,E220)</f>
        <v>0</v>
      </c>
      <c r="F210" s="23">
        <f>SUM(F211,F220)</f>
        <v>23600</v>
      </c>
      <c r="G210" s="23">
        <f>SUM(G211,G220)</f>
        <v>0</v>
      </c>
      <c r="H210" s="23">
        <f>SUM(H211,H220)</f>
        <v>0</v>
      </c>
      <c r="I210" s="62"/>
      <c r="J210" s="23">
        <f>SUM(J211,J220)</f>
        <v>0</v>
      </c>
      <c r="K210" s="23">
        <f>SUM(K211,K220)</f>
        <v>0</v>
      </c>
      <c r="L210" s="2315"/>
    </row>
    <row r="211" spans="1:12">
      <c r="A211" s="2338"/>
      <c r="B211" s="2340"/>
      <c r="C211" s="26" t="s">
        <v>18</v>
      </c>
      <c r="D211" s="63"/>
      <c r="E211" s="28">
        <f>SUM(E212,E215,E216,E217,E218,E219)</f>
        <v>0</v>
      </c>
      <c r="F211" s="28">
        <f>SUM(F212,F215,F216,F217,F218,F219)</f>
        <v>23600</v>
      </c>
      <c r="G211" s="28">
        <f>SUM(G212,G215,G216,G217,G218,G219)</f>
        <v>0</v>
      </c>
      <c r="H211" s="28">
        <f>SUM(H212,H215,H216,H217,H218,H219)</f>
        <v>0</v>
      </c>
      <c r="I211" s="64"/>
      <c r="J211" s="28">
        <f>SUM(J212,J215,J216,J217,J218,J219)</f>
        <v>0</v>
      </c>
      <c r="K211" s="28">
        <f>SUM(K212,K215,K216,K217,K218,K219)</f>
        <v>0</v>
      </c>
      <c r="L211" s="2316"/>
    </row>
    <row r="212" spans="1:12">
      <c r="A212" s="2338"/>
      <c r="B212" s="2340"/>
      <c r="C212" s="52" t="s">
        <v>19</v>
      </c>
      <c r="D212" s="65"/>
      <c r="E212" s="66"/>
      <c r="F212" s="66"/>
      <c r="G212" s="66"/>
      <c r="H212" s="66"/>
      <c r="I212" s="67"/>
      <c r="J212" s="66"/>
      <c r="K212" s="66"/>
      <c r="L212" s="2316"/>
    </row>
    <row r="213" spans="1:12">
      <c r="A213" s="2338"/>
      <c r="B213" s="2340"/>
      <c r="C213" s="52" t="s">
        <v>20</v>
      </c>
      <c r="D213" s="65"/>
      <c r="E213" s="66"/>
      <c r="F213" s="66"/>
      <c r="G213" s="32"/>
      <c r="H213" s="32"/>
      <c r="I213" s="67"/>
      <c r="J213" s="32"/>
      <c r="K213" s="32"/>
      <c r="L213" s="2316"/>
    </row>
    <row r="214" spans="1:12" ht="12.75" customHeight="1">
      <c r="A214" s="2338"/>
      <c r="B214" s="2340"/>
      <c r="C214" s="68" t="s">
        <v>21</v>
      </c>
      <c r="D214" s="69"/>
      <c r="E214" s="70"/>
      <c r="F214" s="70"/>
      <c r="G214" s="70" t="e">
        <f>SUM(#REF!)</f>
        <v>#REF!</v>
      </c>
      <c r="H214" s="70"/>
      <c r="I214" s="67"/>
      <c r="J214" s="70"/>
      <c r="K214" s="70"/>
      <c r="L214" s="2316"/>
    </row>
    <row r="215" spans="1:12">
      <c r="A215" s="2338"/>
      <c r="B215" s="2340"/>
      <c r="C215" s="52" t="s">
        <v>23</v>
      </c>
      <c r="D215" s="71">
        <v>2710</v>
      </c>
      <c r="E215" s="66"/>
      <c r="F215" s="66">
        <v>23600</v>
      </c>
      <c r="G215" s="32"/>
      <c r="H215" s="32"/>
      <c r="I215" s="67"/>
      <c r="J215" s="32"/>
      <c r="K215" s="32"/>
      <c r="L215" s="2316"/>
    </row>
    <row r="216" spans="1:12">
      <c r="A216" s="2338"/>
      <c r="B216" s="2340"/>
      <c r="C216" s="52" t="s">
        <v>24</v>
      </c>
      <c r="D216" s="65"/>
      <c r="E216" s="66"/>
      <c r="F216" s="66"/>
      <c r="G216" s="32"/>
      <c r="H216" s="32"/>
      <c r="I216" s="67"/>
      <c r="J216" s="32"/>
      <c r="K216" s="32"/>
      <c r="L216" s="2316"/>
    </row>
    <row r="217" spans="1:12" ht="22.5">
      <c r="A217" s="2338"/>
      <c r="B217" s="2340"/>
      <c r="C217" s="41" t="s">
        <v>45</v>
      </c>
      <c r="D217" s="72"/>
      <c r="E217" s="70"/>
      <c r="F217" s="70"/>
      <c r="G217" s="32"/>
      <c r="H217" s="32"/>
      <c r="I217" s="67"/>
      <c r="J217" s="32"/>
      <c r="K217" s="32"/>
      <c r="L217" s="2316"/>
    </row>
    <row r="218" spans="1:12">
      <c r="A218" s="2338"/>
      <c r="B218" s="2340"/>
      <c r="C218" s="52" t="s">
        <v>26</v>
      </c>
      <c r="D218" s="65"/>
      <c r="E218" s="66"/>
      <c r="F218" s="66"/>
      <c r="G218" s="32"/>
      <c r="H218" s="32"/>
      <c r="I218" s="67"/>
      <c r="J218" s="32"/>
      <c r="K218" s="32"/>
      <c r="L218" s="2316"/>
    </row>
    <row r="219" spans="1:12">
      <c r="A219" s="2338"/>
      <c r="B219" s="2340"/>
      <c r="C219" s="52" t="s">
        <v>27</v>
      </c>
      <c r="D219" s="65"/>
      <c r="E219" s="66"/>
      <c r="F219" s="66"/>
      <c r="G219" s="32"/>
      <c r="H219" s="32"/>
      <c r="I219" s="67"/>
      <c r="J219" s="32"/>
      <c r="K219" s="32"/>
      <c r="L219" s="2316"/>
    </row>
    <row r="220" spans="1:12">
      <c r="A220" s="2338"/>
      <c r="B220" s="2340"/>
      <c r="C220" s="54" t="s">
        <v>28</v>
      </c>
      <c r="D220" s="73"/>
      <c r="E220" s="74">
        <f>SUM(E221,E223,E224)</f>
        <v>0</v>
      </c>
      <c r="F220" s="74">
        <f>SUM(F221,F223,F224)</f>
        <v>0</v>
      </c>
      <c r="G220" s="74">
        <f>SUM(G221,G223,G224)</f>
        <v>0</v>
      </c>
      <c r="H220" s="74">
        <f>SUM(H221,H223,H224)</f>
        <v>0</v>
      </c>
      <c r="I220" s="67"/>
      <c r="J220" s="74">
        <f>SUM(J221,J223,J224)</f>
        <v>0</v>
      </c>
      <c r="K220" s="74">
        <f>SUM(K221,K223,K224)</f>
        <v>0</v>
      </c>
      <c r="L220" s="2316"/>
    </row>
    <row r="221" spans="1:12">
      <c r="A221" s="2338"/>
      <c r="B221" s="2340"/>
      <c r="C221" s="52" t="s">
        <v>29</v>
      </c>
      <c r="D221" s="217"/>
      <c r="E221" s="66"/>
      <c r="F221" s="66"/>
      <c r="G221" s="32"/>
      <c r="H221" s="32"/>
      <c r="I221" s="67"/>
      <c r="J221" s="32"/>
      <c r="K221" s="32"/>
      <c r="L221" s="2316"/>
    </row>
    <row r="222" spans="1:12" ht="22.5">
      <c r="A222" s="2338"/>
      <c r="B222" s="2340"/>
      <c r="C222" s="41" t="s">
        <v>46</v>
      </c>
      <c r="D222" s="72"/>
      <c r="E222" s="70"/>
      <c r="F222" s="70"/>
      <c r="G222" s="32"/>
      <c r="H222" s="32"/>
      <c r="I222" s="67"/>
      <c r="J222" s="32"/>
      <c r="K222" s="32"/>
      <c r="L222" s="2316"/>
    </row>
    <row r="223" spans="1:12">
      <c r="A223" s="2338"/>
      <c r="B223" s="2340"/>
      <c r="C223" s="52" t="s">
        <v>31</v>
      </c>
      <c r="D223" s="65"/>
      <c r="E223" s="66"/>
      <c r="F223" s="66"/>
      <c r="G223" s="32"/>
      <c r="H223" s="32"/>
      <c r="I223" s="67"/>
      <c r="J223" s="32"/>
      <c r="K223" s="32"/>
      <c r="L223" s="2316"/>
    </row>
    <row r="224" spans="1:12" ht="12" customHeight="1">
      <c r="A224" s="2338"/>
      <c r="B224" s="2340"/>
      <c r="C224" s="52" t="s">
        <v>32</v>
      </c>
      <c r="D224" s="65"/>
      <c r="E224" s="66"/>
      <c r="F224" s="66"/>
      <c r="G224" s="28"/>
      <c r="H224" s="28"/>
      <c r="I224" s="67"/>
      <c r="J224" s="28"/>
      <c r="K224" s="28"/>
      <c r="L224" s="2317"/>
    </row>
    <row r="225" spans="1:12">
      <c r="A225" s="2338"/>
      <c r="B225" s="2340" t="s">
        <v>16</v>
      </c>
      <c r="C225" s="60" t="s">
        <v>17</v>
      </c>
      <c r="D225" s="61"/>
      <c r="E225" s="23">
        <f>SUM(E226,E235)</f>
        <v>0</v>
      </c>
      <c r="F225" s="23">
        <f>SUM(F226,F235)</f>
        <v>23625</v>
      </c>
      <c r="G225" s="23">
        <f>SUM(G226,G235)</f>
        <v>0</v>
      </c>
      <c r="H225" s="23">
        <f>SUM(H226,H235)</f>
        <v>0</v>
      </c>
      <c r="I225" s="62"/>
      <c r="J225" s="23">
        <f>SUM(J226,J235)</f>
        <v>0</v>
      </c>
      <c r="K225" s="23">
        <f>SUM(K226,K235)</f>
        <v>0</v>
      </c>
      <c r="L225" s="2315"/>
    </row>
    <row r="226" spans="1:12">
      <c r="A226" s="2338"/>
      <c r="B226" s="2340"/>
      <c r="C226" s="26" t="s">
        <v>18</v>
      </c>
      <c r="D226" s="63"/>
      <c r="E226" s="28">
        <f>SUM(E227,E230,E231,E232,E233,E234)</f>
        <v>0</v>
      </c>
      <c r="F226" s="28">
        <f>SUM(F227,F230,F231,F232,F233,F234)</f>
        <v>23625</v>
      </c>
      <c r="G226" s="28">
        <f>SUM(G227,G230,G231,G232,G233,G234)</f>
        <v>0</v>
      </c>
      <c r="H226" s="28">
        <f>SUM(H227,H230,H231,H232,H233,H234)</f>
        <v>0</v>
      </c>
      <c r="I226" s="64"/>
      <c r="J226" s="28">
        <f>SUM(J227,J230,J231,J232,J233,J234)</f>
        <v>0</v>
      </c>
      <c r="K226" s="28">
        <f>SUM(K227,K230,K231,K232,K233,K234)</f>
        <v>0</v>
      </c>
      <c r="L226" s="2316"/>
    </row>
    <row r="227" spans="1:12">
      <c r="A227" s="2338"/>
      <c r="B227" s="2340"/>
      <c r="C227" s="52" t="s">
        <v>19</v>
      </c>
      <c r="D227" s="65"/>
      <c r="E227" s="66"/>
      <c r="F227" s="66"/>
      <c r="G227" s="66"/>
      <c r="H227" s="66"/>
      <c r="I227" s="67"/>
      <c r="J227" s="66"/>
      <c r="K227" s="66"/>
      <c r="L227" s="2316"/>
    </row>
    <row r="228" spans="1:12">
      <c r="A228" s="2338"/>
      <c r="B228" s="2340"/>
      <c r="C228" s="52" t="s">
        <v>20</v>
      </c>
      <c r="D228" s="65"/>
      <c r="E228" s="66"/>
      <c r="F228" s="66"/>
      <c r="G228" s="32"/>
      <c r="H228" s="32"/>
      <c r="I228" s="67"/>
      <c r="J228" s="32"/>
      <c r="K228" s="32"/>
      <c r="L228" s="2316"/>
    </row>
    <row r="229" spans="1:12">
      <c r="A229" s="2338"/>
      <c r="B229" s="2340"/>
      <c r="C229" s="68" t="s">
        <v>21</v>
      </c>
      <c r="D229" s="69"/>
      <c r="E229" s="70"/>
      <c r="F229" s="70"/>
      <c r="G229" s="70" t="e">
        <f>SUM(#REF!)</f>
        <v>#REF!</v>
      </c>
      <c r="H229" s="70"/>
      <c r="I229" s="67"/>
      <c r="J229" s="70"/>
      <c r="K229" s="70"/>
      <c r="L229" s="2316"/>
    </row>
    <row r="230" spans="1:12">
      <c r="A230" s="2338"/>
      <c r="B230" s="2340"/>
      <c r="C230" s="52" t="s">
        <v>23</v>
      </c>
      <c r="D230" s="71">
        <v>2710</v>
      </c>
      <c r="E230" s="66"/>
      <c r="F230" s="66">
        <v>23625</v>
      </c>
      <c r="G230" s="32"/>
      <c r="H230" s="32"/>
      <c r="I230" s="67"/>
      <c r="J230" s="32"/>
      <c r="K230" s="32"/>
      <c r="L230" s="2316"/>
    </row>
    <row r="231" spans="1:12">
      <c r="A231" s="2338"/>
      <c r="B231" s="2340"/>
      <c r="C231" s="52" t="s">
        <v>24</v>
      </c>
      <c r="D231" s="65"/>
      <c r="E231" s="66"/>
      <c r="F231" s="66"/>
      <c r="G231" s="32"/>
      <c r="H231" s="32"/>
      <c r="I231" s="67"/>
      <c r="J231" s="32"/>
      <c r="K231" s="32"/>
      <c r="L231" s="2316"/>
    </row>
    <row r="232" spans="1:12" ht="22.5">
      <c r="A232" s="2338"/>
      <c r="B232" s="2340"/>
      <c r="C232" s="41" t="s">
        <v>45</v>
      </c>
      <c r="D232" s="72"/>
      <c r="E232" s="70"/>
      <c r="F232" s="70"/>
      <c r="G232" s="32"/>
      <c r="H232" s="32"/>
      <c r="I232" s="67"/>
      <c r="J232" s="32"/>
      <c r="K232" s="32"/>
      <c r="L232" s="2316"/>
    </row>
    <row r="233" spans="1:12">
      <c r="A233" s="2338"/>
      <c r="B233" s="2340"/>
      <c r="C233" s="52" t="s">
        <v>26</v>
      </c>
      <c r="D233" s="65"/>
      <c r="E233" s="66"/>
      <c r="F233" s="66"/>
      <c r="G233" s="32"/>
      <c r="H233" s="32"/>
      <c r="I233" s="67"/>
      <c r="J233" s="32"/>
      <c r="K233" s="32"/>
      <c r="L233" s="2316"/>
    </row>
    <row r="234" spans="1:12">
      <c r="A234" s="2338"/>
      <c r="B234" s="2340"/>
      <c r="C234" s="52" t="s">
        <v>27</v>
      </c>
      <c r="D234" s="65"/>
      <c r="E234" s="66"/>
      <c r="F234" s="66"/>
      <c r="G234" s="32"/>
      <c r="H234" s="32"/>
      <c r="I234" s="67"/>
      <c r="J234" s="32"/>
      <c r="K234" s="32"/>
      <c r="L234" s="2316"/>
    </row>
    <row r="235" spans="1:12">
      <c r="A235" s="2338"/>
      <c r="B235" s="2340"/>
      <c r="C235" s="54" t="s">
        <v>28</v>
      </c>
      <c r="D235" s="73"/>
      <c r="E235" s="74">
        <f>SUM(E236,E238,E239)</f>
        <v>0</v>
      </c>
      <c r="F235" s="74">
        <f>SUM(F236,F238,F239)</f>
        <v>0</v>
      </c>
      <c r="G235" s="74">
        <f>SUM(G236,G238,G239)</f>
        <v>0</v>
      </c>
      <c r="H235" s="74">
        <f>SUM(H236,H238,H239)</f>
        <v>0</v>
      </c>
      <c r="I235" s="67"/>
      <c r="J235" s="74">
        <f>SUM(J236,J238,J239)</f>
        <v>0</v>
      </c>
      <c r="K235" s="74">
        <f>SUM(K236,K238,K239)</f>
        <v>0</v>
      </c>
      <c r="L235" s="2316"/>
    </row>
    <row r="236" spans="1:12">
      <c r="A236" s="2338"/>
      <c r="B236" s="2340"/>
      <c r="C236" s="52" t="s">
        <v>29</v>
      </c>
      <c r="D236" s="217"/>
      <c r="E236" s="66"/>
      <c r="F236" s="66"/>
      <c r="G236" s="32"/>
      <c r="H236" s="32"/>
      <c r="I236" s="67"/>
      <c r="J236" s="32"/>
      <c r="K236" s="32"/>
      <c r="L236" s="2316"/>
    </row>
    <row r="237" spans="1:12" ht="22.5">
      <c r="A237" s="2338"/>
      <c r="B237" s="2340"/>
      <c r="C237" s="41" t="s">
        <v>46</v>
      </c>
      <c r="D237" s="72"/>
      <c r="E237" s="70"/>
      <c r="F237" s="70"/>
      <c r="G237" s="32"/>
      <c r="H237" s="32"/>
      <c r="I237" s="67"/>
      <c r="J237" s="32"/>
      <c r="K237" s="32"/>
      <c r="L237" s="2316"/>
    </row>
    <row r="238" spans="1:12">
      <c r="A238" s="2338"/>
      <c r="B238" s="2340"/>
      <c r="C238" s="52" t="s">
        <v>31</v>
      </c>
      <c r="D238" s="65"/>
      <c r="E238" s="66"/>
      <c r="F238" s="66"/>
      <c r="G238" s="32"/>
      <c r="H238" s="32"/>
      <c r="I238" s="67"/>
      <c r="J238" s="32"/>
      <c r="K238" s="32"/>
      <c r="L238" s="2316"/>
    </row>
    <row r="239" spans="1:12">
      <c r="A239" s="2338"/>
      <c r="B239" s="2340"/>
      <c r="C239" s="52" t="s">
        <v>32</v>
      </c>
      <c r="D239" s="65"/>
      <c r="E239" s="66"/>
      <c r="F239" s="66"/>
      <c r="G239" s="28"/>
      <c r="H239" s="28"/>
      <c r="I239" s="67"/>
      <c r="J239" s="28"/>
      <c r="K239" s="28"/>
      <c r="L239" s="2317"/>
    </row>
    <row r="240" spans="1:12" s="95" customFormat="1" ht="22.5">
      <c r="A240" s="14" t="s">
        <v>107</v>
      </c>
      <c r="B240" s="84"/>
      <c r="C240" s="216" t="s">
        <v>108</v>
      </c>
      <c r="D240" s="85"/>
      <c r="E240" s="86">
        <f>SUM(E241)</f>
        <v>0</v>
      </c>
      <c r="F240" s="86">
        <f>SUM(F241,F256)</f>
        <v>111000</v>
      </c>
      <c r="G240" s="86">
        <f>SUM(G241)</f>
        <v>0</v>
      </c>
      <c r="H240" s="86">
        <f>SUM(H241)</f>
        <v>0</v>
      </c>
      <c r="I240" s="93"/>
      <c r="J240" s="94">
        <f>SUM(J241)</f>
        <v>0</v>
      </c>
      <c r="K240" s="94">
        <f>SUM(K241)</f>
        <v>0</v>
      </c>
      <c r="L240" s="215"/>
    </row>
    <row r="241" spans="1:12" ht="12.75" customHeight="1">
      <c r="A241" s="2342"/>
      <c r="B241" s="2345">
        <v>75412</v>
      </c>
      <c r="C241" s="60" t="s">
        <v>119</v>
      </c>
      <c r="D241" s="61"/>
      <c r="E241" s="23">
        <f>SUM(E242,E251)</f>
        <v>0</v>
      </c>
      <c r="F241" s="23">
        <f>SUM(F242,F251)</f>
        <v>111000</v>
      </c>
      <c r="G241" s="23">
        <f>SUM(G242,G251)</f>
        <v>0</v>
      </c>
      <c r="H241" s="23">
        <f>SUM(H242,H251)</f>
        <v>0</v>
      </c>
      <c r="I241" s="62"/>
      <c r="J241" s="23">
        <f>SUM(J242,J251)</f>
        <v>0</v>
      </c>
      <c r="K241" s="23">
        <f>SUM(K242,K251)</f>
        <v>0</v>
      </c>
      <c r="L241" s="2328"/>
    </row>
    <row r="242" spans="1:12" ht="12.75" customHeight="1">
      <c r="A242" s="2343"/>
      <c r="B242" s="2335"/>
      <c r="C242" s="26" t="s">
        <v>18</v>
      </c>
      <c r="D242" s="63"/>
      <c r="E242" s="28">
        <f>SUM(E243,E246,E247,E248,E249,E250)</f>
        <v>0</v>
      </c>
      <c r="F242" s="28">
        <f>SUM(F243,F246,F247,F248,F249,F250)</f>
        <v>63000</v>
      </c>
      <c r="G242" s="28">
        <f>SUM(G243,G246,G247,G248,G249,G250)</f>
        <v>0</v>
      </c>
      <c r="H242" s="28">
        <f>SUM(H243,H246,H247,H248,H249,H250)</f>
        <v>0</v>
      </c>
      <c r="I242" s="64"/>
      <c r="J242" s="28">
        <f>SUM(J243,J246,J247,J248,J249,J250)</f>
        <v>0</v>
      </c>
      <c r="K242" s="28">
        <f>SUM(K243,K246,K247,K248,K249,K250)</f>
        <v>0</v>
      </c>
      <c r="L242" s="2329"/>
    </row>
    <row r="243" spans="1:12" ht="12.75" customHeight="1">
      <c r="A243" s="2343"/>
      <c r="B243" s="2335"/>
      <c r="C243" s="52" t="s">
        <v>19</v>
      </c>
      <c r="D243" s="65"/>
      <c r="E243" s="66"/>
      <c r="F243" s="66"/>
      <c r="G243" s="66"/>
      <c r="H243" s="66"/>
      <c r="I243" s="67"/>
      <c r="J243" s="66"/>
      <c r="K243" s="66"/>
      <c r="L243" s="2329"/>
    </row>
    <row r="244" spans="1:12" ht="12.75" customHeight="1">
      <c r="A244" s="2343"/>
      <c r="B244" s="2335"/>
      <c r="C244" s="52" t="s">
        <v>20</v>
      </c>
      <c r="D244" s="65"/>
      <c r="E244" s="66"/>
      <c r="F244" s="66"/>
      <c r="G244" s="32"/>
      <c r="H244" s="32"/>
      <c r="I244" s="67"/>
      <c r="J244" s="32"/>
      <c r="K244" s="32"/>
      <c r="L244" s="2329"/>
    </row>
    <row r="245" spans="1:12" ht="12.75" customHeight="1">
      <c r="A245" s="2343"/>
      <c r="B245" s="2335"/>
      <c r="C245" s="68" t="s">
        <v>21</v>
      </c>
      <c r="D245" s="69"/>
      <c r="E245" s="70"/>
      <c r="F245" s="70"/>
      <c r="G245" s="70" t="e">
        <f>SUM(#REF!)</f>
        <v>#REF!</v>
      </c>
      <c r="H245" s="70"/>
      <c r="I245" s="67"/>
      <c r="J245" s="70"/>
      <c r="K245" s="70"/>
      <c r="L245" s="2329"/>
    </row>
    <row r="246" spans="1:12" ht="12.75" customHeight="1">
      <c r="A246" s="2343"/>
      <c r="B246" s="2335"/>
      <c r="C246" s="52" t="s">
        <v>23</v>
      </c>
      <c r="D246" s="71">
        <v>2710</v>
      </c>
      <c r="E246" s="66"/>
      <c r="F246" s="66">
        <v>63000</v>
      </c>
      <c r="G246" s="32"/>
      <c r="H246" s="32"/>
      <c r="I246" s="67"/>
      <c r="J246" s="32"/>
      <c r="K246" s="32"/>
      <c r="L246" s="2329"/>
    </row>
    <row r="247" spans="1:12" ht="12.75" customHeight="1">
      <c r="A247" s="2343"/>
      <c r="B247" s="2335"/>
      <c r="C247" s="52" t="s">
        <v>24</v>
      </c>
      <c r="D247" s="65"/>
      <c r="E247" s="66"/>
      <c r="F247" s="66"/>
      <c r="G247" s="32"/>
      <c r="H247" s="32"/>
      <c r="I247" s="67"/>
      <c r="J247" s="32"/>
      <c r="K247" s="32"/>
      <c r="L247" s="2329"/>
    </row>
    <row r="248" spans="1:12" ht="22.5">
      <c r="A248" s="2343"/>
      <c r="B248" s="2335"/>
      <c r="C248" s="41" t="s">
        <v>45</v>
      </c>
      <c r="D248" s="72"/>
      <c r="E248" s="70"/>
      <c r="F248" s="70"/>
      <c r="G248" s="32"/>
      <c r="H248" s="32"/>
      <c r="I248" s="67"/>
      <c r="J248" s="32"/>
      <c r="K248" s="32"/>
      <c r="L248" s="2329"/>
    </row>
    <row r="249" spans="1:12" ht="12.75" customHeight="1">
      <c r="A249" s="2343"/>
      <c r="B249" s="2335"/>
      <c r="C249" s="52" t="s">
        <v>26</v>
      </c>
      <c r="D249" s="65"/>
      <c r="E249" s="66"/>
      <c r="F249" s="66"/>
      <c r="G249" s="32"/>
      <c r="H249" s="32"/>
      <c r="I249" s="67"/>
      <c r="J249" s="32"/>
      <c r="K249" s="32"/>
      <c r="L249" s="2329"/>
    </row>
    <row r="250" spans="1:12" ht="12.75" customHeight="1">
      <c r="A250" s="2343"/>
      <c r="B250" s="2335"/>
      <c r="C250" s="52" t="s">
        <v>27</v>
      </c>
      <c r="D250" s="65"/>
      <c r="E250" s="66"/>
      <c r="F250" s="66"/>
      <c r="G250" s="32"/>
      <c r="H250" s="32"/>
      <c r="I250" s="67"/>
      <c r="J250" s="32"/>
      <c r="K250" s="32"/>
      <c r="L250" s="2329"/>
    </row>
    <row r="251" spans="1:12" ht="12.75" customHeight="1">
      <c r="A251" s="2343"/>
      <c r="B251" s="2335"/>
      <c r="C251" s="54" t="s">
        <v>28</v>
      </c>
      <c r="D251" s="73"/>
      <c r="E251" s="74">
        <f>SUM(E252,E254,E255)</f>
        <v>0</v>
      </c>
      <c r="F251" s="74">
        <f>SUM(F252,F254,F255)</f>
        <v>48000</v>
      </c>
      <c r="G251" s="74">
        <f>SUM(G252,G254,G255)</f>
        <v>0</v>
      </c>
      <c r="H251" s="74">
        <f>SUM(H252,H254,H255)</f>
        <v>0</v>
      </c>
      <c r="I251" s="67"/>
      <c r="J251" s="74">
        <f>SUM(J252,J254,J255)</f>
        <v>0</v>
      </c>
      <c r="K251" s="74">
        <f>SUM(K252,K254,K255)</f>
        <v>0</v>
      </c>
      <c r="L251" s="2329"/>
    </row>
    <row r="252" spans="1:12" ht="12.75" customHeight="1">
      <c r="A252" s="2343"/>
      <c r="B252" s="2335"/>
      <c r="C252" s="52" t="s">
        <v>29</v>
      </c>
      <c r="D252" s="71">
        <v>6300</v>
      </c>
      <c r="E252" s="66"/>
      <c r="F252" s="66">
        <v>48000</v>
      </c>
      <c r="G252" s="32"/>
      <c r="H252" s="32"/>
      <c r="I252" s="67"/>
      <c r="J252" s="32"/>
      <c r="K252" s="32"/>
      <c r="L252" s="2329"/>
    </row>
    <row r="253" spans="1:12" ht="22.5">
      <c r="A253" s="2343"/>
      <c r="B253" s="2335"/>
      <c r="C253" s="41" t="s">
        <v>46</v>
      </c>
      <c r="D253" s="72"/>
      <c r="E253" s="70"/>
      <c r="F253" s="70"/>
      <c r="G253" s="32"/>
      <c r="H253" s="32"/>
      <c r="I253" s="67"/>
      <c r="J253" s="32"/>
      <c r="K253" s="32"/>
      <c r="L253" s="2329"/>
    </row>
    <row r="254" spans="1:12" ht="12.75" customHeight="1">
      <c r="A254" s="2343"/>
      <c r="B254" s="2335"/>
      <c r="C254" s="52" t="s">
        <v>31</v>
      </c>
      <c r="D254" s="65"/>
      <c r="E254" s="66"/>
      <c r="F254" s="66"/>
      <c r="G254" s="32"/>
      <c r="H254" s="32"/>
      <c r="I254" s="67"/>
      <c r="J254" s="32"/>
      <c r="K254" s="32"/>
      <c r="L254" s="2329"/>
    </row>
    <row r="255" spans="1:12" ht="12.75" customHeight="1">
      <c r="A255" s="2344"/>
      <c r="B255" s="2336"/>
      <c r="C255" s="52" t="s">
        <v>32</v>
      </c>
      <c r="D255" s="65"/>
      <c r="E255" s="66"/>
      <c r="F255" s="66"/>
      <c r="G255" s="28"/>
      <c r="H255" s="28"/>
      <c r="I255" s="67"/>
      <c r="J255" s="28"/>
      <c r="K255" s="28"/>
      <c r="L255" s="2330"/>
    </row>
    <row r="256" spans="1:12" ht="12.75" hidden="1" customHeight="1">
      <c r="A256" s="2342"/>
      <c r="B256" s="2345">
        <v>75495</v>
      </c>
      <c r="C256" s="60" t="s">
        <v>17</v>
      </c>
      <c r="D256" s="61"/>
      <c r="E256" s="23">
        <f>SUM(E257,E266)</f>
        <v>0</v>
      </c>
      <c r="F256" s="23">
        <f>SUM(F257,F266)</f>
        <v>0</v>
      </c>
      <c r="G256" s="23">
        <f>SUM(G257,G266)</f>
        <v>0</v>
      </c>
      <c r="H256" s="23">
        <f>SUM(H257,H266)</f>
        <v>0</v>
      </c>
      <c r="I256" s="62"/>
      <c r="J256" s="23">
        <f>SUM(J257,J266)</f>
        <v>0</v>
      </c>
      <c r="K256" s="23">
        <f>SUM(K257,K266)</f>
        <v>0</v>
      </c>
      <c r="L256" s="2318"/>
    </row>
    <row r="257" spans="1:12" ht="12.75" hidden="1" customHeight="1">
      <c r="A257" s="2343"/>
      <c r="B257" s="2335"/>
      <c r="C257" s="26" t="s">
        <v>18</v>
      </c>
      <c r="D257" s="63"/>
      <c r="E257" s="28">
        <f>SUM(E258,E261,E262,E263,E264,E265)</f>
        <v>0</v>
      </c>
      <c r="F257" s="28">
        <f>SUM(F258,F261,F262,F263,F264,F265)</f>
        <v>0</v>
      </c>
      <c r="G257" s="28">
        <f>SUM(G258,G261,G262,G263,G264,G265)</f>
        <v>0</v>
      </c>
      <c r="H257" s="28">
        <f>SUM(H258,H261,H262,H263,H264,H265)</f>
        <v>0</v>
      </c>
      <c r="I257" s="64"/>
      <c r="J257" s="28">
        <f>SUM(J258,J261,J262,J263,J264,J265)</f>
        <v>0</v>
      </c>
      <c r="K257" s="28">
        <f>SUM(K258,K261,K262,K263,K264,K265)</f>
        <v>0</v>
      </c>
      <c r="L257" s="2319"/>
    </row>
    <row r="258" spans="1:12" ht="12.75" hidden="1" customHeight="1">
      <c r="A258" s="2343"/>
      <c r="B258" s="2335"/>
      <c r="C258" s="52" t="s">
        <v>19</v>
      </c>
      <c r="D258" s="65"/>
      <c r="E258" s="66"/>
      <c r="F258" s="66"/>
      <c r="G258" s="66"/>
      <c r="H258" s="66"/>
      <c r="I258" s="67"/>
      <c r="J258" s="66"/>
      <c r="K258" s="66"/>
      <c r="L258" s="2319"/>
    </row>
    <row r="259" spans="1:12" ht="12.75" hidden="1" customHeight="1">
      <c r="A259" s="2343"/>
      <c r="B259" s="2335"/>
      <c r="C259" s="52" t="s">
        <v>20</v>
      </c>
      <c r="D259" s="65"/>
      <c r="E259" s="66"/>
      <c r="F259" s="66"/>
      <c r="G259" s="32"/>
      <c r="H259" s="32"/>
      <c r="I259" s="67"/>
      <c r="J259" s="32"/>
      <c r="K259" s="32"/>
      <c r="L259" s="2319"/>
    </row>
    <row r="260" spans="1:12" ht="12.75" hidden="1" customHeight="1">
      <c r="A260" s="2343"/>
      <c r="B260" s="2335"/>
      <c r="C260" s="68" t="s">
        <v>21</v>
      </c>
      <c r="D260" s="69"/>
      <c r="E260" s="70"/>
      <c r="F260" s="70"/>
      <c r="G260" s="70" t="e">
        <f>SUM(#REF!)</f>
        <v>#REF!</v>
      </c>
      <c r="H260" s="70"/>
      <c r="I260" s="67"/>
      <c r="J260" s="70"/>
      <c r="K260" s="70"/>
      <c r="L260" s="2319"/>
    </row>
    <row r="261" spans="1:12" ht="12.75" hidden="1" customHeight="1">
      <c r="A261" s="2343"/>
      <c r="B261" s="2335"/>
      <c r="C261" s="52" t="s">
        <v>23</v>
      </c>
      <c r="D261" s="71">
        <v>2710</v>
      </c>
      <c r="E261" s="66"/>
      <c r="F261" s="66"/>
      <c r="G261" s="32"/>
      <c r="H261" s="32"/>
      <c r="I261" s="67"/>
      <c r="J261" s="32"/>
      <c r="K261" s="32"/>
      <c r="L261" s="2319"/>
    </row>
    <row r="262" spans="1:12" ht="12.75" hidden="1" customHeight="1">
      <c r="A262" s="2343"/>
      <c r="B262" s="2335"/>
      <c r="C262" s="52" t="s">
        <v>24</v>
      </c>
      <c r="D262" s="65"/>
      <c r="E262" s="66"/>
      <c r="F262" s="66"/>
      <c r="G262" s="32"/>
      <c r="H262" s="32"/>
      <c r="I262" s="67"/>
      <c r="J262" s="32"/>
      <c r="K262" s="32"/>
      <c r="L262" s="2319"/>
    </row>
    <row r="263" spans="1:12" ht="22.5" hidden="1">
      <c r="A263" s="2343"/>
      <c r="B263" s="2335"/>
      <c r="C263" s="41" t="s">
        <v>45</v>
      </c>
      <c r="D263" s="72"/>
      <c r="E263" s="70"/>
      <c r="F263" s="70"/>
      <c r="G263" s="32"/>
      <c r="H263" s="32"/>
      <c r="I263" s="67"/>
      <c r="J263" s="32"/>
      <c r="K263" s="32"/>
      <c r="L263" s="2319"/>
    </row>
    <row r="264" spans="1:12" ht="12.75" hidden="1" customHeight="1">
      <c r="A264" s="2343"/>
      <c r="B264" s="2335"/>
      <c r="C264" s="52" t="s">
        <v>26</v>
      </c>
      <c r="D264" s="65"/>
      <c r="E264" s="66"/>
      <c r="F264" s="66"/>
      <c r="G264" s="32"/>
      <c r="H264" s="32"/>
      <c r="I264" s="67"/>
      <c r="J264" s="32"/>
      <c r="K264" s="32"/>
      <c r="L264" s="2319"/>
    </row>
    <row r="265" spans="1:12" ht="12.75" hidden="1" customHeight="1">
      <c r="A265" s="2343"/>
      <c r="B265" s="2335"/>
      <c r="C265" s="52" t="s">
        <v>27</v>
      </c>
      <c r="D265" s="65"/>
      <c r="E265" s="66"/>
      <c r="F265" s="66"/>
      <c r="G265" s="32"/>
      <c r="H265" s="32"/>
      <c r="I265" s="67"/>
      <c r="J265" s="32"/>
      <c r="K265" s="32"/>
      <c r="L265" s="2319"/>
    </row>
    <row r="266" spans="1:12" ht="12.75" hidden="1" customHeight="1">
      <c r="A266" s="2343"/>
      <c r="B266" s="2335"/>
      <c r="C266" s="54" t="s">
        <v>28</v>
      </c>
      <c r="D266" s="73"/>
      <c r="E266" s="74">
        <f>SUM(E267,E269,E270)</f>
        <v>0</v>
      </c>
      <c r="F266" s="74">
        <f>SUM(F267,F269,F270)</f>
        <v>0</v>
      </c>
      <c r="G266" s="74">
        <f>SUM(G267,G269,G270)</f>
        <v>0</v>
      </c>
      <c r="H266" s="74">
        <f>SUM(H267,H269,H270)</f>
        <v>0</v>
      </c>
      <c r="I266" s="67"/>
      <c r="J266" s="74">
        <f>SUM(J267,J269,J270)</f>
        <v>0</v>
      </c>
      <c r="K266" s="74">
        <f>SUM(K267,K269,K270)</f>
        <v>0</v>
      </c>
      <c r="L266" s="2319"/>
    </row>
    <row r="267" spans="1:12" ht="12.75" hidden="1" customHeight="1">
      <c r="A267" s="2343"/>
      <c r="B267" s="2335"/>
      <c r="C267" s="52" t="s">
        <v>29</v>
      </c>
      <c r="D267" s="71"/>
      <c r="E267" s="66"/>
      <c r="F267" s="66"/>
      <c r="G267" s="32"/>
      <c r="H267" s="32"/>
      <c r="I267" s="67"/>
      <c r="J267" s="32"/>
      <c r="K267" s="32"/>
      <c r="L267" s="2319"/>
    </row>
    <row r="268" spans="1:12" ht="22.5" hidden="1">
      <c r="A268" s="2343"/>
      <c r="B268" s="2335"/>
      <c r="C268" s="41" t="s">
        <v>46</v>
      </c>
      <c r="D268" s="72"/>
      <c r="E268" s="70"/>
      <c r="F268" s="70"/>
      <c r="G268" s="32"/>
      <c r="H268" s="32"/>
      <c r="I268" s="67"/>
      <c r="J268" s="32"/>
      <c r="K268" s="32"/>
      <c r="L268" s="2319"/>
    </row>
    <row r="269" spans="1:12" ht="12.75" hidden="1" customHeight="1">
      <c r="A269" s="2343"/>
      <c r="B269" s="2335"/>
      <c r="C269" s="52" t="s">
        <v>31</v>
      </c>
      <c r="D269" s="65"/>
      <c r="E269" s="66"/>
      <c r="F269" s="66"/>
      <c r="G269" s="32"/>
      <c r="H269" s="32"/>
      <c r="I269" s="67"/>
      <c r="J269" s="32"/>
      <c r="K269" s="32"/>
      <c r="L269" s="2319"/>
    </row>
    <row r="270" spans="1:12" ht="12.75" hidden="1" customHeight="1">
      <c r="A270" s="2344"/>
      <c r="B270" s="2336"/>
      <c r="C270" s="52" t="s">
        <v>32</v>
      </c>
      <c r="D270" s="65"/>
      <c r="E270" s="66"/>
      <c r="F270" s="66"/>
      <c r="G270" s="28"/>
      <c r="H270" s="28"/>
      <c r="I270" s="67"/>
      <c r="J270" s="28"/>
      <c r="K270" s="28"/>
      <c r="L270" s="2320"/>
    </row>
    <row r="271" spans="1:12" s="95" customFormat="1">
      <c r="A271" s="14" t="s">
        <v>115</v>
      </c>
      <c r="B271" s="84"/>
      <c r="C271" s="85" t="s">
        <v>116</v>
      </c>
      <c r="D271" s="85"/>
      <c r="E271" s="86">
        <f>SUM(E287)</f>
        <v>0</v>
      </c>
      <c r="F271" s="86">
        <f>SUM(F287,F302,F272)</f>
        <v>40762</v>
      </c>
      <c r="G271" s="86">
        <f>SUM(G287)</f>
        <v>0</v>
      </c>
      <c r="H271" s="86">
        <f>SUM(H287)</f>
        <v>0</v>
      </c>
      <c r="I271" s="93"/>
      <c r="J271" s="94">
        <f>SUM(J287)</f>
        <v>0</v>
      </c>
      <c r="K271" s="94">
        <f>SUM(K287)</f>
        <v>0</v>
      </c>
      <c r="L271" s="215"/>
    </row>
    <row r="272" spans="1:12">
      <c r="A272" s="2338"/>
      <c r="B272" s="2340" t="s">
        <v>143</v>
      </c>
      <c r="C272" s="60" t="s">
        <v>132</v>
      </c>
      <c r="D272" s="61"/>
      <c r="E272" s="23">
        <f>SUM(E273,E282)</f>
        <v>0</v>
      </c>
      <c r="F272" s="23">
        <f>SUM(F273,F282)</f>
        <v>28762</v>
      </c>
      <c r="G272" s="23">
        <f>SUM(G273,G282)</f>
        <v>0</v>
      </c>
      <c r="H272" s="23">
        <f>SUM(H273,H282)</f>
        <v>0</v>
      </c>
      <c r="I272" s="62"/>
      <c r="J272" s="23">
        <f>SUM(J273,J282)</f>
        <v>0</v>
      </c>
      <c r="K272" s="23">
        <f>SUM(K273,K282)</f>
        <v>0</v>
      </c>
      <c r="L272" s="2315"/>
    </row>
    <row r="273" spans="1:12">
      <c r="A273" s="2338"/>
      <c r="B273" s="2340"/>
      <c r="C273" s="26" t="s">
        <v>18</v>
      </c>
      <c r="D273" s="63"/>
      <c r="E273" s="28">
        <f>SUM(E274,E277,E278,E279,E280,E281)</f>
        <v>0</v>
      </c>
      <c r="F273" s="28">
        <f>SUM(F274,F277,F278,F279,F280,F281)</f>
        <v>16762</v>
      </c>
      <c r="G273" s="28">
        <f>SUM(G274,G277,G278,G279,G280,G281)</f>
        <v>0</v>
      </c>
      <c r="H273" s="28">
        <f>SUM(H274,H277,H278,H279,H280,H281)</f>
        <v>0</v>
      </c>
      <c r="I273" s="64"/>
      <c r="J273" s="28">
        <f>SUM(J274,J277,J278,J279,J280,J281)</f>
        <v>0</v>
      </c>
      <c r="K273" s="28">
        <f>SUM(K274,K277,K278,K279,K280,K281)</f>
        <v>0</v>
      </c>
      <c r="L273" s="2316"/>
    </row>
    <row r="274" spans="1:12">
      <c r="A274" s="2338"/>
      <c r="B274" s="2340"/>
      <c r="C274" s="52" t="s">
        <v>19</v>
      </c>
      <c r="D274" s="65"/>
      <c r="E274" s="66"/>
      <c r="F274" s="66"/>
      <c r="G274" s="66"/>
      <c r="H274" s="66"/>
      <c r="I274" s="67"/>
      <c r="J274" s="66"/>
      <c r="K274" s="66"/>
      <c r="L274" s="2316"/>
    </row>
    <row r="275" spans="1:12">
      <c r="A275" s="2338"/>
      <c r="B275" s="2340"/>
      <c r="C275" s="52" t="s">
        <v>20</v>
      </c>
      <c r="D275" s="65"/>
      <c r="E275" s="66"/>
      <c r="F275" s="66"/>
      <c r="G275" s="32"/>
      <c r="H275" s="32"/>
      <c r="I275" s="67"/>
      <c r="J275" s="32"/>
      <c r="K275" s="32"/>
      <c r="L275" s="2316"/>
    </row>
    <row r="276" spans="1:12" ht="12.75" customHeight="1">
      <c r="A276" s="2338"/>
      <c r="B276" s="2340"/>
      <c r="C276" s="68" t="s">
        <v>21</v>
      </c>
      <c r="D276" s="69"/>
      <c r="E276" s="70"/>
      <c r="F276" s="70"/>
      <c r="G276" s="70" t="e">
        <f>SUM(#REF!)</f>
        <v>#REF!</v>
      </c>
      <c r="H276" s="70"/>
      <c r="I276" s="67"/>
      <c r="J276" s="70"/>
      <c r="K276" s="70"/>
      <c r="L276" s="2316"/>
    </row>
    <row r="277" spans="1:12">
      <c r="A277" s="2338"/>
      <c r="B277" s="2340"/>
      <c r="C277" s="52" t="s">
        <v>23</v>
      </c>
      <c r="D277" s="71">
        <v>2710</v>
      </c>
      <c r="E277" s="66"/>
      <c r="F277" s="66">
        <v>16762</v>
      </c>
      <c r="G277" s="32"/>
      <c r="H277" s="32"/>
      <c r="I277" s="67"/>
      <c r="J277" s="32"/>
      <c r="K277" s="32"/>
      <c r="L277" s="2316"/>
    </row>
    <row r="278" spans="1:12">
      <c r="A278" s="2338"/>
      <c r="B278" s="2340"/>
      <c r="C278" s="52" t="s">
        <v>24</v>
      </c>
      <c r="D278" s="65"/>
      <c r="E278" s="66"/>
      <c r="F278" s="66"/>
      <c r="G278" s="32"/>
      <c r="H278" s="32"/>
      <c r="I278" s="67"/>
      <c r="J278" s="32"/>
      <c r="K278" s="32"/>
      <c r="L278" s="2316"/>
    </row>
    <row r="279" spans="1:12" ht="22.5">
      <c r="A279" s="2338"/>
      <c r="B279" s="2340"/>
      <c r="C279" s="41" t="s">
        <v>45</v>
      </c>
      <c r="D279" s="72"/>
      <c r="E279" s="70"/>
      <c r="F279" s="70"/>
      <c r="G279" s="32"/>
      <c r="H279" s="32"/>
      <c r="I279" s="67"/>
      <c r="J279" s="32"/>
      <c r="K279" s="32"/>
      <c r="L279" s="2316"/>
    </row>
    <row r="280" spans="1:12">
      <c r="A280" s="2338"/>
      <c r="B280" s="2340"/>
      <c r="C280" s="52" t="s">
        <v>26</v>
      </c>
      <c r="D280" s="65"/>
      <c r="E280" s="66"/>
      <c r="F280" s="66"/>
      <c r="G280" s="32"/>
      <c r="H280" s="32"/>
      <c r="I280" s="67"/>
      <c r="J280" s="32"/>
      <c r="K280" s="32"/>
      <c r="L280" s="2316"/>
    </row>
    <row r="281" spans="1:12">
      <c r="A281" s="2338"/>
      <c r="B281" s="2340"/>
      <c r="C281" s="52" t="s">
        <v>27</v>
      </c>
      <c r="D281" s="65"/>
      <c r="E281" s="66"/>
      <c r="F281" s="66"/>
      <c r="G281" s="32"/>
      <c r="H281" s="32"/>
      <c r="I281" s="67"/>
      <c r="J281" s="32"/>
      <c r="K281" s="32"/>
      <c r="L281" s="2316"/>
    </row>
    <row r="282" spans="1:12">
      <c r="A282" s="2338"/>
      <c r="B282" s="2340"/>
      <c r="C282" s="54" t="s">
        <v>28</v>
      </c>
      <c r="D282" s="73"/>
      <c r="E282" s="74">
        <f>SUM(E283,E285,E286)</f>
        <v>0</v>
      </c>
      <c r="F282" s="74">
        <f>SUM(F283,F285,F286)</f>
        <v>12000</v>
      </c>
      <c r="G282" s="74">
        <f>SUM(G283,G285,G286)</f>
        <v>0</v>
      </c>
      <c r="H282" s="74">
        <f>SUM(H283,H285,H286)</f>
        <v>0</v>
      </c>
      <c r="I282" s="67"/>
      <c r="J282" s="74">
        <f>SUM(J283,J285,J286)</f>
        <v>0</v>
      </c>
      <c r="K282" s="74">
        <f>SUM(K283,K285,K286)</f>
        <v>0</v>
      </c>
      <c r="L282" s="2316"/>
    </row>
    <row r="283" spans="1:12">
      <c r="A283" s="2338"/>
      <c r="B283" s="2340"/>
      <c r="C283" s="52" t="s">
        <v>29</v>
      </c>
      <c r="D283" s="217">
        <v>6300</v>
      </c>
      <c r="E283" s="66"/>
      <c r="F283" s="66">
        <v>12000</v>
      </c>
      <c r="G283" s="32"/>
      <c r="H283" s="32"/>
      <c r="I283" s="67"/>
      <c r="J283" s="32"/>
      <c r="K283" s="32"/>
      <c r="L283" s="2316"/>
    </row>
    <row r="284" spans="1:12" ht="22.5">
      <c r="A284" s="2338"/>
      <c r="B284" s="2340"/>
      <c r="C284" s="41" t="s">
        <v>46</v>
      </c>
      <c r="D284" s="72"/>
      <c r="E284" s="70"/>
      <c r="F284" s="70"/>
      <c r="G284" s="32"/>
      <c r="H284" s="32"/>
      <c r="I284" s="67"/>
      <c r="J284" s="32"/>
      <c r="K284" s="32"/>
      <c r="L284" s="2316"/>
    </row>
    <row r="285" spans="1:12">
      <c r="A285" s="2338"/>
      <c r="B285" s="2340"/>
      <c r="C285" s="52" t="s">
        <v>31</v>
      </c>
      <c r="D285" s="65"/>
      <c r="E285" s="66"/>
      <c r="F285" s="66"/>
      <c r="G285" s="32"/>
      <c r="H285" s="32"/>
      <c r="I285" s="67"/>
      <c r="J285" s="32"/>
      <c r="K285" s="32"/>
      <c r="L285" s="2316"/>
    </row>
    <row r="286" spans="1:12">
      <c r="A286" s="2338"/>
      <c r="B286" s="2340"/>
      <c r="C286" s="52" t="s">
        <v>32</v>
      </c>
      <c r="D286" s="65"/>
      <c r="E286" s="66"/>
      <c r="F286" s="66"/>
      <c r="G286" s="28"/>
      <c r="H286" s="28"/>
      <c r="I286" s="67"/>
      <c r="J286" s="28"/>
      <c r="K286" s="28"/>
      <c r="L286" s="2317"/>
    </row>
    <row r="287" spans="1:12" ht="0.75" hidden="1" customHeight="1">
      <c r="A287" s="2338"/>
      <c r="B287" s="2340" t="s">
        <v>131</v>
      </c>
      <c r="C287" s="60" t="s">
        <v>132</v>
      </c>
      <c r="D287" s="61"/>
      <c r="E287" s="23">
        <f>SUM(E288,E297)</f>
        <v>0</v>
      </c>
      <c r="F287" s="23">
        <f>SUM(F288,F297)</f>
        <v>0</v>
      </c>
      <c r="G287" s="23">
        <f>SUM(G288,G297)</f>
        <v>0</v>
      </c>
      <c r="H287" s="23">
        <f>SUM(H288,H297)</f>
        <v>0</v>
      </c>
      <c r="I287" s="62"/>
      <c r="J287" s="23">
        <f>SUM(J288,J297)</f>
        <v>0</v>
      </c>
      <c r="K287" s="23">
        <f>SUM(K288,K297)</f>
        <v>0</v>
      </c>
      <c r="L287" s="2259"/>
    </row>
    <row r="288" spans="1:12" hidden="1">
      <c r="A288" s="2338"/>
      <c r="B288" s="2340"/>
      <c r="C288" s="26" t="s">
        <v>18</v>
      </c>
      <c r="D288" s="63"/>
      <c r="E288" s="28">
        <f>SUM(E289,E292,E293,E294,E295,E296)</f>
        <v>0</v>
      </c>
      <c r="F288" s="28">
        <f>SUM(F289,F292,F293,F294,F295,F296)</f>
        <v>0</v>
      </c>
      <c r="G288" s="28">
        <f>SUM(G289,G292,G293,G294,G295,G296)</f>
        <v>0</v>
      </c>
      <c r="H288" s="28">
        <f>SUM(H289,H292,H293,H294,H295,H296)</f>
        <v>0</v>
      </c>
      <c r="I288" s="64"/>
      <c r="J288" s="28">
        <f>SUM(J289,J292,J293,J294,J295,J296)</f>
        <v>0</v>
      </c>
      <c r="K288" s="28">
        <f>SUM(K289,K292,K293,K294,K295,K296)</f>
        <v>0</v>
      </c>
      <c r="L288" s="2312"/>
    </row>
    <row r="289" spans="1:12" hidden="1">
      <c r="A289" s="2338"/>
      <c r="B289" s="2340"/>
      <c r="C289" s="52" t="s">
        <v>19</v>
      </c>
      <c r="D289" s="65"/>
      <c r="E289" s="66"/>
      <c r="F289" s="66"/>
      <c r="G289" s="66"/>
      <c r="H289" s="66"/>
      <c r="I289" s="67"/>
      <c r="J289" s="66"/>
      <c r="K289" s="66"/>
      <c r="L289" s="2312"/>
    </row>
    <row r="290" spans="1:12" hidden="1">
      <c r="A290" s="2338"/>
      <c r="B290" s="2340"/>
      <c r="C290" s="52" t="s">
        <v>20</v>
      </c>
      <c r="D290" s="65"/>
      <c r="E290" s="66"/>
      <c r="F290" s="66"/>
      <c r="G290" s="32"/>
      <c r="H290" s="32"/>
      <c r="I290" s="67"/>
      <c r="J290" s="32"/>
      <c r="K290" s="32"/>
      <c r="L290" s="2312"/>
    </row>
    <row r="291" spans="1:12" ht="12.75" hidden="1" customHeight="1">
      <c r="A291" s="2338"/>
      <c r="B291" s="2340"/>
      <c r="C291" s="68" t="s">
        <v>21</v>
      </c>
      <c r="D291" s="69"/>
      <c r="E291" s="70"/>
      <c r="F291" s="70"/>
      <c r="G291" s="70" t="e">
        <f>SUM(#REF!)</f>
        <v>#REF!</v>
      </c>
      <c r="H291" s="70"/>
      <c r="I291" s="67"/>
      <c r="J291" s="70"/>
      <c r="K291" s="70"/>
      <c r="L291" s="2312"/>
    </row>
    <row r="292" spans="1:12" hidden="1">
      <c r="A292" s="2338"/>
      <c r="B292" s="2340"/>
      <c r="C292" s="52" t="s">
        <v>23</v>
      </c>
      <c r="D292" s="71">
        <v>2710</v>
      </c>
      <c r="E292" s="66"/>
      <c r="F292" s="66"/>
      <c r="G292" s="32"/>
      <c r="H292" s="32"/>
      <c r="I292" s="67"/>
      <c r="J292" s="32"/>
      <c r="K292" s="32"/>
      <c r="L292" s="2312"/>
    </row>
    <row r="293" spans="1:12" hidden="1">
      <c r="A293" s="2338"/>
      <c r="B293" s="2340"/>
      <c r="C293" s="52" t="s">
        <v>24</v>
      </c>
      <c r="D293" s="65"/>
      <c r="E293" s="66"/>
      <c r="F293" s="66"/>
      <c r="G293" s="32"/>
      <c r="H293" s="32"/>
      <c r="I293" s="67"/>
      <c r="J293" s="32"/>
      <c r="K293" s="32"/>
      <c r="L293" s="2312"/>
    </row>
    <row r="294" spans="1:12" ht="22.5" hidden="1">
      <c r="A294" s="2338"/>
      <c r="B294" s="2340"/>
      <c r="C294" s="41" t="s">
        <v>45</v>
      </c>
      <c r="D294" s="72"/>
      <c r="E294" s="70"/>
      <c r="F294" s="70"/>
      <c r="G294" s="32"/>
      <c r="H294" s="32"/>
      <c r="I294" s="67"/>
      <c r="J294" s="32"/>
      <c r="K294" s="32"/>
      <c r="L294" s="2312"/>
    </row>
    <row r="295" spans="1:12" hidden="1">
      <c r="A295" s="2338"/>
      <c r="B295" s="2340"/>
      <c r="C295" s="52" t="s">
        <v>26</v>
      </c>
      <c r="D295" s="65"/>
      <c r="E295" s="66"/>
      <c r="F295" s="66"/>
      <c r="G295" s="32"/>
      <c r="H295" s="32"/>
      <c r="I295" s="67"/>
      <c r="J295" s="32"/>
      <c r="K295" s="32"/>
      <c r="L295" s="2312"/>
    </row>
    <row r="296" spans="1:12" hidden="1">
      <c r="A296" s="2338"/>
      <c r="B296" s="2340"/>
      <c r="C296" s="52" t="s">
        <v>27</v>
      </c>
      <c r="D296" s="65"/>
      <c r="E296" s="66"/>
      <c r="F296" s="66"/>
      <c r="G296" s="32"/>
      <c r="H296" s="32"/>
      <c r="I296" s="67"/>
      <c r="J296" s="32"/>
      <c r="K296" s="32"/>
      <c r="L296" s="2312"/>
    </row>
    <row r="297" spans="1:12" hidden="1">
      <c r="A297" s="2338"/>
      <c r="B297" s="2340"/>
      <c r="C297" s="54" t="s">
        <v>28</v>
      </c>
      <c r="D297" s="73"/>
      <c r="E297" s="74">
        <f>SUM(E298,E300,E301)</f>
        <v>0</v>
      </c>
      <c r="F297" s="74">
        <f>SUM(F298,F300,F301)</f>
        <v>0</v>
      </c>
      <c r="G297" s="74">
        <f>SUM(G298,G300,G301)</f>
        <v>0</v>
      </c>
      <c r="H297" s="74">
        <f>SUM(H298,H300,H301)</f>
        <v>0</v>
      </c>
      <c r="I297" s="67"/>
      <c r="J297" s="74">
        <f>SUM(J298,J300,J301)</f>
        <v>0</v>
      </c>
      <c r="K297" s="74">
        <f>SUM(K298,K300,K301)</f>
        <v>0</v>
      </c>
      <c r="L297" s="2312"/>
    </row>
    <row r="298" spans="1:12" hidden="1">
      <c r="A298" s="2338"/>
      <c r="B298" s="2340"/>
      <c r="C298" s="52" t="s">
        <v>29</v>
      </c>
      <c r="D298" s="217"/>
      <c r="E298" s="66"/>
      <c r="F298" s="66"/>
      <c r="G298" s="32"/>
      <c r="H298" s="32"/>
      <c r="I298" s="67"/>
      <c r="J298" s="32"/>
      <c r="K298" s="32"/>
      <c r="L298" s="2312"/>
    </row>
    <row r="299" spans="1:12" ht="22.5" hidden="1">
      <c r="A299" s="2338"/>
      <c r="B299" s="2340"/>
      <c r="C299" s="41" t="s">
        <v>46</v>
      </c>
      <c r="D299" s="72"/>
      <c r="E299" s="70"/>
      <c r="F299" s="70"/>
      <c r="G299" s="32"/>
      <c r="H299" s="32"/>
      <c r="I299" s="67"/>
      <c r="J299" s="32"/>
      <c r="K299" s="32"/>
      <c r="L299" s="2312"/>
    </row>
    <row r="300" spans="1:12" hidden="1">
      <c r="A300" s="2338"/>
      <c r="B300" s="2340"/>
      <c r="C300" s="52" t="s">
        <v>31</v>
      </c>
      <c r="D300" s="65"/>
      <c r="E300" s="66"/>
      <c r="F300" s="66"/>
      <c r="G300" s="32"/>
      <c r="H300" s="32"/>
      <c r="I300" s="67"/>
      <c r="J300" s="32"/>
      <c r="K300" s="32"/>
      <c r="L300" s="2312"/>
    </row>
    <row r="301" spans="1:12" hidden="1">
      <c r="A301" s="2338"/>
      <c r="B301" s="2340"/>
      <c r="C301" s="52" t="s">
        <v>32</v>
      </c>
      <c r="D301" s="65"/>
      <c r="E301" s="66"/>
      <c r="F301" s="66"/>
      <c r="G301" s="28"/>
      <c r="H301" s="28"/>
      <c r="I301" s="67"/>
      <c r="J301" s="28"/>
      <c r="K301" s="28"/>
      <c r="L301" s="2313"/>
    </row>
    <row r="302" spans="1:12">
      <c r="A302" s="2338"/>
      <c r="B302" s="2340" t="s">
        <v>139</v>
      </c>
      <c r="C302" s="60" t="s">
        <v>17</v>
      </c>
      <c r="D302" s="61"/>
      <c r="E302" s="23">
        <f>SUM(E303,E312)</f>
        <v>0</v>
      </c>
      <c r="F302" s="23">
        <f>SUM(F303,F312)</f>
        <v>12000</v>
      </c>
      <c r="G302" s="23">
        <f>SUM(G303,G312)</f>
        <v>0</v>
      </c>
      <c r="H302" s="23">
        <f>SUM(H303,H312)</f>
        <v>0</v>
      </c>
      <c r="I302" s="62"/>
      <c r="J302" s="23">
        <f>SUM(J303,J312)</f>
        <v>0</v>
      </c>
      <c r="K302" s="23">
        <f>SUM(K303,K312)</f>
        <v>0</v>
      </c>
      <c r="L302" s="2303"/>
    </row>
    <row r="303" spans="1:12">
      <c r="A303" s="2338"/>
      <c r="B303" s="2340"/>
      <c r="C303" s="26" t="s">
        <v>18</v>
      </c>
      <c r="D303" s="63"/>
      <c r="E303" s="28">
        <f>SUM(E304,E307,E308,E309,E310,E311)</f>
        <v>0</v>
      </c>
      <c r="F303" s="28">
        <f>SUM(F304,F307,F308,F309,F310,F311)</f>
        <v>0</v>
      </c>
      <c r="G303" s="28">
        <f>SUM(G304,G307,G308,G309,G310,G311)</f>
        <v>0</v>
      </c>
      <c r="H303" s="28">
        <f>SUM(H304,H307,H308,H309,H310,H311)</f>
        <v>0</v>
      </c>
      <c r="I303" s="64"/>
      <c r="J303" s="28">
        <f>SUM(J304,J307,J308,J309,J310,J311)</f>
        <v>0</v>
      </c>
      <c r="K303" s="28">
        <f>SUM(K304,K307,K308,K309,K310,K311)</f>
        <v>0</v>
      </c>
      <c r="L303" s="2304"/>
    </row>
    <row r="304" spans="1:12">
      <c r="A304" s="2338"/>
      <c r="B304" s="2340"/>
      <c r="C304" s="52" t="s">
        <v>19</v>
      </c>
      <c r="D304" s="65"/>
      <c r="E304" s="66"/>
      <c r="F304" s="66"/>
      <c r="G304" s="66"/>
      <c r="H304" s="66"/>
      <c r="I304" s="67"/>
      <c r="J304" s="66"/>
      <c r="K304" s="66"/>
      <c r="L304" s="2304"/>
    </row>
    <row r="305" spans="1:12">
      <c r="A305" s="2338"/>
      <c r="B305" s="2340"/>
      <c r="C305" s="52" t="s">
        <v>20</v>
      </c>
      <c r="D305" s="65"/>
      <c r="E305" s="66"/>
      <c r="F305" s="66"/>
      <c r="G305" s="32"/>
      <c r="H305" s="32"/>
      <c r="I305" s="67"/>
      <c r="J305" s="32"/>
      <c r="K305" s="32"/>
      <c r="L305" s="2304"/>
    </row>
    <row r="306" spans="1:12" ht="12.75" customHeight="1">
      <c r="A306" s="2338"/>
      <c r="B306" s="2340"/>
      <c r="C306" s="68" t="s">
        <v>21</v>
      </c>
      <c r="D306" s="69"/>
      <c r="E306" s="70"/>
      <c r="F306" s="70"/>
      <c r="G306" s="70" t="e">
        <f>SUM(#REF!)</f>
        <v>#REF!</v>
      </c>
      <c r="H306" s="70"/>
      <c r="I306" s="67"/>
      <c r="J306" s="70"/>
      <c r="K306" s="70"/>
      <c r="L306" s="2304"/>
    </row>
    <row r="307" spans="1:12">
      <c r="A307" s="2338"/>
      <c r="B307" s="2340"/>
      <c r="C307" s="52" t="s">
        <v>23</v>
      </c>
      <c r="D307" s="71"/>
      <c r="E307" s="66"/>
      <c r="F307" s="66"/>
      <c r="G307" s="32"/>
      <c r="H307" s="32"/>
      <c r="I307" s="67"/>
      <c r="J307" s="32"/>
      <c r="K307" s="32"/>
      <c r="L307" s="2304"/>
    </row>
    <row r="308" spans="1:12">
      <c r="A308" s="2338"/>
      <c r="B308" s="2340"/>
      <c r="C308" s="52" t="s">
        <v>24</v>
      </c>
      <c r="D308" s="65"/>
      <c r="E308" s="66"/>
      <c r="F308" s="66"/>
      <c r="G308" s="32"/>
      <c r="H308" s="32"/>
      <c r="I308" s="67"/>
      <c r="J308" s="32"/>
      <c r="K308" s="32"/>
      <c r="L308" s="2304"/>
    </row>
    <row r="309" spans="1:12" ht="22.5">
      <c r="A309" s="2338"/>
      <c r="B309" s="2340"/>
      <c r="C309" s="41" t="s">
        <v>45</v>
      </c>
      <c r="D309" s="72"/>
      <c r="E309" s="70"/>
      <c r="F309" s="70"/>
      <c r="G309" s="32"/>
      <c r="H309" s="32"/>
      <c r="I309" s="67"/>
      <c r="J309" s="32"/>
      <c r="K309" s="32"/>
      <c r="L309" s="2304"/>
    </row>
    <row r="310" spans="1:12">
      <c r="A310" s="2338"/>
      <c r="B310" s="2340"/>
      <c r="C310" s="52" t="s">
        <v>26</v>
      </c>
      <c r="D310" s="65"/>
      <c r="E310" s="66"/>
      <c r="F310" s="66"/>
      <c r="G310" s="32"/>
      <c r="H310" s="32"/>
      <c r="I310" s="67"/>
      <c r="J310" s="32"/>
      <c r="K310" s="32"/>
      <c r="L310" s="2304"/>
    </row>
    <row r="311" spans="1:12">
      <c r="A311" s="2338"/>
      <c r="B311" s="2340"/>
      <c r="C311" s="52" t="s">
        <v>27</v>
      </c>
      <c r="D311" s="65"/>
      <c r="E311" s="66"/>
      <c r="F311" s="66"/>
      <c r="G311" s="32"/>
      <c r="H311" s="32"/>
      <c r="I311" s="67"/>
      <c r="J311" s="32"/>
      <c r="K311" s="32"/>
      <c r="L311" s="2304"/>
    </row>
    <row r="312" spans="1:12">
      <c r="A312" s="2338"/>
      <c r="B312" s="2340"/>
      <c r="C312" s="54" t="s">
        <v>28</v>
      </c>
      <c r="D312" s="73"/>
      <c r="E312" s="74">
        <f>SUM(E313,E315,E316)</f>
        <v>0</v>
      </c>
      <c r="F312" s="74">
        <f>SUM(F313,F315,F316)</f>
        <v>12000</v>
      </c>
      <c r="G312" s="74">
        <f>SUM(G313,G315,G316)</f>
        <v>0</v>
      </c>
      <c r="H312" s="74">
        <f>SUM(H313,H315,H316)</f>
        <v>0</v>
      </c>
      <c r="I312" s="67"/>
      <c r="J312" s="74">
        <f>SUM(J313,J315,J316)</f>
        <v>0</v>
      </c>
      <c r="K312" s="74">
        <f>SUM(K313,K315,K316)</f>
        <v>0</v>
      </c>
      <c r="L312" s="2304"/>
    </row>
    <row r="313" spans="1:12">
      <c r="A313" s="2338"/>
      <c r="B313" s="2340"/>
      <c r="C313" s="52" t="s">
        <v>29</v>
      </c>
      <c r="D313" s="217">
        <v>6300</v>
      </c>
      <c r="E313" s="66"/>
      <c r="F313" s="66">
        <v>12000</v>
      </c>
      <c r="G313" s="32"/>
      <c r="H313" s="32"/>
      <c r="I313" s="67"/>
      <c r="J313" s="32"/>
      <c r="K313" s="32"/>
      <c r="L313" s="2304"/>
    </row>
    <row r="314" spans="1:12" ht="22.5">
      <c r="A314" s="2338"/>
      <c r="B314" s="2340"/>
      <c r="C314" s="41" t="s">
        <v>46</v>
      </c>
      <c r="D314" s="72"/>
      <c r="E314" s="70"/>
      <c r="F314" s="70"/>
      <c r="G314" s="32"/>
      <c r="H314" s="32"/>
      <c r="I314" s="67"/>
      <c r="J314" s="32"/>
      <c r="K314" s="32"/>
      <c r="L314" s="2304"/>
    </row>
    <row r="315" spans="1:12">
      <c r="A315" s="2338"/>
      <c r="B315" s="2340"/>
      <c r="C315" s="52" t="s">
        <v>31</v>
      </c>
      <c r="D315" s="65"/>
      <c r="E315" s="66"/>
      <c r="F315" s="66"/>
      <c r="G315" s="32"/>
      <c r="H315" s="32"/>
      <c r="I315" s="67"/>
      <c r="J315" s="32"/>
      <c r="K315" s="32"/>
      <c r="L315" s="2304"/>
    </row>
    <row r="316" spans="1:12">
      <c r="A316" s="2338"/>
      <c r="B316" s="2340"/>
      <c r="C316" s="52" t="s">
        <v>32</v>
      </c>
      <c r="D316" s="65"/>
      <c r="E316" s="66"/>
      <c r="F316" s="66"/>
      <c r="G316" s="28"/>
      <c r="H316" s="28"/>
      <c r="I316" s="67"/>
      <c r="J316" s="28"/>
      <c r="K316" s="28"/>
      <c r="L316" s="2305"/>
    </row>
    <row r="317" spans="1:12" s="95" customFormat="1" ht="22.5">
      <c r="A317" s="14" t="s">
        <v>138</v>
      </c>
      <c r="B317" s="84"/>
      <c r="C317" s="216" t="s">
        <v>144</v>
      </c>
      <c r="D317" s="85"/>
      <c r="E317" s="86">
        <f>SUM(E318)</f>
        <v>0</v>
      </c>
      <c r="F317" s="86">
        <f>SUM(F318)</f>
        <v>14134</v>
      </c>
      <c r="G317" s="86">
        <f>SUM(G318)</f>
        <v>0</v>
      </c>
      <c r="H317" s="86">
        <f>SUM(H318)</f>
        <v>0</v>
      </c>
      <c r="I317" s="93"/>
      <c r="J317" s="94">
        <f>SUM(J318)</f>
        <v>0</v>
      </c>
      <c r="K317" s="94">
        <f>SUM(K318)</f>
        <v>0</v>
      </c>
      <c r="L317" s="215"/>
    </row>
    <row r="318" spans="1:12">
      <c r="A318" s="2338"/>
      <c r="B318" s="2340" t="s">
        <v>142</v>
      </c>
      <c r="C318" s="60" t="s">
        <v>17</v>
      </c>
      <c r="D318" s="61"/>
      <c r="E318" s="23">
        <f>SUM(E319,E328)</f>
        <v>0</v>
      </c>
      <c r="F318" s="23">
        <f>SUM(F319,F328)</f>
        <v>14134</v>
      </c>
      <c r="G318" s="23">
        <f>SUM(G319,G328)</f>
        <v>0</v>
      </c>
      <c r="H318" s="23">
        <f>SUM(H319,H328)</f>
        <v>0</v>
      </c>
      <c r="I318" s="62"/>
      <c r="J318" s="23">
        <f>SUM(J319,J328)</f>
        <v>0</v>
      </c>
      <c r="K318" s="23">
        <f>SUM(K319,K328)</f>
        <v>0</v>
      </c>
      <c r="L318" s="2303"/>
    </row>
    <row r="319" spans="1:12">
      <c r="A319" s="2338"/>
      <c r="B319" s="2340"/>
      <c r="C319" s="26" t="s">
        <v>18</v>
      </c>
      <c r="D319" s="63"/>
      <c r="E319" s="28">
        <f>SUM(E320,E323,E324,E325,E326,E327)</f>
        <v>0</v>
      </c>
      <c r="F319" s="28">
        <f>SUM(F320,F323,F324,F325,F326,F327)</f>
        <v>14134</v>
      </c>
      <c r="G319" s="28">
        <f>SUM(G320,G323,G324,G325,G326,G327)</f>
        <v>0</v>
      </c>
      <c r="H319" s="28">
        <f>SUM(H320,H323,H324,H325,H326,H327)</f>
        <v>0</v>
      </c>
      <c r="I319" s="64"/>
      <c r="J319" s="28">
        <f>SUM(J320,J323,J324,J325,J326,J327)</f>
        <v>0</v>
      </c>
      <c r="K319" s="28">
        <f>SUM(K320,K323,K324,K325,K326,K327)</f>
        <v>0</v>
      </c>
      <c r="L319" s="2304"/>
    </row>
    <row r="320" spans="1:12">
      <c r="A320" s="2338"/>
      <c r="B320" s="2340"/>
      <c r="C320" s="52" t="s">
        <v>19</v>
      </c>
      <c r="D320" s="65"/>
      <c r="E320" s="66"/>
      <c r="F320" s="66"/>
      <c r="G320" s="66"/>
      <c r="H320" s="66"/>
      <c r="I320" s="67"/>
      <c r="J320" s="66"/>
      <c r="K320" s="66"/>
      <c r="L320" s="2304"/>
    </row>
    <row r="321" spans="1:12">
      <c r="A321" s="2338"/>
      <c r="B321" s="2340"/>
      <c r="C321" s="52" t="s">
        <v>20</v>
      </c>
      <c r="D321" s="65"/>
      <c r="E321" s="66"/>
      <c r="F321" s="66"/>
      <c r="G321" s="32"/>
      <c r="H321" s="32"/>
      <c r="I321" s="67"/>
      <c r="J321" s="32"/>
      <c r="K321" s="32"/>
      <c r="L321" s="2304"/>
    </row>
    <row r="322" spans="1:12">
      <c r="A322" s="2338"/>
      <c r="B322" s="2340"/>
      <c r="C322" s="68" t="s">
        <v>21</v>
      </c>
      <c r="D322" s="69"/>
      <c r="E322" s="70"/>
      <c r="F322" s="70"/>
      <c r="G322" s="70" t="e">
        <f>SUM(#REF!)</f>
        <v>#REF!</v>
      </c>
      <c r="H322" s="70"/>
      <c r="I322" s="67"/>
      <c r="J322" s="70"/>
      <c r="K322" s="70"/>
      <c r="L322" s="2304"/>
    </row>
    <row r="323" spans="1:12">
      <c r="A323" s="2338"/>
      <c r="B323" s="2340"/>
      <c r="C323" s="52" t="s">
        <v>23</v>
      </c>
      <c r="D323" s="71">
        <v>2710</v>
      </c>
      <c r="E323" s="66"/>
      <c r="F323" s="66">
        <v>14134</v>
      </c>
      <c r="G323" s="32"/>
      <c r="H323" s="32"/>
      <c r="I323" s="67"/>
      <c r="J323" s="32"/>
      <c r="K323" s="32"/>
      <c r="L323" s="2304"/>
    </row>
    <row r="324" spans="1:12">
      <c r="A324" s="2338"/>
      <c r="B324" s="2340"/>
      <c r="C324" s="52" t="s">
        <v>24</v>
      </c>
      <c r="D324" s="65"/>
      <c r="E324" s="66"/>
      <c r="F324" s="66"/>
      <c r="G324" s="32"/>
      <c r="H324" s="32"/>
      <c r="I324" s="67"/>
      <c r="J324" s="32"/>
      <c r="K324" s="32"/>
      <c r="L324" s="2304"/>
    </row>
    <row r="325" spans="1:12" ht="22.5">
      <c r="A325" s="2338"/>
      <c r="B325" s="2340"/>
      <c r="C325" s="41" t="s">
        <v>45</v>
      </c>
      <c r="D325" s="72"/>
      <c r="E325" s="70"/>
      <c r="F325" s="70"/>
      <c r="G325" s="32"/>
      <c r="H325" s="32"/>
      <c r="I325" s="67"/>
      <c r="J325" s="32"/>
      <c r="K325" s="32"/>
      <c r="L325" s="2304"/>
    </row>
    <row r="326" spans="1:12">
      <c r="A326" s="2338"/>
      <c r="B326" s="2340"/>
      <c r="C326" s="52" t="s">
        <v>26</v>
      </c>
      <c r="D326" s="65"/>
      <c r="E326" s="66"/>
      <c r="F326" s="66"/>
      <c r="G326" s="32"/>
      <c r="H326" s="32"/>
      <c r="I326" s="67"/>
      <c r="J326" s="32"/>
      <c r="K326" s="32"/>
      <c r="L326" s="2304"/>
    </row>
    <row r="327" spans="1:12">
      <c r="A327" s="2338"/>
      <c r="B327" s="2340"/>
      <c r="C327" s="52" t="s">
        <v>27</v>
      </c>
      <c r="D327" s="65"/>
      <c r="E327" s="66"/>
      <c r="F327" s="66"/>
      <c r="G327" s="32"/>
      <c r="H327" s="32"/>
      <c r="I327" s="67"/>
      <c r="J327" s="32"/>
      <c r="K327" s="32"/>
      <c r="L327" s="2304"/>
    </row>
    <row r="328" spans="1:12">
      <c r="A328" s="2338"/>
      <c r="B328" s="2340"/>
      <c r="C328" s="54" t="s">
        <v>28</v>
      </c>
      <c r="D328" s="73"/>
      <c r="E328" s="74">
        <f>SUM(E329,E331,E332)</f>
        <v>0</v>
      </c>
      <c r="F328" s="74">
        <f>SUM(F329,F331,F332)</f>
        <v>0</v>
      </c>
      <c r="G328" s="74">
        <f>SUM(G329,G331,G332)</f>
        <v>0</v>
      </c>
      <c r="H328" s="74">
        <f>SUM(H329,H331,H332)</f>
        <v>0</v>
      </c>
      <c r="I328" s="67"/>
      <c r="J328" s="74">
        <f>SUM(J329,J331,J332)</f>
        <v>0</v>
      </c>
      <c r="K328" s="74">
        <f>SUM(K329,K331,K332)</f>
        <v>0</v>
      </c>
      <c r="L328" s="2304"/>
    </row>
    <row r="329" spans="1:12">
      <c r="A329" s="2338"/>
      <c r="B329" s="2340"/>
      <c r="C329" s="52" t="s">
        <v>29</v>
      </c>
      <c r="D329" s="217"/>
      <c r="E329" s="66"/>
      <c r="F329" s="66"/>
      <c r="G329" s="32"/>
      <c r="H329" s="32"/>
      <c r="I329" s="67"/>
      <c r="J329" s="32"/>
      <c r="K329" s="32"/>
      <c r="L329" s="2304"/>
    </row>
    <row r="330" spans="1:12" ht="22.5">
      <c r="A330" s="2338"/>
      <c r="B330" s="2340"/>
      <c r="C330" s="41" t="s">
        <v>46</v>
      </c>
      <c r="D330" s="72"/>
      <c r="E330" s="70"/>
      <c r="F330" s="70"/>
      <c r="G330" s="32"/>
      <c r="H330" s="32"/>
      <c r="I330" s="67"/>
      <c r="J330" s="32"/>
      <c r="K330" s="32"/>
      <c r="L330" s="2304"/>
    </row>
    <row r="331" spans="1:12">
      <c r="A331" s="2338"/>
      <c r="B331" s="2340"/>
      <c r="C331" s="52" t="s">
        <v>31</v>
      </c>
      <c r="D331" s="65"/>
      <c r="E331" s="66"/>
      <c r="F331" s="66"/>
      <c r="G331" s="32"/>
      <c r="H331" s="32"/>
      <c r="I331" s="67"/>
      <c r="J331" s="32"/>
      <c r="K331" s="32"/>
      <c r="L331" s="2304"/>
    </row>
    <row r="332" spans="1:12">
      <c r="A332" s="2339"/>
      <c r="B332" s="2341"/>
      <c r="C332" s="359" t="s">
        <v>32</v>
      </c>
      <c r="D332" s="371"/>
      <c r="E332" s="360"/>
      <c r="F332" s="360"/>
      <c r="G332" s="361"/>
      <c r="H332" s="361"/>
      <c r="I332" s="362"/>
      <c r="J332" s="361"/>
      <c r="K332" s="361"/>
      <c r="L332" s="2314"/>
    </row>
    <row r="333" spans="1:12" s="95" customFormat="1">
      <c r="A333" s="57" t="s">
        <v>69</v>
      </c>
      <c r="B333" s="15"/>
      <c r="C333" s="16" t="s">
        <v>70</v>
      </c>
      <c r="D333" s="16"/>
      <c r="E333" s="58">
        <f>SUM(E334,E349,E364)</f>
        <v>0</v>
      </c>
      <c r="F333" s="58">
        <f>SUM(F334,F349,F364)</f>
        <v>96000</v>
      </c>
      <c r="G333" s="58">
        <f t="shared" ref="G333:H333" si="10">SUM(G334,G349,G364)</f>
        <v>0</v>
      </c>
      <c r="H333" s="58">
        <f t="shared" si="10"/>
        <v>0</v>
      </c>
      <c r="I333" s="59"/>
      <c r="J333" s="17">
        <f>SUM(J364)</f>
        <v>0</v>
      </c>
      <c r="K333" s="17">
        <f>SUM(K364)</f>
        <v>0</v>
      </c>
      <c r="L333" s="358"/>
    </row>
    <row r="334" spans="1:12" hidden="1">
      <c r="A334" s="2338"/>
      <c r="B334" s="2340" t="s">
        <v>122</v>
      </c>
      <c r="C334" s="60" t="s">
        <v>125</v>
      </c>
      <c r="D334" s="61"/>
      <c r="E334" s="23">
        <f>SUM(E335,E344)</f>
        <v>0</v>
      </c>
      <c r="F334" s="23">
        <f>SUM(F335,F344)</f>
        <v>0</v>
      </c>
      <c r="G334" s="23">
        <f>SUM(G335,G344)</f>
        <v>0</v>
      </c>
      <c r="H334" s="23">
        <f>SUM(H335,H344)</f>
        <v>0</v>
      </c>
      <c r="I334" s="62"/>
      <c r="J334" s="23">
        <f>SUM(J335,J344)</f>
        <v>0</v>
      </c>
      <c r="K334" s="23">
        <f>SUM(K335,K344)</f>
        <v>0</v>
      </c>
      <c r="L334" s="2259" t="s">
        <v>126</v>
      </c>
    </row>
    <row r="335" spans="1:12" hidden="1">
      <c r="A335" s="2338"/>
      <c r="B335" s="2340"/>
      <c r="C335" s="26" t="s">
        <v>18</v>
      </c>
      <c r="D335" s="63"/>
      <c r="E335" s="28">
        <f>SUM(E336,E339,E340,E341,E342,E343)</f>
        <v>0</v>
      </c>
      <c r="F335" s="28">
        <f>SUM(F336,F339,F340,F341,F342,F343)</f>
        <v>0</v>
      </c>
      <c r="G335" s="28">
        <f>SUM(G336,G339,G340,G341,G342,G343)</f>
        <v>0</v>
      </c>
      <c r="H335" s="28">
        <f>SUM(H336,H339,H340,H341,H342,H343)</f>
        <v>0</v>
      </c>
      <c r="I335" s="64"/>
      <c r="J335" s="28">
        <f>SUM(J336,J339,J340,J341,J342,J343)</f>
        <v>0</v>
      </c>
      <c r="K335" s="28">
        <f>SUM(K336,K339,K340,K341,K342,K343)</f>
        <v>0</v>
      </c>
      <c r="L335" s="2312"/>
    </row>
    <row r="336" spans="1:12" hidden="1">
      <c r="A336" s="2338"/>
      <c r="B336" s="2340"/>
      <c r="C336" s="52" t="s">
        <v>19</v>
      </c>
      <c r="D336" s="65"/>
      <c r="E336" s="66"/>
      <c r="F336" s="66"/>
      <c r="G336" s="66"/>
      <c r="H336" s="66"/>
      <c r="I336" s="67"/>
      <c r="J336" s="66"/>
      <c r="K336" s="66"/>
      <c r="L336" s="2312"/>
    </row>
    <row r="337" spans="1:12" hidden="1">
      <c r="A337" s="2338"/>
      <c r="B337" s="2340"/>
      <c r="C337" s="52" t="s">
        <v>20</v>
      </c>
      <c r="D337" s="65"/>
      <c r="E337" s="66"/>
      <c r="F337" s="66"/>
      <c r="G337" s="32"/>
      <c r="H337" s="32"/>
      <c r="I337" s="67"/>
      <c r="J337" s="32"/>
      <c r="K337" s="32"/>
      <c r="L337" s="2312"/>
    </row>
    <row r="338" spans="1:12" ht="12.75" hidden="1" customHeight="1">
      <c r="A338" s="2338"/>
      <c r="B338" s="2340"/>
      <c r="C338" s="68" t="s">
        <v>21</v>
      </c>
      <c r="D338" s="69"/>
      <c r="E338" s="70"/>
      <c r="F338" s="70"/>
      <c r="G338" s="70" t="e">
        <f>SUM(#REF!)</f>
        <v>#REF!</v>
      </c>
      <c r="H338" s="70"/>
      <c r="I338" s="67"/>
      <c r="J338" s="70"/>
      <c r="K338" s="70"/>
      <c r="L338" s="2312"/>
    </row>
    <row r="339" spans="1:12" hidden="1">
      <c r="A339" s="2338"/>
      <c r="B339" s="2340"/>
      <c r="C339" s="52" t="s">
        <v>23</v>
      </c>
      <c r="D339" s="71"/>
      <c r="E339" s="66"/>
      <c r="F339" s="66"/>
      <c r="G339" s="32"/>
      <c r="H339" s="32"/>
      <c r="I339" s="67"/>
      <c r="J339" s="32"/>
      <c r="K339" s="32"/>
      <c r="L339" s="2312"/>
    </row>
    <row r="340" spans="1:12" hidden="1">
      <c r="A340" s="2338"/>
      <c r="B340" s="2340"/>
      <c r="C340" s="52" t="s">
        <v>24</v>
      </c>
      <c r="D340" s="65"/>
      <c r="E340" s="66"/>
      <c r="F340" s="66"/>
      <c r="G340" s="32"/>
      <c r="H340" s="32"/>
      <c r="I340" s="67"/>
      <c r="J340" s="32"/>
      <c r="K340" s="32"/>
      <c r="L340" s="2312"/>
    </row>
    <row r="341" spans="1:12" ht="22.5" hidden="1">
      <c r="A341" s="2338"/>
      <c r="B341" s="2340"/>
      <c r="C341" s="41" t="s">
        <v>45</v>
      </c>
      <c r="D341" s="72"/>
      <c r="E341" s="70"/>
      <c r="F341" s="70"/>
      <c r="G341" s="32"/>
      <c r="H341" s="32"/>
      <c r="I341" s="67"/>
      <c r="J341" s="32"/>
      <c r="K341" s="32"/>
      <c r="L341" s="2312"/>
    </row>
    <row r="342" spans="1:12" hidden="1">
      <c r="A342" s="2338"/>
      <c r="B342" s="2340"/>
      <c r="C342" s="52" t="s">
        <v>26</v>
      </c>
      <c r="D342" s="65"/>
      <c r="E342" s="66"/>
      <c r="F342" s="66"/>
      <c r="G342" s="32"/>
      <c r="H342" s="32"/>
      <c r="I342" s="67"/>
      <c r="J342" s="32"/>
      <c r="K342" s="32"/>
      <c r="L342" s="2312"/>
    </row>
    <row r="343" spans="1:12" hidden="1">
      <c r="A343" s="2338"/>
      <c r="B343" s="2340"/>
      <c r="C343" s="52" t="s">
        <v>27</v>
      </c>
      <c r="D343" s="65"/>
      <c r="E343" s="66"/>
      <c r="F343" s="66"/>
      <c r="G343" s="32"/>
      <c r="H343" s="32"/>
      <c r="I343" s="67"/>
      <c r="J343" s="32"/>
      <c r="K343" s="32"/>
      <c r="L343" s="2312"/>
    </row>
    <row r="344" spans="1:12" hidden="1">
      <c r="A344" s="2338"/>
      <c r="B344" s="2340"/>
      <c r="C344" s="54" t="s">
        <v>28</v>
      </c>
      <c r="D344" s="73"/>
      <c r="E344" s="74">
        <f>SUM(E345,E347,E348)</f>
        <v>0</v>
      </c>
      <c r="F344" s="74">
        <f>SUM(F345,F347,F348)</f>
        <v>0</v>
      </c>
      <c r="G344" s="74">
        <f>SUM(G345,G347,G348)</f>
        <v>0</v>
      </c>
      <c r="H344" s="74">
        <f>SUM(H345,H347,H348)</f>
        <v>0</v>
      </c>
      <c r="I344" s="67"/>
      <c r="J344" s="74">
        <f>SUM(J345,J347,J348)</f>
        <v>0</v>
      </c>
      <c r="K344" s="74">
        <f>SUM(K345,K347,K348)</f>
        <v>0</v>
      </c>
      <c r="L344" s="2312"/>
    </row>
    <row r="345" spans="1:12" hidden="1">
      <c r="A345" s="2338"/>
      <c r="B345" s="2340"/>
      <c r="C345" s="52" t="s">
        <v>29</v>
      </c>
      <c r="D345" s="217"/>
      <c r="E345" s="66"/>
      <c r="F345" s="66"/>
      <c r="G345" s="32"/>
      <c r="H345" s="32"/>
      <c r="I345" s="67"/>
      <c r="J345" s="32"/>
      <c r="K345" s="32"/>
      <c r="L345" s="2312"/>
    </row>
    <row r="346" spans="1:12" ht="22.5" hidden="1">
      <c r="A346" s="2338"/>
      <c r="B346" s="2340"/>
      <c r="C346" s="41" t="s">
        <v>46</v>
      </c>
      <c r="D346" s="72"/>
      <c r="E346" s="70"/>
      <c r="F346" s="70"/>
      <c r="G346" s="32"/>
      <c r="H346" s="32"/>
      <c r="I346" s="67"/>
      <c r="J346" s="32"/>
      <c r="K346" s="32"/>
      <c r="L346" s="2312"/>
    </row>
    <row r="347" spans="1:12" hidden="1">
      <c r="A347" s="2338"/>
      <c r="B347" s="2340"/>
      <c r="C347" s="52" t="s">
        <v>31</v>
      </c>
      <c r="D347" s="65"/>
      <c r="E347" s="66"/>
      <c r="F347" s="66"/>
      <c r="G347" s="32"/>
      <c r="H347" s="32"/>
      <c r="I347" s="67"/>
      <c r="J347" s="32"/>
      <c r="K347" s="32"/>
      <c r="L347" s="2312"/>
    </row>
    <row r="348" spans="1:12" hidden="1">
      <c r="A348" s="2338"/>
      <c r="B348" s="2340"/>
      <c r="C348" s="52" t="s">
        <v>32</v>
      </c>
      <c r="D348" s="65"/>
      <c r="E348" s="66"/>
      <c r="F348" s="66"/>
      <c r="G348" s="28"/>
      <c r="H348" s="28"/>
      <c r="I348" s="67"/>
      <c r="J348" s="28"/>
      <c r="K348" s="28"/>
      <c r="L348" s="2313"/>
    </row>
    <row r="349" spans="1:12">
      <c r="A349" s="2338"/>
      <c r="B349" s="2340" t="s">
        <v>122</v>
      </c>
      <c r="C349" s="60" t="s">
        <v>125</v>
      </c>
      <c r="D349" s="61"/>
      <c r="E349" s="23">
        <f>SUM(E350,E359)</f>
        <v>0</v>
      </c>
      <c r="F349" s="23">
        <f>SUM(F350,F359)</f>
        <v>12000</v>
      </c>
      <c r="G349" s="23">
        <f>SUM(G350,G359)</f>
        <v>0</v>
      </c>
      <c r="H349" s="23">
        <f>SUM(H350,H359)</f>
        <v>0</v>
      </c>
      <c r="I349" s="62"/>
      <c r="J349" s="23">
        <f>SUM(J350,J359)</f>
        <v>0</v>
      </c>
      <c r="K349" s="23">
        <f>SUM(K350,K359)</f>
        <v>0</v>
      </c>
      <c r="L349" s="2303"/>
    </row>
    <row r="350" spans="1:12">
      <c r="A350" s="2338"/>
      <c r="B350" s="2340"/>
      <c r="C350" s="26" t="s">
        <v>18</v>
      </c>
      <c r="D350" s="63"/>
      <c r="E350" s="28">
        <f>SUM(E351,E354,E355,E356,E357,E358)</f>
        <v>0</v>
      </c>
      <c r="F350" s="28">
        <f>SUM(F351,F354,F355,F356,F357,F358)</f>
        <v>0</v>
      </c>
      <c r="G350" s="28">
        <f>SUM(G351,G354,G355,G356,G357,G358)</f>
        <v>0</v>
      </c>
      <c r="H350" s="28">
        <f>SUM(H351,H354,H355,H356,H357,H358)</f>
        <v>0</v>
      </c>
      <c r="I350" s="64"/>
      <c r="J350" s="28">
        <f>SUM(J351,J354,J355,J356,J357,J358)</f>
        <v>0</v>
      </c>
      <c r="K350" s="28">
        <f>SUM(K351,K354,K355,K356,K357,K358)</f>
        <v>0</v>
      </c>
      <c r="L350" s="2304"/>
    </row>
    <row r="351" spans="1:12">
      <c r="A351" s="2338"/>
      <c r="B351" s="2340"/>
      <c r="C351" s="52" t="s">
        <v>19</v>
      </c>
      <c r="D351" s="65"/>
      <c r="E351" s="66"/>
      <c r="F351" s="66"/>
      <c r="G351" s="66"/>
      <c r="H351" s="66"/>
      <c r="I351" s="67"/>
      <c r="J351" s="66"/>
      <c r="K351" s="66"/>
      <c r="L351" s="2304"/>
    </row>
    <row r="352" spans="1:12">
      <c r="A352" s="2338"/>
      <c r="B352" s="2340"/>
      <c r="C352" s="52" t="s">
        <v>20</v>
      </c>
      <c r="D352" s="65"/>
      <c r="E352" s="66"/>
      <c r="F352" s="66"/>
      <c r="G352" s="32"/>
      <c r="H352" s="32"/>
      <c r="I352" s="67"/>
      <c r="J352" s="32"/>
      <c r="K352" s="32"/>
      <c r="L352" s="2304"/>
    </row>
    <row r="353" spans="1:12">
      <c r="A353" s="2338"/>
      <c r="B353" s="2340"/>
      <c r="C353" s="68" t="s">
        <v>21</v>
      </c>
      <c r="D353" s="69"/>
      <c r="E353" s="70"/>
      <c r="F353" s="70"/>
      <c r="G353" s="70" t="e">
        <f>SUM(#REF!)</f>
        <v>#REF!</v>
      </c>
      <c r="H353" s="70"/>
      <c r="I353" s="67"/>
      <c r="J353" s="70"/>
      <c r="K353" s="70"/>
      <c r="L353" s="2304"/>
    </row>
    <row r="354" spans="1:12">
      <c r="A354" s="2338"/>
      <c r="B354" s="2340"/>
      <c r="C354" s="52" t="s">
        <v>23</v>
      </c>
      <c r="D354" s="71"/>
      <c r="E354" s="66"/>
      <c r="F354" s="66"/>
      <c r="G354" s="32"/>
      <c r="H354" s="32"/>
      <c r="I354" s="67"/>
      <c r="J354" s="32"/>
      <c r="K354" s="32"/>
      <c r="L354" s="2304"/>
    </row>
    <row r="355" spans="1:12">
      <c r="A355" s="2338"/>
      <c r="B355" s="2340"/>
      <c r="C355" s="52" t="s">
        <v>24</v>
      </c>
      <c r="D355" s="65"/>
      <c r="E355" s="66"/>
      <c r="F355" s="66"/>
      <c r="G355" s="32"/>
      <c r="H355" s="32"/>
      <c r="I355" s="67"/>
      <c r="J355" s="32"/>
      <c r="K355" s="32"/>
      <c r="L355" s="2304"/>
    </row>
    <row r="356" spans="1:12" ht="22.5">
      <c r="A356" s="2338"/>
      <c r="B356" s="2340"/>
      <c r="C356" s="41" t="s">
        <v>45</v>
      </c>
      <c r="D356" s="72"/>
      <c r="E356" s="70"/>
      <c r="F356" s="70"/>
      <c r="G356" s="32"/>
      <c r="H356" s="32"/>
      <c r="I356" s="67"/>
      <c r="J356" s="32"/>
      <c r="K356" s="32"/>
      <c r="L356" s="2304"/>
    </row>
    <row r="357" spans="1:12">
      <c r="A357" s="2338"/>
      <c r="B357" s="2340"/>
      <c r="C357" s="52" t="s">
        <v>26</v>
      </c>
      <c r="D357" s="65"/>
      <c r="E357" s="66"/>
      <c r="F357" s="66"/>
      <c r="G357" s="32"/>
      <c r="H357" s="32"/>
      <c r="I357" s="67"/>
      <c r="J357" s="32"/>
      <c r="K357" s="32"/>
      <c r="L357" s="2304"/>
    </row>
    <row r="358" spans="1:12">
      <c r="A358" s="2338"/>
      <c r="B358" s="2340"/>
      <c r="C358" s="52" t="s">
        <v>27</v>
      </c>
      <c r="D358" s="65"/>
      <c r="E358" s="66"/>
      <c r="F358" s="66"/>
      <c r="G358" s="32"/>
      <c r="H358" s="32"/>
      <c r="I358" s="67"/>
      <c r="J358" s="32"/>
      <c r="K358" s="32"/>
      <c r="L358" s="2304"/>
    </row>
    <row r="359" spans="1:12">
      <c r="A359" s="2338"/>
      <c r="B359" s="2340"/>
      <c r="C359" s="54" t="s">
        <v>28</v>
      </c>
      <c r="D359" s="73"/>
      <c r="E359" s="74">
        <f>SUM(E360,E362,E363)</f>
        <v>0</v>
      </c>
      <c r="F359" s="74">
        <f>SUM(F360,F362,F363)</f>
        <v>12000</v>
      </c>
      <c r="G359" s="74">
        <f>SUM(G360,G362,G363)</f>
        <v>0</v>
      </c>
      <c r="H359" s="74">
        <f>SUM(H360,H362,H363)</f>
        <v>0</v>
      </c>
      <c r="I359" s="67"/>
      <c r="J359" s="74">
        <f>SUM(J360,J362,J363)</f>
        <v>0</v>
      </c>
      <c r="K359" s="74">
        <f>SUM(K360,K362,K363)</f>
        <v>0</v>
      </c>
      <c r="L359" s="2304"/>
    </row>
    <row r="360" spans="1:12">
      <c r="A360" s="2338"/>
      <c r="B360" s="2340"/>
      <c r="C360" s="52" t="s">
        <v>29</v>
      </c>
      <c r="D360" s="217">
        <v>6300</v>
      </c>
      <c r="E360" s="66"/>
      <c r="F360" s="66">
        <v>12000</v>
      </c>
      <c r="G360" s="32"/>
      <c r="H360" s="32"/>
      <c r="I360" s="67"/>
      <c r="J360" s="32"/>
      <c r="K360" s="32"/>
      <c r="L360" s="2304"/>
    </row>
    <row r="361" spans="1:12" ht="22.5">
      <c r="A361" s="2338"/>
      <c r="B361" s="2340"/>
      <c r="C361" s="41" t="s">
        <v>46</v>
      </c>
      <c r="D361" s="72"/>
      <c r="E361" s="70"/>
      <c r="F361" s="70"/>
      <c r="G361" s="32"/>
      <c r="H361" s="32"/>
      <c r="I361" s="67"/>
      <c r="J361" s="32"/>
      <c r="K361" s="32"/>
      <c r="L361" s="2304"/>
    </row>
    <row r="362" spans="1:12">
      <c r="A362" s="2338"/>
      <c r="B362" s="2340"/>
      <c r="C362" s="52" t="s">
        <v>31</v>
      </c>
      <c r="D362" s="65"/>
      <c r="E362" s="66"/>
      <c r="F362" s="66"/>
      <c r="G362" s="32"/>
      <c r="H362" s="32"/>
      <c r="I362" s="67"/>
      <c r="J362" s="32"/>
      <c r="K362" s="32"/>
      <c r="L362" s="2304"/>
    </row>
    <row r="363" spans="1:12">
      <c r="A363" s="2338"/>
      <c r="B363" s="2340"/>
      <c r="C363" s="52" t="s">
        <v>32</v>
      </c>
      <c r="D363" s="65"/>
      <c r="E363" s="66"/>
      <c r="F363" s="66"/>
      <c r="G363" s="28"/>
      <c r="H363" s="28"/>
      <c r="I363" s="67"/>
      <c r="J363" s="28"/>
      <c r="K363" s="28"/>
      <c r="L363" s="2305"/>
    </row>
    <row r="364" spans="1:12" ht="12.75" customHeight="1">
      <c r="A364" s="2338"/>
      <c r="B364" s="2340" t="s">
        <v>71</v>
      </c>
      <c r="C364" s="60" t="s">
        <v>17</v>
      </c>
      <c r="D364" s="61"/>
      <c r="E364" s="23">
        <f>SUM(E365,E374)</f>
        <v>0</v>
      </c>
      <c r="F364" s="23">
        <f>SUM(F365,F374)</f>
        <v>84000</v>
      </c>
      <c r="G364" s="23">
        <f>SUM(G365,G374)</f>
        <v>0</v>
      </c>
      <c r="H364" s="23">
        <f>SUM(H365,H374)</f>
        <v>0</v>
      </c>
      <c r="I364" s="62"/>
      <c r="J364" s="23">
        <f>SUM(J365,J374)</f>
        <v>0</v>
      </c>
      <c r="K364" s="23">
        <f>SUM(K365,K374)</f>
        <v>0</v>
      </c>
      <c r="L364" s="2309"/>
    </row>
    <row r="365" spans="1:12" ht="12.75" customHeight="1">
      <c r="A365" s="2338"/>
      <c r="B365" s="2340"/>
      <c r="C365" s="26" t="s">
        <v>18</v>
      </c>
      <c r="D365" s="63"/>
      <c r="E365" s="28">
        <f>SUM(E366,E369,E370,E371,E372,E373)</f>
        <v>0</v>
      </c>
      <c r="F365" s="28">
        <f>SUM(F366,F369,F370,F371,F372,F373)</f>
        <v>24000</v>
      </c>
      <c r="G365" s="28">
        <f>SUM(G366,G369,G370,G371,G372,G373)</f>
        <v>0</v>
      </c>
      <c r="H365" s="28">
        <f>SUM(H366,H369,H370,H371,H372,H373)</f>
        <v>0</v>
      </c>
      <c r="I365" s="64"/>
      <c r="J365" s="28">
        <f>SUM(J366,J369,J370,J371,J372,J373)</f>
        <v>0</v>
      </c>
      <c r="K365" s="28">
        <f>SUM(K366,K369,K370,K371,K372,K373)</f>
        <v>0</v>
      </c>
      <c r="L365" s="2310"/>
    </row>
    <row r="366" spans="1:12" ht="12.75" customHeight="1">
      <c r="A366" s="2338"/>
      <c r="B366" s="2340"/>
      <c r="C366" s="52" t="s">
        <v>19</v>
      </c>
      <c r="D366" s="65"/>
      <c r="E366" s="66"/>
      <c r="F366" s="66"/>
      <c r="G366" s="66"/>
      <c r="H366" s="66"/>
      <c r="I366" s="67"/>
      <c r="J366" s="66"/>
      <c r="K366" s="66"/>
      <c r="L366" s="2310"/>
    </row>
    <row r="367" spans="1:12" ht="12.75" customHeight="1">
      <c r="A367" s="2338"/>
      <c r="B367" s="2340"/>
      <c r="C367" s="52" t="s">
        <v>20</v>
      </c>
      <c r="D367" s="65"/>
      <c r="E367" s="66"/>
      <c r="F367" s="66"/>
      <c r="G367" s="32"/>
      <c r="H367" s="32"/>
      <c r="I367" s="67"/>
      <c r="J367" s="32"/>
      <c r="K367" s="32"/>
      <c r="L367" s="2310"/>
    </row>
    <row r="368" spans="1:12" ht="12.75" customHeight="1">
      <c r="A368" s="2338"/>
      <c r="B368" s="2340"/>
      <c r="C368" s="68" t="s">
        <v>21</v>
      </c>
      <c r="D368" s="69"/>
      <c r="E368" s="70"/>
      <c r="F368" s="70"/>
      <c r="G368" s="70" t="e">
        <f>SUM(#REF!)</f>
        <v>#REF!</v>
      </c>
      <c r="H368" s="70"/>
      <c r="I368" s="67"/>
      <c r="J368" s="70"/>
      <c r="K368" s="70"/>
      <c r="L368" s="2310"/>
    </row>
    <row r="369" spans="1:12" ht="12.75" customHeight="1">
      <c r="A369" s="2338"/>
      <c r="B369" s="2340"/>
      <c r="C369" s="52" t="s">
        <v>23</v>
      </c>
      <c r="D369" s="71">
        <v>2710</v>
      </c>
      <c r="E369" s="66"/>
      <c r="F369" s="66">
        <v>24000</v>
      </c>
      <c r="G369" s="32"/>
      <c r="H369" s="32"/>
      <c r="I369" s="67"/>
      <c r="J369" s="32"/>
      <c r="K369" s="32"/>
      <c r="L369" s="2310"/>
    </row>
    <row r="370" spans="1:12" ht="12.75" customHeight="1">
      <c r="A370" s="2338"/>
      <c r="B370" s="2340"/>
      <c r="C370" s="52" t="s">
        <v>24</v>
      </c>
      <c r="D370" s="65"/>
      <c r="E370" s="66"/>
      <c r="F370" s="66"/>
      <c r="G370" s="32"/>
      <c r="H370" s="32"/>
      <c r="I370" s="67"/>
      <c r="J370" s="32"/>
      <c r="K370" s="32"/>
      <c r="L370" s="2310"/>
    </row>
    <row r="371" spans="1:12" ht="22.5">
      <c r="A371" s="2338"/>
      <c r="B371" s="2340"/>
      <c r="C371" s="41" t="s">
        <v>45</v>
      </c>
      <c r="D371" s="72"/>
      <c r="E371" s="70"/>
      <c r="F371" s="70"/>
      <c r="G371" s="32"/>
      <c r="H371" s="32"/>
      <c r="I371" s="67"/>
      <c r="J371" s="32"/>
      <c r="K371" s="32"/>
      <c r="L371" s="2310"/>
    </row>
    <row r="372" spans="1:12" ht="12.75" customHeight="1">
      <c r="A372" s="2338"/>
      <c r="B372" s="2340"/>
      <c r="C372" s="52" t="s">
        <v>26</v>
      </c>
      <c r="D372" s="65"/>
      <c r="E372" s="66"/>
      <c r="F372" s="66"/>
      <c r="G372" s="32"/>
      <c r="H372" s="32"/>
      <c r="I372" s="67"/>
      <c r="J372" s="32"/>
      <c r="K372" s="32"/>
      <c r="L372" s="2310"/>
    </row>
    <row r="373" spans="1:12" ht="12.75" customHeight="1">
      <c r="A373" s="2338"/>
      <c r="B373" s="2340"/>
      <c r="C373" s="52" t="s">
        <v>27</v>
      </c>
      <c r="D373" s="65"/>
      <c r="E373" s="66"/>
      <c r="F373" s="66"/>
      <c r="G373" s="32"/>
      <c r="H373" s="32"/>
      <c r="I373" s="67"/>
      <c r="J373" s="32"/>
      <c r="K373" s="32"/>
      <c r="L373" s="2310"/>
    </row>
    <row r="374" spans="1:12" ht="12.75" customHeight="1">
      <c r="A374" s="2338"/>
      <c r="B374" s="2340"/>
      <c r="C374" s="54" t="s">
        <v>28</v>
      </c>
      <c r="D374" s="73"/>
      <c r="E374" s="74">
        <f>SUM(E375,E377,E378)</f>
        <v>0</v>
      </c>
      <c r="F374" s="74">
        <f>SUM(F375,F377,F378)</f>
        <v>60000</v>
      </c>
      <c r="G374" s="74">
        <f>SUM(G375,G377,G378)</f>
        <v>0</v>
      </c>
      <c r="H374" s="74">
        <f>SUM(H375,H377,H378)</f>
        <v>0</v>
      </c>
      <c r="I374" s="67"/>
      <c r="J374" s="74">
        <f>SUM(J375,J377,J378)</f>
        <v>0</v>
      </c>
      <c r="K374" s="74">
        <f>SUM(K375,K377,K378)</f>
        <v>0</v>
      </c>
      <c r="L374" s="2310"/>
    </row>
    <row r="375" spans="1:12" ht="12.75" customHeight="1">
      <c r="A375" s="2338"/>
      <c r="B375" s="2340"/>
      <c r="C375" s="52" t="s">
        <v>29</v>
      </c>
      <c r="D375" s="217">
        <v>6300</v>
      </c>
      <c r="E375" s="66"/>
      <c r="F375" s="66">
        <v>60000</v>
      </c>
      <c r="G375" s="32"/>
      <c r="H375" s="32"/>
      <c r="I375" s="67"/>
      <c r="J375" s="32"/>
      <c r="K375" s="32"/>
      <c r="L375" s="2310"/>
    </row>
    <row r="376" spans="1:12" ht="22.5">
      <c r="A376" s="2338"/>
      <c r="B376" s="2340"/>
      <c r="C376" s="41" t="s">
        <v>46</v>
      </c>
      <c r="D376" s="72"/>
      <c r="E376" s="70"/>
      <c r="F376" s="70"/>
      <c r="G376" s="32"/>
      <c r="H376" s="32"/>
      <c r="I376" s="67"/>
      <c r="J376" s="32"/>
      <c r="K376" s="32"/>
      <c r="L376" s="2310"/>
    </row>
    <row r="377" spans="1:12" ht="12.75" customHeight="1">
      <c r="A377" s="2338"/>
      <c r="B377" s="2340"/>
      <c r="C377" s="52" t="s">
        <v>31</v>
      </c>
      <c r="D377" s="65"/>
      <c r="E377" s="66"/>
      <c r="F377" s="66"/>
      <c r="G377" s="32"/>
      <c r="H377" s="32"/>
      <c r="I377" s="67"/>
      <c r="J377" s="32"/>
      <c r="K377" s="32"/>
      <c r="L377" s="2310"/>
    </row>
    <row r="378" spans="1:12" ht="12.75" customHeight="1">
      <c r="A378" s="2338"/>
      <c r="B378" s="2340"/>
      <c r="C378" s="52" t="s">
        <v>32</v>
      </c>
      <c r="D378" s="65"/>
      <c r="E378" s="66"/>
      <c r="F378" s="66"/>
      <c r="G378" s="28"/>
      <c r="H378" s="28"/>
      <c r="I378" s="67"/>
      <c r="J378" s="28"/>
      <c r="K378" s="28"/>
      <c r="L378" s="2311"/>
    </row>
    <row r="379" spans="1:12" s="95" customFormat="1">
      <c r="A379" s="14" t="s">
        <v>72</v>
      </c>
      <c r="B379" s="84"/>
      <c r="C379" s="85" t="s">
        <v>73</v>
      </c>
      <c r="D379" s="85"/>
      <c r="E379" s="86">
        <f>SUM(E380,E395,E410,E440)</f>
        <v>0</v>
      </c>
      <c r="F379" s="86">
        <f>SUM(F380,F395,F410,F440,F425)</f>
        <v>527115</v>
      </c>
      <c r="G379" s="86">
        <f>SUM(G380,G395,G410,G440)</f>
        <v>0</v>
      </c>
      <c r="H379" s="86">
        <f>SUM(H380,H395,H410,H440)</f>
        <v>0</v>
      </c>
      <c r="I379" s="93"/>
      <c r="J379" s="94">
        <f>SUM(J395,J440,J380)</f>
        <v>0</v>
      </c>
      <c r="K379" s="94">
        <f>SUM(K395,K440,K380)</f>
        <v>0</v>
      </c>
      <c r="L379" s="215"/>
    </row>
    <row r="380" spans="1:12">
      <c r="A380" s="2331"/>
      <c r="B380" s="2334" t="s">
        <v>117</v>
      </c>
      <c r="C380" s="60" t="s">
        <v>118</v>
      </c>
      <c r="D380" s="61"/>
      <c r="E380" s="23">
        <f>SUM(E381,E390)</f>
        <v>0</v>
      </c>
      <c r="F380" s="23">
        <f>SUM(F381,F390)</f>
        <v>35504</v>
      </c>
      <c r="G380" s="23">
        <f>SUM(G381,G390)</f>
        <v>0</v>
      </c>
      <c r="H380" s="23">
        <f>SUM(H381,H390)</f>
        <v>0</v>
      </c>
      <c r="I380" s="62"/>
      <c r="J380" s="23">
        <f>SUM(J381,J390)</f>
        <v>0</v>
      </c>
      <c r="K380" s="23">
        <f>SUM(K381,K390)</f>
        <v>0</v>
      </c>
      <c r="L380" s="2303"/>
    </row>
    <row r="381" spans="1:12">
      <c r="A381" s="2332"/>
      <c r="B381" s="2335"/>
      <c r="C381" s="26" t="s">
        <v>18</v>
      </c>
      <c r="D381" s="63"/>
      <c r="E381" s="28">
        <f>SUM(E382,E385,E386,E387,E388,E389)</f>
        <v>0</v>
      </c>
      <c r="F381" s="28">
        <f>SUM(F382,F385,F386,F387,F388,F389)</f>
        <v>23504</v>
      </c>
      <c r="G381" s="28">
        <f>SUM(G382,G385,G386,G387,G388,G389)</f>
        <v>0</v>
      </c>
      <c r="H381" s="28">
        <f>SUM(H382,H385,H386,H387,H388,H389)</f>
        <v>0</v>
      </c>
      <c r="I381" s="64"/>
      <c r="J381" s="28">
        <f>SUM(J382,J385,J386,J387,J388,J389)</f>
        <v>0</v>
      </c>
      <c r="K381" s="28">
        <f>SUM(K382,K385,K386,K387,K388,K389)</f>
        <v>0</v>
      </c>
      <c r="L381" s="2304"/>
    </row>
    <row r="382" spans="1:12">
      <c r="A382" s="2332"/>
      <c r="B382" s="2335"/>
      <c r="C382" s="52" t="s">
        <v>19</v>
      </c>
      <c r="D382" s="65"/>
      <c r="E382" s="66"/>
      <c r="F382" s="66"/>
      <c r="G382" s="66"/>
      <c r="H382" s="66"/>
      <c r="I382" s="67"/>
      <c r="J382" s="66"/>
      <c r="K382" s="66"/>
      <c r="L382" s="2304"/>
    </row>
    <row r="383" spans="1:12">
      <c r="A383" s="2332"/>
      <c r="B383" s="2335"/>
      <c r="C383" s="52" t="s">
        <v>20</v>
      </c>
      <c r="D383" s="65"/>
      <c r="E383" s="66"/>
      <c r="F383" s="66"/>
      <c r="G383" s="32"/>
      <c r="H383" s="32"/>
      <c r="I383" s="67"/>
      <c r="J383" s="32"/>
      <c r="K383" s="32"/>
      <c r="L383" s="2304"/>
    </row>
    <row r="384" spans="1:12">
      <c r="A384" s="2332"/>
      <c r="B384" s="2335"/>
      <c r="C384" s="68" t="s">
        <v>21</v>
      </c>
      <c r="D384" s="69"/>
      <c r="E384" s="70"/>
      <c r="F384" s="70"/>
      <c r="G384" s="70" t="e">
        <f>SUM(#REF!)</f>
        <v>#REF!</v>
      </c>
      <c r="H384" s="70"/>
      <c r="I384" s="67"/>
      <c r="J384" s="70"/>
      <c r="K384" s="70"/>
      <c r="L384" s="2304"/>
    </row>
    <row r="385" spans="1:12">
      <c r="A385" s="2332"/>
      <c r="B385" s="2335"/>
      <c r="C385" s="52" t="s">
        <v>23</v>
      </c>
      <c r="D385" s="71">
        <v>2710</v>
      </c>
      <c r="E385" s="66"/>
      <c r="F385" s="66">
        <v>23504</v>
      </c>
      <c r="G385" s="32"/>
      <c r="H385" s="32"/>
      <c r="I385" s="67"/>
      <c r="J385" s="32"/>
      <c r="K385" s="32"/>
      <c r="L385" s="2304"/>
    </row>
    <row r="386" spans="1:12">
      <c r="A386" s="2332"/>
      <c r="B386" s="2335"/>
      <c r="C386" s="52" t="s">
        <v>24</v>
      </c>
      <c r="D386" s="65"/>
      <c r="E386" s="66"/>
      <c r="F386" s="66"/>
      <c r="G386" s="32"/>
      <c r="H386" s="32"/>
      <c r="I386" s="67"/>
      <c r="J386" s="32"/>
      <c r="K386" s="32"/>
      <c r="L386" s="2304"/>
    </row>
    <row r="387" spans="1:12" ht="22.5">
      <c r="A387" s="2332"/>
      <c r="B387" s="2335"/>
      <c r="C387" s="41" t="s">
        <v>45</v>
      </c>
      <c r="D387" s="72"/>
      <c r="E387" s="70"/>
      <c r="F387" s="70"/>
      <c r="G387" s="32"/>
      <c r="H387" s="32"/>
      <c r="I387" s="67"/>
      <c r="J387" s="32"/>
      <c r="K387" s="32"/>
      <c r="L387" s="2304"/>
    </row>
    <row r="388" spans="1:12">
      <c r="A388" s="2332"/>
      <c r="B388" s="2335"/>
      <c r="C388" s="52" t="s">
        <v>26</v>
      </c>
      <c r="D388" s="65"/>
      <c r="E388" s="66"/>
      <c r="F388" s="66"/>
      <c r="G388" s="32"/>
      <c r="H388" s="32"/>
      <c r="I388" s="67"/>
      <c r="J388" s="32"/>
      <c r="K388" s="32"/>
      <c r="L388" s="2304"/>
    </row>
    <row r="389" spans="1:12">
      <c r="A389" s="2332"/>
      <c r="B389" s="2335"/>
      <c r="C389" s="52" t="s">
        <v>27</v>
      </c>
      <c r="D389" s="65"/>
      <c r="E389" s="66"/>
      <c r="F389" s="66"/>
      <c r="G389" s="32"/>
      <c r="H389" s="32"/>
      <c r="I389" s="67"/>
      <c r="J389" s="32"/>
      <c r="K389" s="32"/>
      <c r="L389" s="2304"/>
    </row>
    <row r="390" spans="1:12">
      <c r="A390" s="2332"/>
      <c r="B390" s="2335"/>
      <c r="C390" s="54" t="s">
        <v>28</v>
      </c>
      <c r="D390" s="73"/>
      <c r="E390" s="74">
        <f>SUM(E391,E393,E394)</f>
        <v>0</v>
      </c>
      <c r="F390" s="74">
        <f>SUM(F391,F393,F394)</f>
        <v>12000</v>
      </c>
      <c r="G390" s="74">
        <f>SUM(G391,G393,G394)</f>
        <v>0</v>
      </c>
      <c r="H390" s="74">
        <f>SUM(H391,H393,H394)</f>
        <v>0</v>
      </c>
      <c r="I390" s="67"/>
      <c r="J390" s="74">
        <f>SUM(J391,J393,J394)</f>
        <v>0</v>
      </c>
      <c r="K390" s="74">
        <f>SUM(K391,K393,K394)</f>
        <v>0</v>
      </c>
      <c r="L390" s="2304"/>
    </row>
    <row r="391" spans="1:12">
      <c r="A391" s="2332"/>
      <c r="B391" s="2335"/>
      <c r="C391" s="52" t="s">
        <v>29</v>
      </c>
      <c r="D391" s="71">
        <v>6300</v>
      </c>
      <c r="E391" s="66"/>
      <c r="F391" s="66">
        <v>12000</v>
      </c>
      <c r="G391" s="32"/>
      <c r="H391" s="32"/>
      <c r="I391" s="67"/>
      <c r="J391" s="32"/>
      <c r="K391" s="32"/>
      <c r="L391" s="2304"/>
    </row>
    <row r="392" spans="1:12" ht="22.5">
      <c r="A392" s="2332"/>
      <c r="B392" s="2335"/>
      <c r="C392" s="41" t="s">
        <v>46</v>
      </c>
      <c r="D392" s="72"/>
      <c r="E392" s="70"/>
      <c r="F392" s="70"/>
      <c r="G392" s="32"/>
      <c r="H392" s="32"/>
      <c r="I392" s="67"/>
      <c r="J392" s="32"/>
      <c r="K392" s="32"/>
      <c r="L392" s="2304"/>
    </row>
    <row r="393" spans="1:12">
      <c r="A393" s="2332"/>
      <c r="B393" s="2335"/>
      <c r="C393" s="52" t="s">
        <v>31</v>
      </c>
      <c r="D393" s="65"/>
      <c r="E393" s="66"/>
      <c r="F393" s="66"/>
      <c r="G393" s="32"/>
      <c r="H393" s="32"/>
      <c r="I393" s="67"/>
      <c r="J393" s="32"/>
      <c r="K393" s="32"/>
      <c r="L393" s="2304"/>
    </row>
    <row r="394" spans="1:12">
      <c r="A394" s="2333"/>
      <c r="B394" s="2336"/>
      <c r="C394" s="52" t="s">
        <v>32</v>
      </c>
      <c r="D394" s="65"/>
      <c r="E394" s="66"/>
      <c r="F394" s="66"/>
      <c r="G394" s="28"/>
      <c r="H394" s="28"/>
      <c r="I394" s="67"/>
      <c r="J394" s="28"/>
      <c r="K394" s="28"/>
      <c r="L394" s="2305"/>
    </row>
    <row r="395" spans="1:12" ht="12.75" customHeight="1">
      <c r="A395" s="2331"/>
      <c r="B395" s="2334" t="s">
        <v>74</v>
      </c>
      <c r="C395" s="60" t="s">
        <v>75</v>
      </c>
      <c r="D395" s="61"/>
      <c r="E395" s="23">
        <f>SUM(E396,E405)</f>
        <v>0</v>
      </c>
      <c r="F395" s="23">
        <f>SUM(F396,F405)</f>
        <v>286446</v>
      </c>
      <c r="G395" s="23">
        <f>SUM(G396,G405)</f>
        <v>0</v>
      </c>
      <c r="H395" s="23">
        <f>SUM(H396,H405)</f>
        <v>0</v>
      </c>
      <c r="I395" s="62"/>
      <c r="J395" s="23">
        <f>SUM(J396,J405)</f>
        <v>0</v>
      </c>
      <c r="K395" s="23">
        <f>SUM(K396,K405)</f>
        <v>0</v>
      </c>
      <c r="L395" s="2303"/>
    </row>
    <row r="396" spans="1:12" ht="12.75" customHeight="1">
      <c r="A396" s="2332"/>
      <c r="B396" s="2335"/>
      <c r="C396" s="26" t="s">
        <v>18</v>
      </c>
      <c r="D396" s="63"/>
      <c r="E396" s="28">
        <f>SUM(E397,E400,E401,E402,E403,E404)</f>
        <v>0</v>
      </c>
      <c r="F396" s="28">
        <f>SUM(F397,F400,F401,F402,F403,F404)</f>
        <v>169906</v>
      </c>
      <c r="G396" s="28">
        <f>SUM(G397,G400,G401,G402,G403,G404)</f>
        <v>0</v>
      </c>
      <c r="H396" s="28">
        <f>SUM(H397,H400,H401,H402,H403,H404)</f>
        <v>0</v>
      </c>
      <c r="I396" s="64"/>
      <c r="J396" s="28">
        <f>SUM(J397,J400,J401,J402,J403,J404)</f>
        <v>0</v>
      </c>
      <c r="K396" s="28">
        <f>SUM(K397,K400,K401,K402,K403,K404)</f>
        <v>0</v>
      </c>
      <c r="L396" s="2304"/>
    </row>
    <row r="397" spans="1:12" ht="12.75" customHeight="1">
      <c r="A397" s="2332"/>
      <c r="B397" s="2335"/>
      <c r="C397" s="52" t="s">
        <v>19</v>
      </c>
      <c r="D397" s="65"/>
      <c r="E397" s="66"/>
      <c r="F397" s="66"/>
      <c r="G397" s="66"/>
      <c r="H397" s="66"/>
      <c r="I397" s="67"/>
      <c r="J397" s="66"/>
      <c r="K397" s="66"/>
      <c r="L397" s="2304"/>
    </row>
    <row r="398" spans="1:12" ht="12.75" customHeight="1">
      <c r="A398" s="2332"/>
      <c r="B398" s="2335"/>
      <c r="C398" s="52" t="s">
        <v>20</v>
      </c>
      <c r="D398" s="65"/>
      <c r="E398" s="66"/>
      <c r="F398" s="66"/>
      <c r="G398" s="32"/>
      <c r="H398" s="32"/>
      <c r="I398" s="67"/>
      <c r="J398" s="32"/>
      <c r="K398" s="32"/>
      <c r="L398" s="2304"/>
    </row>
    <row r="399" spans="1:12" ht="12.75" customHeight="1">
      <c r="A399" s="2332"/>
      <c r="B399" s="2335"/>
      <c r="C399" s="68" t="s">
        <v>21</v>
      </c>
      <c r="D399" s="69"/>
      <c r="E399" s="70"/>
      <c r="F399" s="70"/>
      <c r="G399" s="70" t="e">
        <f>SUM(#REF!)</f>
        <v>#REF!</v>
      </c>
      <c r="H399" s="70"/>
      <c r="I399" s="67"/>
      <c r="J399" s="70"/>
      <c r="K399" s="70"/>
      <c r="L399" s="2304"/>
    </row>
    <row r="400" spans="1:12" ht="12.75" customHeight="1">
      <c r="A400" s="2332"/>
      <c r="B400" s="2335"/>
      <c r="C400" s="52" t="s">
        <v>23</v>
      </c>
      <c r="D400" s="71">
        <v>2710</v>
      </c>
      <c r="E400" s="66"/>
      <c r="F400" s="66">
        <v>169906</v>
      </c>
      <c r="G400" s="32"/>
      <c r="H400" s="32"/>
      <c r="I400" s="67"/>
      <c r="J400" s="32"/>
      <c r="K400" s="32"/>
      <c r="L400" s="2304"/>
    </row>
    <row r="401" spans="1:12" ht="12.75" customHeight="1">
      <c r="A401" s="2332"/>
      <c r="B401" s="2335"/>
      <c r="C401" s="52" t="s">
        <v>24</v>
      </c>
      <c r="D401" s="65"/>
      <c r="E401" s="66"/>
      <c r="F401" s="66"/>
      <c r="G401" s="32"/>
      <c r="H401" s="32"/>
      <c r="I401" s="67"/>
      <c r="J401" s="32"/>
      <c r="K401" s="32"/>
      <c r="L401" s="2304"/>
    </row>
    <row r="402" spans="1:12" ht="22.5">
      <c r="A402" s="2332"/>
      <c r="B402" s="2335"/>
      <c r="C402" s="41" t="s">
        <v>45</v>
      </c>
      <c r="D402" s="72"/>
      <c r="E402" s="70"/>
      <c r="F402" s="70"/>
      <c r="G402" s="32"/>
      <c r="H402" s="32"/>
      <c r="I402" s="67"/>
      <c r="J402" s="32"/>
      <c r="K402" s="32"/>
      <c r="L402" s="2304"/>
    </row>
    <row r="403" spans="1:12" ht="12.75" customHeight="1">
      <c r="A403" s="2332"/>
      <c r="B403" s="2335"/>
      <c r="C403" s="52" t="s">
        <v>26</v>
      </c>
      <c r="D403" s="65"/>
      <c r="E403" s="66"/>
      <c r="F403" s="66"/>
      <c r="G403" s="32"/>
      <c r="H403" s="32"/>
      <c r="I403" s="67"/>
      <c r="J403" s="32"/>
      <c r="K403" s="32"/>
      <c r="L403" s="2304"/>
    </row>
    <row r="404" spans="1:12" ht="12.75" customHeight="1">
      <c r="A404" s="2332"/>
      <c r="B404" s="2335"/>
      <c r="C404" s="52" t="s">
        <v>27</v>
      </c>
      <c r="D404" s="65"/>
      <c r="E404" s="66"/>
      <c r="F404" s="66"/>
      <c r="G404" s="32"/>
      <c r="H404" s="32"/>
      <c r="I404" s="67"/>
      <c r="J404" s="32"/>
      <c r="K404" s="32"/>
      <c r="L404" s="2304"/>
    </row>
    <row r="405" spans="1:12" ht="12.75" customHeight="1">
      <c r="A405" s="2332"/>
      <c r="B405" s="2335"/>
      <c r="C405" s="54" t="s">
        <v>28</v>
      </c>
      <c r="D405" s="73"/>
      <c r="E405" s="74">
        <f>SUM(E406,E408,E409)</f>
        <v>0</v>
      </c>
      <c r="F405" s="74">
        <f>SUM(F406,F408,F409)</f>
        <v>116540</v>
      </c>
      <c r="G405" s="74">
        <f>SUM(G406,G408,G409)</f>
        <v>0</v>
      </c>
      <c r="H405" s="74">
        <f>SUM(H406,H408,H409)</f>
        <v>0</v>
      </c>
      <c r="I405" s="67"/>
      <c r="J405" s="74">
        <f>SUM(J406,J408,J409)</f>
        <v>0</v>
      </c>
      <c r="K405" s="74">
        <f>SUM(K406,K408,K409)</f>
        <v>0</v>
      </c>
      <c r="L405" s="2304"/>
    </row>
    <row r="406" spans="1:12" ht="12.75" customHeight="1">
      <c r="A406" s="2332"/>
      <c r="B406" s="2335"/>
      <c r="C406" s="52" t="s">
        <v>29</v>
      </c>
      <c r="D406" s="71">
        <v>6300</v>
      </c>
      <c r="E406" s="66"/>
      <c r="F406" s="66">
        <v>116540</v>
      </c>
      <c r="G406" s="32"/>
      <c r="H406" s="32"/>
      <c r="I406" s="67"/>
      <c r="J406" s="32"/>
      <c r="K406" s="32"/>
      <c r="L406" s="2304"/>
    </row>
    <row r="407" spans="1:12" ht="22.5">
      <c r="A407" s="2332"/>
      <c r="B407" s="2335"/>
      <c r="C407" s="41" t="s">
        <v>46</v>
      </c>
      <c r="D407" s="72"/>
      <c r="E407" s="70"/>
      <c r="F407" s="70"/>
      <c r="G407" s="32"/>
      <c r="H407" s="32"/>
      <c r="I407" s="67"/>
      <c r="J407" s="32"/>
      <c r="K407" s="32"/>
      <c r="L407" s="2304"/>
    </row>
    <row r="408" spans="1:12" ht="12.75" customHeight="1">
      <c r="A408" s="2332"/>
      <c r="B408" s="2335"/>
      <c r="C408" s="52" t="s">
        <v>31</v>
      </c>
      <c r="D408" s="65"/>
      <c r="E408" s="66"/>
      <c r="F408" s="66"/>
      <c r="G408" s="32"/>
      <c r="H408" s="32"/>
      <c r="I408" s="67"/>
      <c r="J408" s="32"/>
      <c r="K408" s="32"/>
      <c r="L408" s="2304"/>
    </row>
    <row r="409" spans="1:12" ht="12.75" customHeight="1">
      <c r="A409" s="2333"/>
      <c r="B409" s="2336"/>
      <c r="C409" s="52" t="s">
        <v>32</v>
      </c>
      <c r="D409" s="65"/>
      <c r="E409" s="66"/>
      <c r="F409" s="66"/>
      <c r="G409" s="28"/>
      <c r="H409" s="28"/>
      <c r="I409" s="67"/>
      <c r="J409" s="28"/>
      <c r="K409" s="28"/>
      <c r="L409" s="2305"/>
    </row>
    <row r="410" spans="1:12" ht="13.5" customHeight="1">
      <c r="A410" s="2331"/>
      <c r="B410" s="2334" t="s">
        <v>140</v>
      </c>
      <c r="C410" s="60" t="s">
        <v>141</v>
      </c>
      <c r="D410" s="61"/>
      <c r="E410" s="23">
        <f>SUM(E411,E420)</f>
        <v>0</v>
      </c>
      <c r="F410" s="23">
        <f>SUM(F411,F420)</f>
        <v>9792</v>
      </c>
      <c r="G410" s="23">
        <f>SUM(G411,G420)</f>
        <v>0</v>
      </c>
      <c r="H410" s="23">
        <f>SUM(H411,H420)</f>
        <v>0</v>
      </c>
      <c r="I410" s="62"/>
      <c r="J410" s="23">
        <f>SUM(J411,J420)</f>
        <v>0</v>
      </c>
      <c r="K410" s="23">
        <f>SUM(K411,K420)</f>
        <v>0</v>
      </c>
      <c r="L410" s="2303"/>
    </row>
    <row r="411" spans="1:12">
      <c r="A411" s="2332"/>
      <c r="B411" s="2335"/>
      <c r="C411" s="26" t="s">
        <v>18</v>
      </c>
      <c r="D411" s="63"/>
      <c r="E411" s="28">
        <f>SUM(E412,E415,E416,E417,E418,E419)</f>
        <v>0</v>
      </c>
      <c r="F411" s="28">
        <f>SUM(F412,F415,F416,F417,F418,F419)</f>
        <v>9792</v>
      </c>
      <c r="G411" s="28">
        <f>SUM(G412,G415,G416,G417,G418,G419)</f>
        <v>0</v>
      </c>
      <c r="H411" s="28">
        <f>SUM(H412,H415,H416,H417,H418,H419)</f>
        <v>0</v>
      </c>
      <c r="I411" s="64"/>
      <c r="J411" s="28">
        <f>SUM(J412,J415,J416,J417,J418,J419)</f>
        <v>0</v>
      </c>
      <c r="K411" s="28">
        <f>SUM(K412,K415,K416,K417,K418,K419)</f>
        <v>0</v>
      </c>
      <c r="L411" s="2304"/>
    </row>
    <row r="412" spans="1:12">
      <c r="A412" s="2332"/>
      <c r="B412" s="2335"/>
      <c r="C412" s="52" t="s">
        <v>19</v>
      </c>
      <c r="D412" s="65"/>
      <c r="E412" s="66"/>
      <c r="F412" s="66"/>
      <c r="G412" s="66"/>
      <c r="H412" s="66"/>
      <c r="I412" s="67"/>
      <c r="J412" s="66"/>
      <c r="K412" s="66"/>
      <c r="L412" s="2304"/>
    </row>
    <row r="413" spans="1:12">
      <c r="A413" s="2332"/>
      <c r="B413" s="2335"/>
      <c r="C413" s="52" t="s">
        <v>20</v>
      </c>
      <c r="D413" s="65"/>
      <c r="E413" s="66"/>
      <c r="F413" s="66"/>
      <c r="G413" s="32"/>
      <c r="H413" s="32"/>
      <c r="I413" s="67"/>
      <c r="J413" s="32"/>
      <c r="K413" s="32"/>
      <c r="L413" s="2304"/>
    </row>
    <row r="414" spans="1:12">
      <c r="A414" s="2332"/>
      <c r="B414" s="2335"/>
      <c r="C414" s="68" t="s">
        <v>21</v>
      </c>
      <c r="D414" s="69"/>
      <c r="E414" s="70"/>
      <c r="F414" s="70"/>
      <c r="G414" s="70" t="e">
        <f>SUM(#REF!)</f>
        <v>#REF!</v>
      </c>
      <c r="H414" s="70"/>
      <c r="I414" s="67"/>
      <c r="J414" s="70"/>
      <c r="K414" s="70"/>
      <c r="L414" s="2304"/>
    </row>
    <row r="415" spans="1:12">
      <c r="A415" s="2332"/>
      <c r="B415" s="2335"/>
      <c r="C415" s="52" t="s">
        <v>23</v>
      </c>
      <c r="D415" s="71">
        <v>2710</v>
      </c>
      <c r="E415" s="66"/>
      <c r="F415" s="66">
        <v>9792</v>
      </c>
      <c r="G415" s="32"/>
      <c r="H415" s="32"/>
      <c r="I415" s="67"/>
      <c r="J415" s="32"/>
      <c r="K415" s="32"/>
      <c r="L415" s="2304"/>
    </row>
    <row r="416" spans="1:12">
      <c r="A416" s="2332"/>
      <c r="B416" s="2335"/>
      <c r="C416" s="52" t="s">
        <v>24</v>
      </c>
      <c r="D416" s="65"/>
      <c r="E416" s="66"/>
      <c r="F416" s="66"/>
      <c r="G416" s="32"/>
      <c r="H416" s="32"/>
      <c r="I416" s="67"/>
      <c r="J416" s="32"/>
      <c r="K416" s="32"/>
      <c r="L416" s="2304"/>
    </row>
    <row r="417" spans="1:12" ht="22.5">
      <c r="A417" s="2332"/>
      <c r="B417" s="2335"/>
      <c r="C417" s="41" t="s">
        <v>45</v>
      </c>
      <c r="D417" s="72"/>
      <c r="E417" s="70"/>
      <c r="F417" s="70"/>
      <c r="G417" s="32"/>
      <c r="H417" s="32"/>
      <c r="I417" s="67"/>
      <c r="J417" s="32"/>
      <c r="K417" s="32"/>
      <c r="L417" s="2304"/>
    </row>
    <row r="418" spans="1:12">
      <c r="A418" s="2332"/>
      <c r="B418" s="2335"/>
      <c r="C418" s="52" t="s">
        <v>26</v>
      </c>
      <c r="D418" s="65"/>
      <c r="E418" s="66"/>
      <c r="F418" s="66"/>
      <c r="G418" s="32"/>
      <c r="H418" s="32"/>
      <c r="I418" s="67"/>
      <c r="J418" s="32"/>
      <c r="K418" s="32"/>
      <c r="L418" s="2304"/>
    </row>
    <row r="419" spans="1:12">
      <c r="A419" s="2332"/>
      <c r="B419" s="2335"/>
      <c r="C419" s="52" t="s">
        <v>27</v>
      </c>
      <c r="D419" s="65"/>
      <c r="E419" s="66"/>
      <c r="F419" s="66"/>
      <c r="G419" s="32"/>
      <c r="H419" s="32"/>
      <c r="I419" s="67"/>
      <c r="J419" s="32"/>
      <c r="K419" s="32"/>
      <c r="L419" s="2304"/>
    </row>
    <row r="420" spans="1:12">
      <c r="A420" s="2332"/>
      <c r="B420" s="2335"/>
      <c r="C420" s="54" t="s">
        <v>28</v>
      </c>
      <c r="D420" s="73"/>
      <c r="E420" s="74">
        <f>SUM(E421,E423,E424)</f>
        <v>0</v>
      </c>
      <c r="F420" s="74">
        <f>SUM(F421,F423,F424)</f>
        <v>0</v>
      </c>
      <c r="G420" s="74">
        <f>SUM(G421,G423,G424)</f>
        <v>0</v>
      </c>
      <c r="H420" s="74">
        <f>SUM(H421,H423,H424)</f>
        <v>0</v>
      </c>
      <c r="I420" s="67"/>
      <c r="J420" s="74">
        <f>SUM(J421,J423,J424)</f>
        <v>0</v>
      </c>
      <c r="K420" s="74">
        <f>SUM(K421,K423,K424)</f>
        <v>0</v>
      </c>
      <c r="L420" s="2304"/>
    </row>
    <row r="421" spans="1:12">
      <c r="A421" s="2332"/>
      <c r="B421" s="2335"/>
      <c r="C421" s="52" t="s">
        <v>29</v>
      </c>
      <c r="D421" s="71"/>
      <c r="E421" s="66"/>
      <c r="F421" s="66"/>
      <c r="G421" s="32"/>
      <c r="H421" s="32"/>
      <c r="I421" s="67"/>
      <c r="J421" s="32"/>
      <c r="K421" s="32"/>
      <c r="L421" s="2304"/>
    </row>
    <row r="422" spans="1:12" ht="22.5">
      <c r="A422" s="2332"/>
      <c r="B422" s="2335"/>
      <c r="C422" s="41" t="s">
        <v>46</v>
      </c>
      <c r="D422" s="72"/>
      <c r="E422" s="70"/>
      <c r="F422" s="70"/>
      <c r="G422" s="32"/>
      <c r="H422" s="32"/>
      <c r="I422" s="67"/>
      <c r="J422" s="32"/>
      <c r="K422" s="32"/>
      <c r="L422" s="2304"/>
    </row>
    <row r="423" spans="1:12">
      <c r="A423" s="2332"/>
      <c r="B423" s="2335"/>
      <c r="C423" s="52" t="s">
        <v>31</v>
      </c>
      <c r="D423" s="65"/>
      <c r="E423" s="66"/>
      <c r="F423" s="66"/>
      <c r="G423" s="32"/>
      <c r="H423" s="32"/>
      <c r="I423" s="67"/>
      <c r="J423" s="32"/>
      <c r="K423" s="32"/>
      <c r="L423" s="2304"/>
    </row>
    <row r="424" spans="1:12">
      <c r="A424" s="2333"/>
      <c r="B424" s="2336"/>
      <c r="C424" s="52" t="s">
        <v>32</v>
      </c>
      <c r="D424" s="65"/>
      <c r="E424" s="66"/>
      <c r="F424" s="66"/>
      <c r="G424" s="28"/>
      <c r="H424" s="28"/>
      <c r="I424" s="67"/>
      <c r="J424" s="28"/>
      <c r="K424" s="28"/>
      <c r="L424" s="2305"/>
    </row>
    <row r="425" spans="1:12">
      <c r="A425" s="2338"/>
      <c r="B425" s="2340" t="s">
        <v>123</v>
      </c>
      <c r="C425" s="60" t="s">
        <v>124</v>
      </c>
      <c r="D425" s="61"/>
      <c r="E425" s="23">
        <f>SUM(E426,E435)</f>
        <v>0</v>
      </c>
      <c r="F425" s="23">
        <f>SUM(F426,F435)</f>
        <v>12000</v>
      </c>
      <c r="G425" s="23">
        <f>SUM(G426,G435)</f>
        <v>0</v>
      </c>
      <c r="H425" s="23">
        <f>SUM(H426,H435)</f>
        <v>0</v>
      </c>
      <c r="I425" s="62"/>
      <c r="J425" s="23">
        <f>SUM(J426,J435)</f>
        <v>0</v>
      </c>
      <c r="K425" s="23">
        <f>SUM(K426,K435)</f>
        <v>0</v>
      </c>
      <c r="L425" s="2303"/>
    </row>
    <row r="426" spans="1:12">
      <c r="A426" s="2338"/>
      <c r="B426" s="2340"/>
      <c r="C426" s="26" t="s">
        <v>18</v>
      </c>
      <c r="D426" s="63"/>
      <c r="E426" s="28">
        <f>SUM(E427,E430,E431,E432,E433,E434)</f>
        <v>0</v>
      </c>
      <c r="F426" s="28">
        <f>SUM(F427,F430,F431,F432,F433,F434)</f>
        <v>12000</v>
      </c>
      <c r="G426" s="28">
        <f>SUM(G427,G430,G431,G432,G433,G434)</f>
        <v>0</v>
      </c>
      <c r="H426" s="28">
        <f>SUM(H427,H430,H431,H432,H433,H434)</f>
        <v>0</v>
      </c>
      <c r="I426" s="64"/>
      <c r="J426" s="28">
        <f>SUM(J427,J430,J431,J432,J433,J434)</f>
        <v>0</v>
      </c>
      <c r="K426" s="28">
        <f>SUM(K427,K430,K431,K432,K433,K434)</f>
        <v>0</v>
      </c>
      <c r="L426" s="2304"/>
    </row>
    <row r="427" spans="1:12">
      <c r="A427" s="2338"/>
      <c r="B427" s="2340"/>
      <c r="C427" s="52" t="s">
        <v>19</v>
      </c>
      <c r="D427" s="65"/>
      <c r="E427" s="66"/>
      <c r="F427" s="66"/>
      <c r="G427" s="66"/>
      <c r="H427" s="66"/>
      <c r="I427" s="67"/>
      <c r="J427" s="66"/>
      <c r="K427" s="66"/>
      <c r="L427" s="2304"/>
    </row>
    <row r="428" spans="1:12">
      <c r="A428" s="2338"/>
      <c r="B428" s="2340"/>
      <c r="C428" s="52" t="s">
        <v>20</v>
      </c>
      <c r="D428" s="65"/>
      <c r="E428" s="66"/>
      <c r="F428" s="66"/>
      <c r="G428" s="32"/>
      <c r="H428" s="32"/>
      <c r="I428" s="67"/>
      <c r="J428" s="32"/>
      <c r="K428" s="32"/>
      <c r="L428" s="2304"/>
    </row>
    <row r="429" spans="1:12" ht="12.75" customHeight="1">
      <c r="A429" s="2338"/>
      <c r="B429" s="2340"/>
      <c r="C429" s="68" t="s">
        <v>21</v>
      </c>
      <c r="D429" s="69"/>
      <c r="E429" s="70"/>
      <c r="F429" s="70"/>
      <c r="G429" s="70" t="e">
        <f>SUM(#REF!)</f>
        <v>#REF!</v>
      </c>
      <c r="H429" s="70"/>
      <c r="I429" s="67"/>
      <c r="J429" s="70"/>
      <c r="K429" s="70"/>
      <c r="L429" s="2304"/>
    </row>
    <row r="430" spans="1:12">
      <c r="A430" s="2338"/>
      <c r="B430" s="2340"/>
      <c r="C430" s="52" t="s">
        <v>23</v>
      </c>
      <c r="D430" s="71">
        <v>2710</v>
      </c>
      <c r="E430" s="66"/>
      <c r="F430" s="66">
        <v>12000</v>
      </c>
      <c r="G430" s="32"/>
      <c r="H430" s="32"/>
      <c r="I430" s="67"/>
      <c r="J430" s="32"/>
      <c r="K430" s="32"/>
      <c r="L430" s="2304"/>
    </row>
    <row r="431" spans="1:12">
      <c r="A431" s="2338"/>
      <c r="B431" s="2340"/>
      <c r="C431" s="52" t="s">
        <v>24</v>
      </c>
      <c r="D431" s="65"/>
      <c r="E431" s="66"/>
      <c r="F431" s="66"/>
      <c r="G431" s="32"/>
      <c r="H431" s="32"/>
      <c r="I431" s="67"/>
      <c r="J431" s="32"/>
      <c r="K431" s="32"/>
      <c r="L431" s="2304"/>
    </row>
    <row r="432" spans="1:12" ht="22.5">
      <c r="A432" s="2338"/>
      <c r="B432" s="2340"/>
      <c r="C432" s="41" t="s">
        <v>45</v>
      </c>
      <c r="D432" s="72"/>
      <c r="E432" s="70"/>
      <c r="F432" s="70"/>
      <c r="G432" s="32"/>
      <c r="H432" s="32"/>
      <c r="I432" s="67"/>
      <c r="J432" s="32"/>
      <c r="K432" s="32"/>
      <c r="L432" s="2304"/>
    </row>
    <row r="433" spans="1:12">
      <c r="A433" s="2338"/>
      <c r="B433" s="2340"/>
      <c r="C433" s="52" t="s">
        <v>26</v>
      </c>
      <c r="D433" s="65"/>
      <c r="E433" s="66"/>
      <c r="F433" s="66"/>
      <c r="G433" s="32"/>
      <c r="H433" s="32"/>
      <c r="I433" s="67"/>
      <c r="J433" s="32"/>
      <c r="K433" s="32"/>
      <c r="L433" s="2304"/>
    </row>
    <row r="434" spans="1:12">
      <c r="A434" s="2338"/>
      <c r="B434" s="2340"/>
      <c r="C434" s="52" t="s">
        <v>27</v>
      </c>
      <c r="D434" s="65"/>
      <c r="E434" s="66"/>
      <c r="F434" s="66"/>
      <c r="G434" s="32"/>
      <c r="H434" s="32"/>
      <c r="I434" s="67"/>
      <c r="J434" s="32"/>
      <c r="K434" s="32"/>
      <c r="L434" s="2304"/>
    </row>
    <row r="435" spans="1:12">
      <c r="A435" s="2338"/>
      <c r="B435" s="2340"/>
      <c r="C435" s="54" t="s">
        <v>28</v>
      </c>
      <c r="D435" s="73"/>
      <c r="E435" s="74">
        <f>SUM(E436,E438,E439)</f>
        <v>0</v>
      </c>
      <c r="F435" s="74">
        <f>SUM(F436,F438,F439)</f>
        <v>0</v>
      </c>
      <c r="G435" s="74">
        <f>SUM(G436,G438,G439)</f>
        <v>0</v>
      </c>
      <c r="H435" s="74">
        <f>SUM(H436,H438,H439)</f>
        <v>0</v>
      </c>
      <c r="I435" s="67"/>
      <c r="J435" s="74">
        <f>SUM(J436,J438,J439)</f>
        <v>0</v>
      </c>
      <c r="K435" s="74">
        <f>SUM(K436,K438,K439)</f>
        <v>0</v>
      </c>
      <c r="L435" s="2304"/>
    </row>
    <row r="436" spans="1:12">
      <c r="A436" s="2338"/>
      <c r="B436" s="2340"/>
      <c r="C436" s="52" t="s">
        <v>29</v>
      </c>
      <c r="D436" s="71"/>
      <c r="E436" s="66"/>
      <c r="F436" s="66"/>
      <c r="G436" s="32"/>
      <c r="H436" s="32"/>
      <c r="I436" s="67"/>
      <c r="J436" s="32"/>
      <c r="K436" s="32"/>
      <c r="L436" s="2304"/>
    </row>
    <row r="437" spans="1:12" ht="22.5">
      <c r="A437" s="2338"/>
      <c r="B437" s="2340"/>
      <c r="C437" s="41" t="s">
        <v>46</v>
      </c>
      <c r="D437" s="72"/>
      <c r="E437" s="70"/>
      <c r="F437" s="70"/>
      <c r="G437" s="32"/>
      <c r="H437" s="32"/>
      <c r="I437" s="67"/>
      <c r="J437" s="32"/>
      <c r="K437" s="32"/>
      <c r="L437" s="2304"/>
    </row>
    <row r="438" spans="1:12">
      <c r="A438" s="2338"/>
      <c r="B438" s="2340"/>
      <c r="C438" s="52" t="s">
        <v>31</v>
      </c>
      <c r="D438" s="65"/>
      <c r="E438" s="66"/>
      <c r="F438" s="66"/>
      <c r="G438" s="32"/>
      <c r="H438" s="32"/>
      <c r="I438" s="67"/>
      <c r="J438" s="32"/>
      <c r="K438" s="32"/>
      <c r="L438" s="2304"/>
    </row>
    <row r="439" spans="1:12">
      <c r="A439" s="2338"/>
      <c r="B439" s="2340"/>
      <c r="C439" s="52" t="s">
        <v>32</v>
      </c>
      <c r="D439" s="65"/>
      <c r="E439" s="66"/>
      <c r="F439" s="66"/>
      <c r="G439" s="28"/>
      <c r="H439" s="28"/>
      <c r="I439" s="67"/>
      <c r="J439" s="28"/>
      <c r="K439" s="28"/>
      <c r="L439" s="2305"/>
    </row>
    <row r="440" spans="1:12">
      <c r="A440" s="2338"/>
      <c r="B440" s="2340" t="s">
        <v>76</v>
      </c>
      <c r="C440" s="60" t="s">
        <v>17</v>
      </c>
      <c r="D440" s="61"/>
      <c r="E440" s="23">
        <f>SUM(E441,E450)</f>
        <v>0</v>
      </c>
      <c r="F440" s="23">
        <f>SUM(F441,F450)</f>
        <v>183373</v>
      </c>
      <c r="G440" s="23">
        <f>SUM(G441,G450)</f>
        <v>0</v>
      </c>
      <c r="H440" s="23">
        <f>SUM(H441,H450)</f>
        <v>0</v>
      </c>
      <c r="I440" s="62"/>
      <c r="J440" s="23">
        <f>SUM(J441,J450)</f>
        <v>0</v>
      </c>
      <c r="K440" s="23">
        <f>SUM(K441,K450)</f>
        <v>0</v>
      </c>
      <c r="L440" s="2303"/>
    </row>
    <row r="441" spans="1:12">
      <c r="A441" s="2338"/>
      <c r="B441" s="2340"/>
      <c r="C441" s="26" t="s">
        <v>18</v>
      </c>
      <c r="D441" s="63"/>
      <c r="E441" s="28">
        <f>SUM(E442,E445,E446,E447,E448,E449)</f>
        <v>0</v>
      </c>
      <c r="F441" s="28">
        <f>SUM(F442,F445,F446,F447,F448,F449)</f>
        <v>123631</v>
      </c>
      <c r="G441" s="28">
        <f>SUM(G442,G445,G446,G447,G448,G449)</f>
        <v>0</v>
      </c>
      <c r="H441" s="28">
        <f>SUM(H442,H445,H446,H447,H448,H449)</f>
        <v>0</v>
      </c>
      <c r="I441" s="64"/>
      <c r="J441" s="28">
        <f>SUM(J442,J445,J446,J447,J448,J449)</f>
        <v>0</v>
      </c>
      <c r="K441" s="28">
        <f>SUM(K442,K445,K446,K447,K448,K449)</f>
        <v>0</v>
      </c>
      <c r="L441" s="2304"/>
    </row>
    <row r="442" spans="1:12">
      <c r="A442" s="2338"/>
      <c r="B442" s="2340"/>
      <c r="C442" s="52" t="s">
        <v>19</v>
      </c>
      <c r="D442" s="65"/>
      <c r="E442" s="66"/>
      <c r="F442" s="66"/>
      <c r="G442" s="66"/>
      <c r="H442" s="66"/>
      <c r="I442" s="67"/>
      <c r="J442" s="66"/>
      <c r="K442" s="66"/>
      <c r="L442" s="2304"/>
    </row>
    <row r="443" spans="1:12">
      <c r="A443" s="2338"/>
      <c r="B443" s="2340"/>
      <c r="C443" s="52" t="s">
        <v>20</v>
      </c>
      <c r="D443" s="65"/>
      <c r="E443" s="66"/>
      <c r="F443" s="66"/>
      <c r="G443" s="32"/>
      <c r="H443" s="32"/>
      <c r="I443" s="67"/>
      <c r="J443" s="32"/>
      <c r="K443" s="32"/>
      <c r="L443" s="2304"/>
    </row>
    <row r="444" spans="1:12" ht="12.75" customHeight="1">
      <c r="A444" s="2338"/>
      <c r="B444" s="2340"/>
      <c r="C444" s="68" t="s">
        <v>21</v>
      </c>
      <c r="D444" s="69"/>
      <c r="E444" s="70"/>
      <c r="F444" s="70"/>
      <c r="G444" s="70" t="e">
        <f>SUM(#REF!)</f>
        <v>#REF!</v>
      </c>
      <c r="H444" s="70"/>
      <c r="I444" s="67"/>
      <c r="J444" s="70"/>
      <c r="K444" s="70"/>
      <c r="L444" s="2304"/>
    </row>
    <row r="445" spans="1:12">
      <c r="A445" s="2338"/>
      <c r="B445" s="2340"/>
      <c r="C445" s="52" t="s">
        <v>23</v>
      </c>
      <c r="D445" s="71">
        <v>2710</v>
      </c>
      <c r="E445" s="66"/>
      <c r="F445" s="66">
        <v>123631</v>
      </c>
      <c r="G445" s="32"/>
      <c r="H445" s="32"/>
      <c r="I445" s="67"/>
      <c r="J445" s="32"/>
      <c r="K445" s="32"/>
      <c r="L445" s="2304"/>
    </row>
    <row r="446" spans="1:12">
      <c r="A446" s="2338"/>
      <c r="B446" s="2340"/>
      <c r="C446" s="52" t="s">
        <v>24</v>
      </c>
      <c r="D446" s="65"/>
      <c r="E446" s="66"/>
      <c r="F446" s="66"/>
      <c r="G446" s="32"/>
      <c r="H446" s="32"/>
      <c r="I446" s="67"/>
      <c r="J446" s="32"/>
      <c r="K446" s="32"/>
      <c r="L446" s="2304"/>
    </row>
    <row r="447" spans="1:12" ht="22.5">
      <c r="A447" s="2338"/>
      <c r="B447" s="2340"/>
      <c r="C447" s="41" t="s">
        <v>45</v>
      </c>
      <c r="D447" s="72"/>
      <c r="E447" s="70"/>
      <c r="F447" s="70"/>
      <c r="G447" s="32"/>
      <c r="H447" s="32"/>
      <c r="I447" s="67"/>
      <c r="J447" s="32"/>
      <c r="K447" s="32"/>
      <c r="L447" s="2304"/>
    </row>
    <row r="448" spans="1:12">
      <c r="A448" s="2338"/>
      <c r="B448" s="2340"/>
      <c r="C448" s="52" t="s">
        <v>26</v>
      </c>
      <c r="D448" s="65"/>
      <c r="E448" s="66"/>
      <c r="F448" s="66"/>
      <c r="G448" s="32"/>
      <c r="H448" s="32"/>
      <c r="I448" s="67"/>
      <c r="J448" s="32"/>
      <c r="K448" s="32"/>
      <c r="L448" s="2304"/>
    </row>
    <row r="449" spans="1:12">
      <c r="A449" s="2338"/>
      <c r="B449" s="2340"/>
      <c r="C449" s="52" t="s">
        <v>27</v>
      </c>
      <c r="D449" s="65"/>
      <c r="E449" s="66"/>
      <c r="F449" s="66"/>
      <c r="G449" s="32"/>
      <c r="H449" s="32"/>
      <c r="I449" s="67"/>
      <c r="J449" s="32"/>
      <c r="K449" s="32"/>
      <c r="L449" s="2304"/>
    </row>
    <row r="450" spans="1:12">
      <c r="A450" s="2338"/>
      <c r="B450" s="2340"/>
      <c r="C450" s="54" t="s">
        <v>28</v>
      </c>
      <c r="D450" s="73"/>
      <c r="E450" s="74">
        <f>SUM(E451,E453,E454)</f>
        <v>0</v>
      </c>
      <c r="F450" s="74">
        <f>SUM(F451,F453,F454)</f>
        <v>59742</v>
      </c>
      <c r="G450" s="74">
        <f>SUM(G451,G453,G454)</f>
        <v>0</v>
      </c>
      <c r="H450" s="74">
        <f>SUM(H451,H453,H454)</f>
        <v>0</v>
      </c>
      <c r="I450" s="67"/>
      <c r="J450" s="74">
        <f>SUM(J451,J453,J454)</f>
        <v>0</v>
      </c>
      <c r="K450" s="74">
        <f>SUM(K451,K453,K454)</f>
        <v>0</v>
      </c>
      <c r="L450" s="2304"/>
    </row>
    <row r="451" spans="1:12">
      <c r="A451" s="2338"/>
      <c r="B451" s="2340"/>
      <c r="C451" s="52" t="s">
        <v>29</v>
      </c>
      <c r="D451" s="71">
        <v>6300</v>
      </c>
      <c r="E451" s="66"/>
      <c r="F451" s="66">
        <v>59742</v>
      </c>
      <c r="G451" s="32"/>
      <c r="H451" s="32"/>
      <c r="I451" s="67"/>
      <c r="J451" s="32"/>
      <c r="K451" s="32"/>
      <c r="L451" s="2304"/>
    </row>
    <row r="452" spans="1:12" ht="22.5">
      <c r="A452" s="2338"/>
      <c r="B452" s="2340"/>
      <c r="C452" s="41" t="s">
        <v>46</v>
      </c>
      <c r="D452" s="72"/>
      <c r="E452" s="70"/>
      <c r="F452" s="70"/>
      <c r="G452" s="32"/>
      <c r="H452" s="32"/>
      <c r="I452" s="67"/>
      <c r="J452" s="32"/>
      <c r="K452" s="32"/>
      <c r="L452" s="2304"/>
    </row>
    <row r="453" spans="1:12">
      <c r="A453" s="2338"/>
      <c r="B453" s="2340"/>
      <c r="C453" s="52" t="s">
        <v>31</v>
      </c>
      <c r="D453" s="65"/>
      <c r="E453" s="66"/>
      <c r="F453" s="66"/>
      <c r="G453" s="32"/>
      <c r="H453" s="32"/>
      <c r="I453" s="67"/>
      <c r="J453" s="32"/>
      <c r="K453" s="32"/>
      <c r="L453" s="2304"/>
    </row>
    <row r="454" spans="1:12">
      <c r="A454" s="2338"/>
      <c r="B454" s="2340"/>
      <c r="C454" s="52" t="s">
        <v>32</v>
      </c>
      <c r="D454" s="65"/>
      <c r="E454" s="66"/>
      <c r="F454" s="66"/>
      <c r="G454" s="28"/>
      <c r="H454" s="28"/>
      <c r="I454" s="67"/>
      <c r="J454" s="28"/>
      <c r="K454" s="28"/>
      <c r="L454" s="2305"/>
    </row>
    <row r="455" spans="1:12" s="95" customFormat="1">
      <c r="A455" s="14" t="s">
        <v>77</v>
      </c>
      <c r="B455" s="84"/>
      <c r="C455" s="85" t="s">
        <v>78</v>
      </c>
      <c r="D455" s="85"/>
      <c r="E455" s="86">
        <f>SUM(E456,E486,E501)</f>
        <v>0</v>
      </c>
      <c r="F455" s="86">
        <f>SUM(F456,F486,F501,F471)</f>
        <v>180000</v>
      </c>
      <c r="G455" s="86">
        <f>SUM(G456,G486,G501)</f>
        <v>0</v>
      </c>
      <c r="H455" s="86">
        <f>SUM(H456,H486,H501)</f>
        <v>0</v>
      </c>
      <c r="I455" s="93"/>
      <c r="J455" s="94">
        <f>SUM(J456,J486,J501)</f>
        <v>0</v>
      </c>
      <c r="K455" s="94">
        <f>SUM(K456,K486,K501)</f>
        <v>0</v>
      </c>
      <c r="L455" s="215"/>
    </row>
    <row r="456" spans="1:12">
      <c r="A456" s="2338"/>
      <c r="B456" s="2340" t="s">
        <v>79</v>
      </c>
      <c r="C456" s="60" t="s">
        <v>80</v>
      </c>
      <c r="D456" s="61"/>
      <c r="E456" s="23">
        <f>SUM(E457,E466)</f>
        <v>0</v>
      </c>
      <c r="F456" s="23">
        <f>SUM(F457,F466)</f>
        <v>60000</v>
      </c>
      <c r="G456" s="23">
        <f>SUM(G457,G466)</f>
        <v>0</v>
      </c>
      <c r="H456" s="23">
        <f>SUM(H457,H466)</f>
        <v>0</v>
      </c>
      <c r="I456" s="62"/>
      <c r="J456" s="23">
        <f>SUM(J457,J466)</f>
        <v>0</v>
      </c>
      <c r="K456" s="23">
        <f>SUM(K457,K466)</f>
        <v>0</v>
      </c>
      <c r="L456" s="2303"/>
    </row>
    <row r="457" spans="1:12">
      <c r="A457" s="2338"/>
      <c r="B457" s="2340"/>
      <c r="C457" s="26" t="s">
        <v>18</v>
      </c>
      <c r="D457" s="63"/>
      <c r="E457" s="28">
        <f>SUM(E458,E461,E462,E463,E464,E465)</f>
        <v>0</v>
      </c>
      <c r="F457" s="28">
        <f>SUM(F458,F461,F462,F463,F464,F465)</f>
        <v>0</v>
      </c>
      <c r="G457" s="28">
        <f>SUM(G458,G461,G462,G463,G464,G465)</f>
        <v>0</v>
      </c>
      <c r="H457" s="28">
        <f>SUM(H458,H461,H462,H463,H464,H465)</f>
        <v>0</v>
      </c>
      <c r="I457" s="64"/>
      <c r="J457" s="28">
        <f>SUM(J458,J461,J462,J463,J464,J465)</f>
        <v>0</v>
      </c>
      <c r="K457" s="28">
        <f>SUM(K458,K461,K462,K463,K464,K465)</f>
        <v>0</v>
      </c>
      <c r="L457" s="2304"/>
    </row>
    <row r="458" spans="1:12">
      <c r="A458" s="2338"/>
      <c r="B458" s="2340"/>
      <c r="C458" s="52" t="s">
        <v>19</v>
      </c>
      <c r="D458" s="65"/>
      <c r="E458" s="66"/>
      <c r="F458" s="66"/>
      <c r="G458" s="66"/>
      <c r="H458" s="66"/>
      <c r="I458" s="67"/>
      <c r="J458" s="66"/>
      <c r="K458" s="66"/>
      <c r="L458" s="2304"/>
    </row>
    <row r="459" spans="1:12">
      <c r="A459" s="2338"/>
      <c r="B459" s="2340"/>
      <c r="C459" s="52" t="s">
        <v>20</v>
      </c>
      <c r="D459" s="65"/>
      <c r="E459" s="66"/>
      <c r="F459" s="66"/>
      <c r="G459" s="32"/>
      <c r="H459" s="32"/>
      <c r="I459" s="67"/>
      <c r="J459" s="32"/>
      <c r="K459" s="32"/>
      <c r="L459" s="2304"/>
    </row>
    <row r="460" spans="1:12" ht="12.75" customHeight="1">
      <c r="A460" s="2338"/>
      <c r="B460" s="2340"/>
      <c r="C460" s="68" t="s">
        <v>21</v>
      </c>
      <c r="D460" s="69"/>
      <c r="E460" s="70"/>
      <c r="F460" s="70"/>
      <c r="G460" s="70" t="e">
        <f>SUM(#REF!)</f>
        <v>#REF!</v>
      </c>
      <c r="H460" s="70"/>
      <c r="I460" s="67"/>
      <c r="J460" s="70"/>
      <c r="K460" s="70"/>
      <c r="L460" s="2304"/>
    </row>
    <row r="461" spans="1:12">
      <c r="A461" s="2338"/>
      <c r="B461" s="2340"/>
      <c r="C461" s="52" t="s">
        <v>23</v>
      </c>
      <c r="D461" s="71"/>
      <c r="E461" s="66"/>
      <c r="F461" s="66"/>
      <c r="G461" s="32"/>
      <c r="H461" s="32"/>
      <c r="I461" s="67"/>
      <c r="J461" s="32"/>
      <c r="K461" s="32"/>
      <c r="L461" s="2304"/>
    </row>
    <row r="462" spans="1:12">
      <c r="A462" s="2338"/>
      <c r="B462" s="2340"/>
      <c r="C462" s="52" t="s">
        <v>24</v>
      </c>
      <c r="D462" s="65"/>
      <c r="E462" s="66"/>
      <c r="F462" s="66"/>
      <c r="G462" s="32"/>
      <c r="H462" s="32"/>
      <c r="I462" s="67"/>
      <c r="J462" s="32"/>
      <c r="K462" s="32"/>
      <c r="L462" s="2304"/>
    </row>
    <row r="463" spans="1:12" ht="22.5">
      <c r="A463" s="2338"/>
      <c r="B463" s="2340"/>
      <c r="C463" s="41" t="s">
        <v>45</v>
      </c>
      <c r="D463" s="72"/>
      <c r="E463" s="70"/>
      <c r="F463" s="70"/>
      <c r="G463" s="32"/>
      <c r="H463" s="32"/>
      <c r="I463" s="67"/>
      <c r="J463" s="32"/>
      <c r="K463" s="32"/>
      <c r="L463" s="2304"/>
    </row>
    <row r="464" spans="1:12">
      <c r="A464" s="2338"/>
      <c r="B464" s="2340"/>
      <c r="C464" s="52" t="s">
        <v>26</v>
      </c>
      <c r="D464" s="65"/>
      <c r="E464" s="66"/>
      <c r="F464" s="66"/>
      <c r="G464" s="32"/>
      <c r="H464" s="32"/>
      <c r="I464" s="67"/>
      <c r="J464" s="32"/>
      <c r="K464" s="32"/>
      <c r="L464" s="2304"/>
    </row>
    <row r="465" spans="1:12">
      <c r="A465" s="2338"/>
      <c r="B465" s="2340"/>
      <c r="C465" s="52" t="s">
        <v>27</v>
      </c>
      <c r="D465" s="65"/>
      <c r="E465" s="66"/>
      <c r="F465" s="66"/>
      <c r="G465" s="32"/>
      <c r="H465" s="32"/>
      <c r="I465" s="67"/>
      <c r="J465" s="32"/>
      <c r="K465" s="32"/>
      <c r="L465" s="2304"/>
    </row>
    <row r="466" spans="1:12">
      <c r="A466" s="2338"/>
      <c r="B466" s="2340"/>
      <c r="C466" s="54" t="s">
        <v>28</v>
      </c>
      <c r="D466" s="73"/>
      <c r="E466" s="74">
        <f>SUM(E467,E469,E470)</f>
        <v>0</v>
      </c>
      <c r="F466" s="74">
        <f>SUM(F467,F469,F470)</f>
        <v>60000</v>
      </c>
      <c r="G466" s="74">
        <f>SUM(G467,G469,G470)</f>
        <v>0</v>
      </c>
      <c r="H466" s="74">
        <f>SUM(H467,H469,H470)</f>
        <v>0</v>
      </c>
      <c r="I466" s="67"/>
      <c r="J466" s="74">
        <f>SUM(J467,J469,J470)</f>
        <v>0</v>
      </c>
      <c r="K466" s="74">
        <f>SUM(K467,K469,K470)</f>
        <v>0</v>
      </c>
      <c r="L466" s="2304"/>
    </row>
    <row r="467" spans="1:12">
      <c r="A467" s="2338"/>
      <c r="B467" s="2340"/>
      <c r="C467" s="52" t="s">
        <v>29</v>
      </c>
      <c r="D467" s="71">
        <v>6300</v>
      </c>
      <c r="E467" s="66"/>
      <c r="F467" s="66">
        <v>60000</v>
      </c>
      <c r="G467" s="32"/>
      <c r="H467" s="32"/>
      <c r="I467" s="67"/>
      <c r="J467" s="32"/>
      <c r="K467" s="32"/>
      <c r="L467" s="2304"/>
    </row>
    <row r="468" spans="1:12" ht="22.5">
      <c r="A468" s="2338"/>
      <c r="B468" s="2340"/>
      <c r="C468" s="41" t="s">
        <v>46</v>
      </c>
      <c r="D468" s="72"/>
      <c r="E468" s="70"/>
      <c r="F468" s="70"/>
      <c r="G468" s="32"/>
      <c r="H468" s="32"/>
      <c r="I468" s="67"/>
      <c r="J468" s="32"/>
      <c r="K468" s="32"/>
      <c r="L468" s="2304"/>
    </row>
    <row r="469" spans="1:12">
      <c r="A469" s="2338"/>
      <c r="B469" s="2340"/>
      <c r="C469" s="52" t="s">
        <v>31</v>
      </c>
      <c r="D469" s="65"/>
      <c r="E469" s="66"/>
      <c r="F469" s="66"/>
      <c r="G469" s="32"/>
      <c r="H469" s="32"/>
      <c r="I469" s="67"/>
      <c r="J469" s="32"/>
      <c r="K469" s="32"/>
      <c r="L469" s="2304"/>
    </row>
    <row r="470" spans="1:12">
      <c r="A470" s="2338"/>
      <c r="B470" s="2340"/>
      <c r="C470" s="52" t="s">
        <v>32</v>
      </c>
      <c r="D470" s="65"/>
      <c r="E470" s="66"/>
      <c r="F470" s="66"/>
      <c r="G470" s="28"/>
      <c r="H470" s="28"/>
      <c r="I470" s="67"/>
      <c r="J470" s="28"/>
      <c r="K470" s="28"/>
      <c r="L470" s="2305"/>
    </row>
    <row r="471" spans="1:12" hidden="1">
      <c r="A471" s="2338"/>
      <c r="B471" s="2340" t="s">
        <v>145</v>
      </c>
      <c r="C471" s="60" t="s">
        <v>82</v>
      </c>
      <c r="D471" s="61"/>
      <c r="E471" s="23">
        <f>SUM(E472,E481)</f>
        <v>0</v>
      </c>
      <c r="F471" s="23">
        <f>SUM(F472,F481)</f>
        <v>0</v>
      </c>
      <c r="G471" s="23">
        <f>SUM(G472,G481)</f>
        <v>0</v>
      </c>
      <c r="H471" s="23">
        <f>SUM(H472,H481)</f>
        <v>0</v>
      </c>
      <c r="I471" s="62"/>
      <c r="J471" s="23">
        <f>SUM(J472,J481)</f>
        <v>0</v>
      </c>
      <c r="K471" s="23">
        <f>SUM(K472,K481)</f>
        <v>0</v>
      </c>
      <c r="L471" s="2259"/>
    </row>
    <row r="472" spans="1:12" hidden="1">
      <c r="A472" s="2338"/>
      <c r="B472" s="2340"/>
      <c r="C472" s="26" t="s">
        <v>18</v>
      </c>
      <c r="D472" s="63"/>
      <c r="E472" s="28">
        <f>SUM(E473,E476,E477,E478,E479,E480)</f>
        <v>0</v>
      </c>
      <c r="F472" s="28">
        <f>SUM(F473,F476,F477,F478,F479,F480)</f>
        <v>0</v>
      </c>
      <c r="G472" s="28">
        <f>SUM(G473,G476,G477,G478,G479,G480)</f>
        <v>0</v>
      </c>
      <c r="H472" s="28">
        <f>SUM(H473,H476,H477,H478,H479,H480)</f>
        <v>0</v>
      </c>
      <c r="I472" s="64"/>
      <c r="J472" s="28">
        <f>SUM(J473,J476,J477,J478,J479,J480)</f>
        <v>0</v>
      </c>
      <c r="K472" s="28">
        <f>SUM(K473,K476,K477,K478,K479,K480)</f>
        <v>0</v>
      </c>
      <c r="L472" s="2312"/>
    </row>
    <row r="473" spans="1:12" hidden="1">
      <c r="A473" s="2338"/>
      <c r="B473" s="2340"/>
      <c r="C473" s="52" t="s">
        <v>19</v>
      </c>
      <c r="D473" s="65"/>
      <c r="E473" s="66"/>
      <c r="F473" s="66"/>
      <c r="G473" s="66"/>
      <c r="H473" s="66"/>
      <c r="I473" s="67"/>
      <c r="J473" s="66"/>
      <c r="K473" s="66"/>
      <c r="L473" s="2312"/>
    </row>
    <row r="474" spans="1:12" hidden="1">
      <c r="A474" s="2338"/>
      <c r="B474" s="2340"/>
      <c r="C474" s="52" t="s">
        <v>20</v>
      </c>
      <c r="D474" s="65"/>
      <c r="E474" s="66"/>
      <c r="F474" s="66"/>
      <c r="G474" s="32"/>
      <c r="H474" s="32"/>
      <c r="I474" s="67"/>
      <c r="J474" s="32"/>
      <c r="K474" s="32"/>
      <c r="L474" s="2312"/>
    </row>
    <row r="475" spans="1:12" ht="12.75" hidden="1" customHeight="1">
      <c r="A475" s="2338"/>
      <c r="B475" s="2340"/>
      <c r="C475" s="68" t="s">
        <v>21</v>
      </c>
      <c r="D475" s="69"/>
      <c r="E475" s="70"/>
      <c r="F475" s="70"/>
      <c r="G475" s="70" t="e">
        <f>SUM(#REF!)</f>
        <v>#REF!</v>
      </c>
      <c r="H475" s="70"/>
      <c r="I475" s="67"/>
      <c r="J475" s="70"/>
      <c r="K475" s="70"/>
      <c r="L475" s="2312"/>
    </row>
    <row r="476" spans="1:12" hidden="1">
      <c r="A476" s="2338"/>
      <c r="B476" s="2340"/>
      <c r="C476" s="52" t="s">
        <v>23</v>
      </c>
      <c r="D476" s="71"/>
      <c r="E476" s="66"/>
      <c r="F476" s="66"/>
      <c r="G476" s="32"/>
      <c r="H476" s="32"/>
      <c r="I476" s="67"/>
      <c r="J476" s="32"/>
      <c r="K476" s="32"/>
      <c r="L476" s="2312"/>
    </row>
    <row r="477" spans="1:12" hidden="1">
      <c r="A477" s="2338"/>
      <c r="B477" s="2340"/>
      <c r="C477" s="52" t="s">
        <v>24</v>
      </c>
      <c r="D477" s="65"/>
      <c r="E477" s="66"/>
      <c r="F477" s="66"/>
      <c r="G477" s="32"/>
      <c r="H477" s="32"/>
      <c r="I477" s="67"/>
      <c r="J477" s="32"/>
      <c r="K477" s="32"/>
      <c r="L477" s="2312"/>
    </row>
    <row r="478" spans="1:12" ht="22.5" hidden="1">
      <c r="A478" s="2338"/>
      <c r="B478" s="2340"/>
      <c r="C478" s="41" t="s">
        <v>45</v>
      </c>
      <c r="D478" s="72"/>
      <c r="E478" s="70"/>
      <c r="F478" s="70"/>
      <c r="G478" s="32"/>
      <c r="H478" s="32"/>
      <c r="I478" s="67"/>
      <c r="J478" s="32"/>
      <c r="K478" s="32"/>
      <c r="L478" s="2312"/>
    </row>
    <row r="479" spans="1:12" hidden="1">
      <c r="A479" s="2338"/>
      <c r="B479" s="2340"/>
      <c r="C479" s="52" t="s">
        <v>26</v>
      </c>
      <c r="D479" s="65"/>
      <c r="E479" s="66"/>
      <c r="F479" s="66"/>
      <c r="G479" s="32"/>
      <c r="H479" s="32"/>
      <c r="I479" s="67"/>
      <c r="J479" s="32"/>
      <c r="K479" s="32"/>
      <c r="L479" s="2312"/>
    </row>
    <row r="480" spans="1:12" hidden="1">
      <c r="A480" s="2338"/>
      <c r="B480" s="2340"/>
      <c r="C480" s="52" t="s">
        <v>27</v>
      </c>
      <c r="D480" s="65"/>
      <c r="E480" s="66"/>
      <c r="F480" s="66"/>
      <c r="G480" s="32"/>
      <c r="H480" s="32"/>
      <c r="I480" s="67"/>
      <c r="J480" s="32"/>
      <c r="K480" s="32"/>
      <c r="L480" s="2312"/>
    </row>
    <row r="481" spans="1:12" hidden="1">
      <c r="A481" s="2338"/>
      <c r="B481" s="2340"/>
      <c r="C481" s="54" t="s">
        <v>28</v>
      </c>
      <c r="D481" s="73"/>
      <c r="E481" s="74">
        <f>SUM(E482,E484,E485)</f>
        <v>0</v>
      </c>
      <c r="F481" s="74">
        <f>SUM(F482,F484,F485)</f>
        <v>0</v>
      </c>
      <c r="G481" s="74">
        <f>SUM(G482,G484,G485)</f>
        <v>0</v>
      </c>
      <c r="H481" s="74">
        <f>SUM(H482,H484,H485)</f>
        <v>0</v>
      </c>
      <c r="I481" s="67"/>
      <c r="J481" s="74">
        <f>SUM(J482,J484,J485)</f>
        <v>0</v>
      </c>
      <c r="K481" s="74">
        <f>SUM(K482,K484,K485)</f>
        <v>0</v>
      </c>
      <c r="L481" s="2312"/>
    </row>
    <row r="482" spans="1:12" hidden="1">
      <c r="A482" s="2338"/>
      <c r="B482" s="2340"/>
      <c r="C482" s="52" t="s">
        <v>29</v>
      </c>
      <c r="D482" s="71">
        <v>6300</v>
      </c>
      <c r="E482" s="66"/>
      <c r="F482" s="32"/>
      <c r="G482" s="32"/>
      <c r="H482" s="32"/>
      <c r="I482" s="67"/>
      <c r="J482" s="32"/>
      <c r="K482" s="32"/>
      <c r="L482" s="2312"/>
    </row>
    <row r="483" spans="1:12" ht="22.5" hidden="1">
      <c r="A483" s="2338"/>
      <c r="B483" s="2340"/>
      <c r="C483" s="41" t="s">
        <v>46</v>
      </c>
      <c r="D483" s="72"/>
      <c r="E483" s="70"/>
      <c r="F483" s="70"/>
      <c r="G483" s="32"/>
      <c r="H483" s="32"/>
      <c r="I483" s="67"/>
      <c r="J483" s="32"/>
      <c r="K483" s="32"/>
      <c r="L483" s="2312"/>
    </row>
    <row r="484" spans="1:12" hidden="1">
      <c r="A484" s="2338"/>
      <c r="B484" s="2340"/>
      <c r="C484" s="52" t="s">
        <v>31</v>
      </c>
      <c r="D484" s="65"/>
      <c r="E484" s="66"/>
      <c r="F484" s="66"/>
      <c r="G484" s="32"/>
      <c r="H484" s="32"/>
      <c r="I484" s="67"/>
      <c r="J484" s="32"/>
      <c r="K484" s="32"/>
      <c r="L484" s="2312"/>
    </row>
    <row r="485" spans="1:12" hidden="1">
      <c r="A485" s="2338"/>
      <c r="B485" s="2340"/>
      <c r="C485" s="52" t="s">
        <v>32</v>
      </c>
      <c r="D485" s="65"/>
      <c r="E485" s="66"/>
      <c r="F485" s="66"/>
      <c r="G485" s="28"/>
      <c r="H485" s="28"/>
      <c r="I485" s="67"/>
      <c r="J485" s="28"/>
      <c r="K485" s="28"/>
      <c r="L485" s="2313"/>
    </row>
    <row r="486" spans="1:12">
      <c r="A486" s="2338"/>
      <c r="B486" s="2340" t="s">
        <v>81</v>
      </c>
      <c r="C486" s="60" t="s">
        <v>82</v>
      </c>
      <c r="D486" s="61"/>
      <c r="E486" s="23">
        <f>SUM(E487,E496)</f>
        <v>0</v>
      </c>
      <c r="F486" s="23">
        <f>SUM(F487,F496)</f>
        <v>36000</v>
      </c>
      <c r="G486" s="23">
        <f>SUM(G487,G496)</f>
        <v>0</v>
      </c>
      <c r="H486" s="23">
        <f>SUM(H487,H496)</f>
        <v>0</v>
      </c>
      <c r="I486" s="62"/>
      <c r="J486" s="23">
        <f>SUM(J487,J496)</f>
        <v>0</v>
      </c>
      <c r="K486" s="23">
        <f>SUM(K487,K496)</f>
        <v>0</v>
      </c>
      <c r="L486" s="2303"/>
    </row>
    <row r="487" spans="1:12">
      <c r="A487" s="2338"/>
      <c r="B487" s="2340"/>
      <c r="C487" s="26" t="s">
        <v>18</v>
      </c>
      <c r="D487" s="63"/>
      <c r="E487" s="28">
        <f>SUM(E488,E491,E492,E493,E494,E495)</f>
        <v>0</v>
      </c>
      <c r="F487" s="28">
        <f>SUM(F488,F491,F492,F493,F494,F495)</f>
        <v>24000</v>
      </c>
      <c r="G487" s="28">
        <f>SUM(G488,G491,G492,G493,G494,G495)</f>
        <v>0</v>
      </c>
      <c r="H487" s="28">
        <f>SUM(H488,H491,H492,H493,H494,H495)</f>
        <v>0</v>
      </c>
      <c r="I487" s="64"/>
      <c r="J487" s="28">
        <f>SUM(J488,J491,J492,J493,J494,J495)</f>
        <v>0</v>
      </c>
      <c r="K487" s="28">
        <f>SUM(K488,K491,K492,K493,K494,K495)</f>
        <v>0</v>
      </c>
      <c r="L487" s="2304"/>
    </row>
    <row r="488" spans="1:12">
      <c r="A488" s="2338"/>
      <c r="B488" s="2340"/>
      <c r="C488" s="52" t="s">
        <v>19</v>
      </c>
      <c r="D488" s="65"/>
      <c r="E488" s="66"/>
      <c r="F488" s="66"/>
      <c r="G488" s="66"/>
      <c r="H488" s="66"/>
      <c r="I488" s="67"/>
      <c r="J488" s="66"/>
      <c r="K488" s="66"/>
      <c r="L488" s="2304"/>
    </row>
    <row r="489" spans="1:12">
      <c r="A489" s="2338"/>
      <c r="B489" s="2340"/>
      <c r="C489" s="52" t="s">
        <v>20</v>
      </c>
      <c r="D489" s="65"/>
      <c r="E489" s="66"/>
      <c r="F489" s="66"/>
      <c r="G489" s="32"/>
      <c r="H489" s="32"/>
      <c r="I489" s="67"/>
      <c r="J489" s="32"/>
      <c r="K489" s="32"/>
      <c r="L489" s="2304"/>
    </row>
    <row r="490" spans="1:12">
      <c r="A490" s="2338"/>
      <c r="B490" s="2340"/>
      <c r="C490" s="68" t="s">
        <v>21</v>
      </c>
      <c r="D490" s="69"/>
      <c r="E490" s="70"/>
      <c r="F490" s="70"/>
      <c r="G490" s="70" t="e">
        <f>SUM(#REF!)</f>
        <v>#REF!</v>
      </c>
      <c r="H490" s="70"/>
      <c r="I490" s="67"/>
      <c r="J490" s="70"/>
      <c r="K490" s="70"/>
      <c r="L490" s="2304"/>
    </row>
    <row r="491" spans="1:12">
      <c r="A491" s="2338"/>
      <c r="B491" s="2340"/>
      <c r="C491" s="52" t="s">
        <v>23</v>
      </c>
      <c r="D491" s="71">
        <v>2710</v>
      </c>
      <c r="E491" s="66"/>
      <c r="F491" s="66">
        <v>24000</v>
      </c>
      <c r="G491" s="32"/>
      <c r="H491" s="32"/>
      <c r="I491" s="67"/>
      <c r="J491" s="32"/>
      <c r="K491" s="32"/>
      <c r="L491" s="2304"/>
    </row>
    <row r="492" spans="1:12">
      <c r="A492" s="2338"/>
      <c r="B492" s="2340"/>
      <c r="C492" s="52" t="s">
        <v>24</v>
      </c>
      <c r="D492" s="65"/>
      <c r="E492" s="66"/>
      <c r="F492" s="66"/>
      <c r="G492" s="32"/>
      <c r="H492" s="32"/>
      <c r="I492" s="67"/>
      <c r="J492" s="32"/>
      <c r="K492" s="32"/>
      <c r="L492" s="2304"/>
    </row>
    <row r="493" spans="1:12" ht="22.5">
      <c r="A493" s="2338"/>
      <c r="B493" s="2340"/>
      <c r="C493" s="41" t="s">
        <v>45</v>
      </c>
      <c r="D493" s="72"/>
      <c r="E493" s="70"/>
      <c r="F493" s="70"/>
      <c r="G493" s="32"/>
      <c r="H493" s="32"/>
      <c r="I493" s="67"/>
      <c r="J493" s="32"/>
      <c r="K493" s="32"/>
      <c r="L493" s="2304"/>
    </row>
    <row r="494" spans="1:12">
      <c r="A494" s="2338"/>
      <c r="B494" s="2340"/>
      <c r="C494" s="52" t="s">
        <v>26</v>
      </c>
      <c r="D494" s="65"/>
      <c r="E494" s="66"/>
      <c r="F494" s="66"/>
      <c r="G494" s="32"/>
      <c r="H494" s="32"/>
      <c r="I494" s="67"/>
      <c r="J494" s="32"/>
      <c r="K494" s="32"/>
      <c r="L494" s="2304"/>
    </row>
    <row r="495" spans="1:12">
      <c r="A495" s="2338"/>
      <c r="B495" s="2340"/>
      <c r="C495" s="52" t="s">
        <v>27</v>
      </c>
      <c r="D495" s="65"/>
      <c r="E495" s="66"/>
      <c r="F495" s="66"/>
      <c r="G495" s="32"/>
      <c r="H495" s="32"/>
      <c r="I495" s="67"/>
      <c r="J495" s="32"/>
      <c r="K495" s="32"/>
      <c r="L495" s="2304"/>
    </row>
    <row r="496" spans="1:12">
      <c r="A496" s="2338"/>
      <c r="B496" s="2340"/>
      <c r="C496" s="54" t="s">
        <v>28</v>
      </c>
      <c r="D496" s="73"/>
      <c r="E496" s="74">
        <f>SUM(E497,E499,E500)</f>
        <v>0</v>
      </c>
      <c r="F496" s="74">
        <f>SUM(F497,F499,F500)</f>
        <v>12000</v>
      </c>
      <c r="G496" s="74">
        <f>SUM(G497,G499,G500)</f>
        <v>0</v>
      </c>
      <c r="H496" s="74">
        <f>SUM(H497,H499,H500)</f>
        <v>0</v>
      </c>
      <c r="I496" s="67"/>
      <c r="J496" s="74">
        <f>SUM(J497,J499,J500)</f>
        <v>0</v>
      </c>
      <c r="K496" s="74">
        <f>SUM(K497,K499,K500)</f>
        <v>0</v>
      </c>
      <c r="L496" s="2304"/>
    </row>
    <row r="497" spans="1:12">
      <c r="A497" s="2338"/>
      <c r="B497" s="2340"/>
      <c r="C497" s="52" t="s">
        <v>29</v>
      </c>
      <c r="D497" s="71">
        <v>6300</v>
      </c>
      <c r="E497" s="66"/>
      <c r="F497" s="32">
        <v>12000</v>
      </c>
      <c r="G497" s="32"/>
      <c r="H497" s="32"/>
      <c r="I497" s="67"/>
      <c r="J497" s="32"/>
      <c r="K497" s="32"/>
      <c r="L497" s="2304"/>
    </row>
    <row r="498" spans="1:12" ht="22.5">
      <c r="A498" s="2338"/>
      <c r="B498" s="2340"/>
      <c r="C498" s="41" t="s">
        <v>46</v>
      </c>
      <c r="D498" s="72"/>
      <c r="E498" s="70"/>
      <c r="F498" s="70"/>
      <c r="G498" s="32"/>
      <c r="H498" s="32"/>
      <c r="I498" s="67"/>
      <c r="J498" s="32"/>
      <c r="K498" s="32"/>
      <c r="L498" s="2304"/>
    </row>
    <row r="499" spans="1:12">
      <c r="A499" s="2338"/>
      <c r="B499" s="2340"/>
      <c r="C499" s="52" t="s">
        <v>31</v>
      </c>
      <c r="D499" s="65"/>
      <c r="E499" s="66"/>
      <c r="F499" s="66"/>
      <c r="G499" s="32"/>
      <c r="H499" s="32"/>
      <c r="I499" s="67"/>
      <c r="J499" s="32"/>
      <c r="K499" s="32"/>
      <c r="L499" s="2304"/>
    </row>
    <row r="500" spans="1:12">
      <c r="A500" s="2338"/>
      <c r="B500" s="2340"/>
      <c r="C500" s="52" t="s">
        <v>32</v>
      </c>
      <c r="D500" s="65"/>
      <c r="E500" s="66"/>
      <c r="F500" s="66"/>
      <c r="G500" s="28"/>
      <c r="H500" s="28"/>
      <c r="I500" s="67"/>
      <c r="J500" s="28"/>
      <c r="K500" s="28"/>
      <c r="L500" s="2305"/>
    </row>
    <row r="501" spans="1:12" ht="13.5" thickBot="1">
      <c r="A501" s="2147"/>
      <c r="B501" s="2148" t="s">
        <v>83</v>
      </c>
      <c r="C501" s="60" t="s">
        <v>17</v>
      </c>
      <c r="D501" s="61"/>
      <c r="E501" s="23">
        <f>SUM(E502,E511)</f>
        <v>0</v>
      </c>
      <c r="F501" s="23">
        <f>SUM(F502,F511)</f>
        <v>84000</v>
      </c>
      <c r="G501" s="23">
        <f>SUM(G502,G511)</f>
        <v>0</v>
      </c>
      <c r="H501" s="23">
        <f>SUM(H502,H511)</f>
        <v>0</v>
      </c>
      <c r="I501" s="62"/>
      <c r="J501" s="23">
        <f>SUM(J502,J511)</f>
        <v>0</v>
      </c>
      <c r="K501" s="23">
        <f>SUM(K502,K511)</f>
        <v>0</v>
      </c>
      <c r="L501" s="2303"/>
    </row>
    <row r="502" spans="1:12" ht="13.5" thickBot="1">
      <c r="A502" s="2147"/>
      <c r="B502" s="2148"/>
      <c r="C502" s="26" t="s">
        <v>18</v>
      </c>
      <c r="D502" s="63"/>
      <c r="E502" s="28">
        <f>SUM(E503,E506,E507,E508,E509,E510)</f>
        <v>0</v>
      </c>
      <c r="F502" s="28">
        <f>SUM(F503,F506,F507,F508,F509,F510)</f>
        <v>36000</v>
      </c>
      <c r="G502" s="28">
        <f>SUM(G503,G506,G507,G508,G509,G510)</f>
        <v>0</v>
      </c>
      <c r="H502" s="28">
        <f>SUM(H503,H506,H507,H508,H509,H510)</f>
        <v>0</v>
      </c>
      <c r="I502" s="64"/>
      <c r="J502" s="28">
        <f>SUM(J503,J506,J507,J508,J509,J510)</f>
        <v>0</v>
      </c>
      <c r="K502" s="28">
        <f>SUM(K503,K506,K507,K508,K509,K510)</f>
        <v>0</v>
      </c>
      <c r="L502" s="2304"/>
    </row>
    <row r="503" spans="1:12" ht="13.5" thickBot="1">
      <c r="A503" s="2147"/>
      <c r="B503" s="2148"/>
      <c r="C503" s="52" t="s">
        <v>19</v>
      </c>
      <c r="D503" s="65"/>
      <c r="E503" s="66"/>
      <c r="F503" s="66"/>
      <c r="G503" s="66"/>
      <c r="H503" s="66"/>
      <c r="I503" s="67"/>
      <c r="J503" s="66"/>
      <c r="K503" s="66"/>
      <c r="L503" s="2304"/>
    </row>
    <row r="504" spans="1:12" ht="13.5" thickBot="1">
      <c r="A504" s="2147"/>
      <c r="B504" s="2148"/>
      <c r="C504" s="52" t="s">
        <v>20</v>
      </c>
      <c r="D504" s="65"/>
      <c r="E504" s="66"/>
      <c r="F504" s="66"/>
      <c r="G504" s="32"/>
      <c r="H504" s="32"/>
      <c r="I504" s="67"/>
      <c r="J504" s="32"/>
      <c r="K504" s="32"/>
      <c r="L504" s="2304"/>
    </row>
    <row r="505" spans="1:12" ht="12.75" customHeight="1" thickBot="1">
      <c r="A505" s="2147"/>
      <c r="B505" s="2148"/>
      <c r="C505" s="68" t="s">
        <v>21</v>
      </c>
      <c r="D505" s="69"/>
      <c r="E505" s="70"/>
      <c r="F505" s="70"/>
      <c r="G505" s="70" t="e">
        <f>SUM(#REF!)</f>
        <v>#REF!</v>
      </c>
      <c r="H505" s="70"/>
      <c r="I505" s="67"/>
      <c r="J505" s="70"/>
      <c r="K505" s="70"/>
      <c r="L505" s="2304"/>
    </row>
    <row r="506" spans="1:12" ht="13.5" thickBot="1">
      <c r="A506" s="2147"/>
      <c r="B506" s="2148"/>
      <c r="C506" s="52" t="s">
        <v>23</v>
      </c>
      <c r="D506" s="71">
        <v>2710</v>
      </c>
      <c r="E506" s="66"/>
      <c r="F506" s="66">
        <v>36000</v>
      </c>
      <c r="G506" s="32"/>
      <c r="H506" s="32"/>
      <c r="I506" s="67"/>
      <c r="J506" s="32"/>
      <c r="K506" s="32"/>
      <c r="L506" s="2304"/>
    </row>
    <row r="507" spans="1:12" ht="13.5" thickBot="1">
      <c r="A507" s="2147"/>
      <c r="B507" s="2148"/>
      <c r="C507" s="52" t="s">
        <v>24</v>
      </c>
      <c r="D507" s="65"/>
      <c r="E507" s="66"/>
      <c r="F507" s="66"/>
      <c r="G507" s="32"/>
      <c r="H507" s="32"/>
      <c r="I507" s="67"/>
      <c r="J507" s="32"/>
      <c r="K507" s="32"/>
      <c r="L507" s="2304"/>
    </row>
    <row r="508" spans="1:12" ht="23.25" thickBot="1">
      <c r="A508" s="2147"/>
      <c r="B508" s="2148"/>
      <c r="C508" s="41" t="s">
        <v>45</v>
      </c>
      <c r="D508" s="72"/>
      <c r="E508" s="70"/>
      <c r="F508" s="70"/>
      <c r="G508" s="32"/>
      <c r="H508" s="32"/>
      <c r="I508" s="67"/>
      <c r="J508" s="32"/>
      <c r="K508" s="32"/>
      <c r="L508" s="2304"/>
    </row>
    <row r="509" spans="1:12" ht="13.5" thickBot="1">
      <c r="A509" s="2147"/>
      <c r="B509" s="2148"/>
      <c r="C509" s="52" t="s">
        <v>26</v>
      </c>
      <c r="D509" s="65"/>
      <c r="E509" s="66"/>
      <c r="F509" s="66"/>
      <c r="G509" s="32"/>
      <c r="H509" s="32"/>
      <c r="I509" s="67"/>
      <c r="J509" s="32"/>
      <c r="K509" s="32"/>
      <c r="L509" s="2304"/>
    </row>
    <row r="510" spans="1:12" ht="13.5" thickBot="1">
      <c r="A510" s="2147"/>
      <c r="B510" s="2148"/>
      <c r="C510" s="52" t="s">
        <v>27</v>
      </c>
      <c r="D510" s="65"/>
      <c r="E510" s="66"/>
      <c r="F510" s="66"/>
      <c r="G510" s="32"/>
      <c r="H510" s="32"/>
      <c r="I510" s="67"/>
      <c r="J510" s="32"/>
      <c r="K510" s="32"/>
      <c r="L510" s="2304"/>
    </row>
    <row r="511" spans="1:12" ht="13.5" thickBot="1">
      <c r="A511" s="2147"/>
      <c r="B511" s="2148"/>
      <c r="C511" s="54" t="s">
        <v>28</v>
      </c>
      <c r="D511" s="73"/>
      <c r="E511" s="74">
        <f>SUM(E512,E514,E515)</f>
        <v>0</v>
      </c>
      <c r="F511" s="74">
        <f>SUM(F512,F514,F515)</f>
        <v>48000</v>
      </c>
      <c r="G511" s="74">
        <f>SUM(G512,G514,G515)</f>
        <v>0</v>
      </c>
      <c r="H511" s="74">
        <f>SUM(H512,H514,H515)</f>
        <v>0</v>
      </c>
      <c r="I511" s="67"/>
      <c r="J511" s="74">
        <f>SUM(J512,J514,J515)</f>
        <v>0</v>
      </c>
      <c r="K511" s="74">
        <f>SUM(K512,K514,K515)</f>
        <v>0</v>
      </c>
      <c r="L511" s="2304"/>
    </row>
    <row r="512" spans="1:12" ht="13.5" thickBot="1">
      <c r="A512" s="2147"/>
      <c r="B512" s="2148"/>
      <c r="C512" s="52" t="s">
        <v>29</v>
      </c>
      <c r="D512" s="71">
        <v>6300</v>
      </c>
      <c r="E512" s="66"/>
      <c r="F512" s="66">
        <v>48000</v>
      </c>
      <c r="G512" s="32"/>
      <c r="H512" s="32"/>
      <c r="I512" s="67"/>
      <c r="J512" s="32"/>
      <c r="K512" s="32"/>
      <c r="L512" s="2304"/>
    </row>
    <row r="513" spans="1:12" ht="23.25" thickBot="1">
      <c r="A513" s="2147"/>
      <c r="B513" s="2148"/>
      <c r="C513" s="41" t="s">
        <v>46</v>
      </c>
      <c r="D513" s="72"/>
      <c r="E513" s="70"/>
      <c r="F513" s="70"/>
      <c r="G513" s="32"/>
      <c r="H513" s="32"/>
      <c r="I513" s="67"/>
      <c r="J513" s="32"/>
      <c r="K513" s="32"/>
      <c r="L513" s="2304"/>
    </row>
    <row r="514" spans="1:12" ht="13.5" thickBot="1">
      <c r="A514" s="2147"/>
      <c r="B514" s="2148"/>
      <c r="C514" s="52" t="s">
        <v>31</v>
      </c>
      <c r="D514" s="65"/>
      <c r="E514" s="66"/>
      <c r="F514" s="66"/>
      <c r="G514" s="32"/>
      <c r="H514" s="32"/>
      <c r="I514" s="67"/>
      <c r="J514" s="32"/>
      <c r="K514" s="32"/>
      <c r="L514" s="2304"/>
    </row>
    <row r="515" spans="1:12" ht="13.5" thickBot="1">
      <c r="A515" s="2147"/>
      <c r="B515" s="2148"/>
      <c r="C515" s="52" t="s">
        <v>32</v>
      </c>
      <c r="D515" s="65"/>
      <c r="E515" s="66"/>
      <c r="F515" s="66"/>
      <c r="G515" s="28"/>
      <c r="H515" s="28"/>
      <c r="I515" s="67"/>
      <c r="J515" s="28"/>
      <c r="K515" s="28"/>
      <c r="L515" s="2337"/>
    </row>
    <row r="516" spans="1:12" s="20" customFormat="1" ht="22.5" customHeight="1" thickBot="1">
      <c r="A516" s="2357" t="s">
        <v>33</v>
      </c>
      <c r="B516" s="2357"/>
      <c r="C516" s="2357"/>
      <c r="D516" s="96"/>
      <c r="E516" s="97">
        <f>SUM(E455,E379,E333,E271,E240,E209,E162,E131,E74,E6,E317,E193)</f>
        <v>10565308</v>
      </c>
      <c r="F516" s="97">
        <f>SUM(F455,F379,F333,F271,F240,F209,F162,F131,F74,F6,F317,F193,F115)</f>
        <v>10777174</v>
      </c>
      <c r="G516" s="97" t="e">
        <f>SUM(G455,G379,G333,G271,G240,G209,G162,G131,G74,G6,G317,G193)</f>
        <v>#REF!</v>
      </c>
      <c r="H516" s="97">
        <f>SUM(H455,H379,H333,H271,H240,H209,H162,H131,H74,H6,H317,H193)</f>
        <v>10435104</v>
      </c>
      <c r="I516" s="98">
        <f>H516/E516</f>
        <v>0.98767627029898231</v>
      </c>
      <c r="J516" s="97">
        <f>SUM(J455,J379,J333,J271,J240,J209,J162,J131,J74,J6)</f>
        <v>0</v>
      </c>
      <c r="K516" s="97">
        <f>SUM(K455,K379,K333,K271,K240,K209,K162,K131,K74,K6)</f>
        <v>10435104</v>
      </c>
      <c r="L516" s="242"/>
    </row>
    <row r="517" spans="1:12" ht="6" customHeight="1">
      <c r="G517" s="99"/>
      <c r="H517" s="99"/>
      <c r="I517" s="99"/>
      <c r="J517" s="99"/>
      <c r="K517" s="99"/>
      <c r="L517" s="214"/>
    </row>
  </sheetData>
  <mergeCells count="107">
    <mergeCell ref="A516:C516"/>
    <mergeCell ref="A425:A439"/>
    <mergeCell ref="B425:B439"/>
    <mergeCell ref="A501:A515"/>
    <mergeCell ref="B501:B515"/>
    <mergeCell ref="A456:A470"/>
    <mergeCell ref="B456:B470"/>
    <mergeCell ref="A486:A500"/>
    <mergeCell ref="B486:B500"/>
    <mergeCell ref="A471:A485"/>
    <mergeCell ref="B471:B485"/>
    <mergeCell ref="A440:A454"/>
    <mergeCell ref="B440:B454"/>
    <mergeCell ref="A1:L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5:C5"/>
    <mergeCell ref="A7:A56"/>
    <mergeCell ref="B7:B56"/>
    <mergeCell ref="A178:A192"/>
    <mergeCell ref="B178:B192"/>
    <mergeCell ref="A116:A130"/>
    <mergeCell ref="B116:B130"/>
    <mergeCell ref="A132:A146"/>
    <mergeCell ref="B132:B146"/>
    <mergeCell ref="A163:A177"/>
    <mergeCell ref="B163:B177"/>
    <mergeCell ref="A147:A161"/>
    <mergeCell ref="B147:B161"/>
    <mergeCell ref="C14:C49"/>
    <mergeCell ref="C82:C107"/>
    <mergeCell ref="B110:B114"/>
    <mergeCell ref="A110:A114"/>
    <mergeCell ref="A57:A73"/>
    <mergeCell ref="B57:B73"/>
    <mergeCell ref="C61:C63"/>
    <mergeCell ref="A75:A109"/>
    <mergeCell ref="B75:B109"/>
    <mergeCell ref="A302:A316"/>
    <mergeCell ref="B302:B316"/>
    <mergeCell ref="A256:A270"/>
    <mergeCell ref="B256:B270"/>
    <mergeCell ref="A272:A286"/>
    <mergeCell ref="B272:B286"/>
    <mergeCell ref="A287:A301"/>
    <mergeCell ref="B287:B301"/>
    <mergeCell ref="A194:A208"/>
    <mergeCell ref="B194:B208"/>
    <mergeCell ref="A210:A224"/>
    <mergeCell ref="B210:B224"/>
    <mergeCell ref="A225:A239"/>
    <mergeCell ref="B225:B239"/>
    <mergeCell ref="A241:A255"/>
    <mergeCell ref="B241:B255"/>
    <mergeCell ref="A318:A332"/>
    <mergeCell ref="B318:B332"/>
    <mergeCell ref="A395:A409"/>
    <mergeCell ref="B395:B409"/>
    <mergeCell ref="A380:A394"/>
    <mergeCell ref="B380:B394"/>
    <mergeCell ref="A334:A348"/>
    <mergeCell ref="B334:B348"/>
    <mergeCell ref="A349:A363"/>
    <mergeCell ref="B349:B363"/>
    <mergeCell ref="A364:A378"/>
    <mergeCell ref="B364:B378"/>
    <mergeCell ref="A410:A424"/>
    <mergeCell ref="B410:B424"/>
    <mergeCell ref="L501:L515"/>
    <mergeCell ref="L486:L500"/>
    <mergeCell ref="L471:L485"/>
    <mergeCell ref="L456:L470"/>
    <mergeCell ref="L440:L454"/>
    <mergeCell ref="L425:L439"/>
    <mergeCell ref="L410:L424"/>
    <mergeCell ref="L395:L409"/>
    <mergeCell ref="L380:L394"/>
    <mergeCell ref="L7:L56"/>
    <mergeCell ref="L364:L378"/>
    <mergeCell ref="L349:L363"/>
    <mergeCell ref="L334:L348"/>
    <mergeCell ref="L318:L332"/>
    <mergeCell ref="L302:L316"/>
    <mergeCell ref="L272:L286"/>
    <mergeCell ref="L256:L270"/>
    <mergeCell ref="L163:L177"/>
    <mergeCell ref="L147:L161"/>
    <mergeCell ref="L57:L73"/>
    <mergeCell ref="L178:L192"/>
    <mergeCell ref="L75:L109"/>
    <mergeCell ref="L110:L114"/>
    <mergeCell ref="L241:L255"/>
    <mergeCell ref="L132:L146"/>
    <mergeCell ref="L116:L130"/>
    <mergeCell ref="L194:L208"/>
    <mergeCell ref="L210:L224"/>
    <mergeCell ref="L225:L239"/>
    <mergeCell ref="L287:L301"/>
  </mergeCells>
  <printOptions horizontalCentered="1"/>
  <pageMargins left="0.27559055118110237" right="0.23622047244094491" top="0.39370078740157483" bottom="3.937007874015748E-2" header="0.39370078740157483" footer="3.937007874015748E-2"/>
  <pageSetup paperSize="9" scale="80" fitToWidth="0" fitToHeight="0" orientation="landscape" horizontalDpi="4294967295" verticalDpi="4294967295" r:id="rId1"/>
  <headerFooter alignWithMargins="0"/>
  <rowBreaks count="4" manualBreakCount="4">
    <brk id="177" max="11" man="1"/>
    <brk id="219" max="11" man="1"/>
    <brk id="270" max="11" man="1"/>
    <brk id="37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FF"/>
  </sheetPr>
  <dimension ref="A1:AM329"/>
  <sheetViews>
    <sheetView view="pageBreakPreview" zoomScaleNormal="86" zoomScaleSheetLayoutView="100" workbookViewId="0">
      <selection activeCell="N12" sqref="N12"/>
    </sheetView>
  </sheetViews>
  <sheetFormatPr defaultRowHeight="15.75"/>
  <cols>
    <col min="1" max="1" width="3.5703125" style="178" customWidth="1"/>
    <col min="2" max="2" width="6.28515625" style="178" customWidth="1"/>
    <col min="3" max="3" width="44.140625" style="213" customWidth="1"/>
    <col min="4" max="4" width="6.85546875" style="178" customWidth="1"/>
    <col min="5" max="5" width="13.140625" style="178" customWidth="1"/>
    <col min="6" max="6" width="12.42578125" customWidth="1"/>
    <col min="7" max="7" width="11.7109375" hidden="1" customWidth="1"/>
    <col min="8" max="8" width="14.7109375" hidden="1" customWidth="1"/>
    <col min="9" max="9" width="11.28515625" hidden="1" customWidth="1"/>
    <col min="10" max="10" width="11.7109375" hidden="1" customWidth="1"/>
    <col min="11" max="11" width="14.7109375" style="178" customWidth="1"/>
    <col min="12" max="12" width="12.5703125" style="178" hidden="1" customWidth="1"/>
    <col min="13" max="13" width="97.85546875" style="991" customWidth="1"/>
    <col min="14" max="14" width="14" style="178" bestFit="1" customWidth="1"/>
    <col min="15" max="17" width="9.28515625" style="178" bestFit="1" customWidth="1"/>
    <col min="18" max="18" width="10.42578125" style="178" bestFit="1" customWidth="1"/>
    <col min="19" max="19" width="9.28515625" style="178" bestFit="1" customWidth="1"/>
    <col min="20" max="20" width="14" style="178" bestFit="1" customWidth="1"/>
    <col min="21" max="21" width="15.42578125" style="178" bestFit="1" customWidth="1"/>
    <col min="22" max="243" width="9.140625" style="178"/>
    <col min="244" max="244" width="4.28515625" style="178" bestFit="1" customWidth="1"/>
    <col min="245" max="245" width="6.85546875" style="178" bestFit="1" customWidth="1"/>
    <col min="246" max="246" width="11" style="178" customWidth="1"/>
    <col min="247" max="247" width="11.140625" style="178" bestFit="1" customWidth="1"/>
    <col min="248" max="248" width="10.85546875" style="178" customWidth="1"/>
    <col min="249" max="249" width="11.5703125" style="178" customWidth="1"/>
    <col min="250" max="250" width="11.140625" style="178" bestFit="1" customWidth="1"/>
    <col min="251" max="251" width="11" style="178" customWidth="1"/>
    <col min="252" max="252" width="10.42578125" style="178" customWidth="1"/>
    <col min="253" max="253" width="11.28515625" style="178" customWidth="1"/>
    <col min="254" max="255" width="9.140625" style="178" bestFit="1" customWidth="1"/>
    <col min="256" max="257" width="11.140625" style="178" bestFit="1" customWidth="1"/>
    <col min="258" max="258" width="11.5703125" style="178" bestFit="1" customWidth="1"/>
    <col min="259" max="259" width="9.140625" style="178" bestFit="1" customWidth="1"/>
    <col min="260" max="260" width="10.28515625" style="178" customWidth="1"/>
    <col min="261" max="499" width="9.140625" style="178"/>
    <col min="500" max="500" width="4.28515625" style="178" bestFit="1" customWidth="1"/>
    <col min="501" max="501" width="6.85546875" style="178" bestFit="1" customWidth="1"/>
    <col min="502" max="502" width="11" style="178" customWidth="1"/>
    <col min="503" max="503" width="11.140625" style="178" bestFit="1" customWidth="1"/>
    <col min="504" max="504" width="10.85546875" style="178" customWidth="1"/>
    <col min="505" max="505" width="11.5703125" style="178" customWidth="1"/>
    <col min="506" max="506" width="11.140625" style="178" bestFit="1" customWidth="1"/>
    <col min="507" max="507" width="11" style="178" customWidth="1"/>
    <col min="508" max="508" width="10.42578125" style="178" customWidth="1"/>
    <col min="509" max="509" width="11.28515625" style="178" customWidth="1"/>
    <col min="510" max="511" width="9.140625" style="178" bestFit="1" customWidth="1"/>
    <col min="512" max="513" width="11.140625" style="178" bestFit="1" customWidth="1"/>
    <col min="514" max="514" width="11.5703125" style="178" bestFit="1" customWidth="1"/>
    <col min="515" max="515" width="9.140625" style="178" bestFit="1" customWidth="1"/>
    <col min="516" max="516" width="10.28515625" style="178" customWidth="1"/>
    <col min="517" max="755" width="9.140625" style="178"/>
    <col min="756" max="756" width="4.28515625" style="178" bestFit="1" customWidth="1"/>
    <col min="757" max="757" width="6.85546875" style="178" bestFit="1" customWidth="1"/>
    <col min="758" max="758" width="11" style="178" customWidth="1"/>
    <col min="759" max="759" width="11.140625" style="178" bestFit="1" customWidth="1"/>
    <col min="760" max="760" width="10.85546875" style="178" customWidth="1"/>
    <col min="761" max="761" width="11.5703125" style="178" customWidth="1"/>
    <col min="762" max="762" width="11.140625" style="178" bestFit="1" customWidth="1"/>
    <col min="763" max="763" width="11" style="178" customWidth="1"/>
    <col min="764" max="764" width="10.42578125" style="178" customWidth="1"/>
    <col min="765" max="765" width="11.28515625" style="178" customWidth="1"/>
    <col min="766" max="767" width="9.140625" style="178" bestFit="1" customWidth="1"/>
    <col min="768" max="769" width="11.140625" style="178" bestFit="1" customWidth="1"/>
    <col min="770" max="770" width="11.5703125" style="178" bestFit="1" customWidth="1"/>
    <col min="771" max="771" width="9.140625" style="178" bestFit="1" customWidth="1"/>
    <col min="772" max="772" width="10.28515625" style="178" customWidth="1"/>
    <col min="773" max="1011" width="9.140625" style="178"/>
    <col min="1012" max="1012" width="4.28515625" style="178" bestFit="1" customWidth="1"/>
    <col min="1013" max="1013" width="6.85546875" style="178" bestFit="1" customWidth="1"/>
    <col min="1014" max="1014" width="11" style="178" customWidth="1"/>
    <col min="1015" max="1015" width="11.140625" style="178" bestFit="1" customWidth="1"/>
    <col min="1016" max="1016" width="10.85546875" style="178" customWidth="1"/>
    <col min="1017" max="1017" width="11.5703125" style="178" customWidth="1"/>
    <col min="1018" max="1018" width="11.140625" style="178" bestFit="1" customWidth="1"/>
    <col min="1019" max="1019" width="11" style="178" customWidth="1"/>
    <col min="1020" max="1020" width="10.42578125" style="178" customWidth="1"/>
    <col min="1021" max="1021" width="11.28515625" style="178" customWidth="1"/>
    <col min="1022" max="1023" width="9.140625" style="178" bestFit="1" customWidth="1"/>
    <col min="1024" max="1025" width="11.140625" style="178" bestFit="1" customWidth="1"/>
    <col min="1026" max="1026" width="11.5703125" style="178" bestFit="1" customWidth="1"/>
    <col min="1027" max="1027" width="9.140625" style="178" bestFit="1" customWidth="1"/>
    <col min="1028" max="1028" width="10.28515625" style="178" customWidth="1"/>
    <col min="1029" max="1267" width="9.140625" style="178"/>
    <col min="1268" max="1268" width="4.28515625" style="178" bestFit="1" customWidth="1"/>
    <col min="1269" max="1269" width="6.85546875" style="178" bestFit="1" customWidth="1"/>
    <col min="1270" max="1270" width="11" style="178" customWidth="1"/>
    <col min="1271" max="1271" width="11.140625" style="178" bestFit="1" customWidth="1"/>
    <col min="1272" max="1272" width="10.85546875" style="178" customWidth="1"/>
    <col min="1273" max="1273" width="11.5703125" style="178" customWidth="1"/>
    <col min="1274" max="1274" width="11.140625" style="178" bestFit="1" customWidth="1"/>
    <col min="1275" max="1275" width="11" style="178" customWidth="1"/>
    <col min="1276" max="1276" width="10.42578125" style="178" customWidth="1"/>
    <col min="1277" max="1277" width="11.28515625" style="178" customWidth="1"/>
    <col min="1278" max="1279" width="9.140625" style="178" bestFit="1" customWidth="1"/>
    <col min="1280" max="1281" width="11.140625" style="178" bestFit="1" customWidth="1"/>
    <col min="1282" max="1282" width="11.5703125" style="178" bestFit="1" customWidth="1"/>
    <col min="1283" max="1283" width="9.140625" style="178" bestFit="1" customWidth="1"/>
    <col min="1284" max="1284" width="10.28515625" style="178" customWidth="1"/>
    <col min="1285" max="1523" width="9.140625" style="178"/>
    <col min="1524" max="1524" width="4.28515625" style="178" bestFit="1" customWidth="1"/>
    <col min="1525" max="1525" width="6.85546875" style="178" bestFit="1" customWidth="1"/>
    <col min="1526" max="1526" width="11" style="178" customWidth="1"/>
    <col min="1527" max="1527" width="11.140625" style="178" bestFit="1" customWidth="1"/>
    <col min="1528" max="1528" width="10.85546875" style="178" customWidth="1"/>
    <col min="1529" max="1529" width="11.5703125" style="178" customWidth="1"/>
    <col min="1530" max="1530" width="11.140625" style="178" bestFit="1" customWidth="1"/>
    <col min="1531" max="1531" width="11" style="178" customWidth="1"/>
    <col min="1532" max="1532" width="10.42578125" style="178" customWidth="1"/>
    <col min="1533" max="1533" width="11.28515625" style="178" customWidth="1"/>
    <col min="1534" max="1535" width="9.140625" style="178" bestFit="1" customWidth="1"/>
    <col min="1536" max="1537" width="11.140625" style="178" bestFit="1" customWidth="1"/>
    <col min="1538" max="1538" width="11.5703125" style="178" bestFit="1" customWidth="1"/>
    <col min="1539" max="1539" width="9.140625" style="178" bestFit="1" customWidth="1"/>
    <col min="1540" max="1540" width="10.28515625" style="178" customWidth="1"/>
    <col min="1541" max="1779" width="9.140625" style="178"/>
    <col min="1780" max="1780" width="4.28515625" style="178" bestFit="1" customWidth="1"/>
    <col min="1781" max="1781" width="6.85546875" style="178" bestFit="1" customWidth="1"/>
    <col min="1782" max="1782" width="11" style="178" customWidth="1"/>
    <col min="1783" max="1783" width="11.140625" style="178" bestFit="1" customWidth="1"/>
    <col min="1784" max="1784" width="10.85546875" style="178" customWidth="1"/>
    <col min="1785" max="1785" width="11.5703125" style="178" customWidth="1"/>
    <col min="1786" max="1786" width="11.140625" style="178" bestFit="1" customWidth="1"/>
    <col min="1787" max="1787" width="11" style="178" customWidth="1"/>
    <col min="1788" max="1788" width="10.42578125" style="178" customWidth="1"/>
    <col min="1789" max="1789" width="11.28515625" style="178" customWidth="1"/>
    <col min="1790" max="1791" width="9.140625" style="178" bestFit="1" customWidth="1"/>
    <col min="1792" max="1793" width="11.140625" style="178" bestFit="1" customWidth="1"/>
    <col min="1794" max="1794" width="11.5703125" style="178" bestFit="1" customWidth="1"/>
    <col min="1795" max="1795" width="9.140625" style="178" bestFit="1" customWidth="1"/>
    <col min="1796" max="1796" width="10.28515625" style="178" customWidth="1"/>
    <col min="1797" max="2035" width="9.140625" style="178"/>
    <col min="2036" max="2036" width="4.28515625" style="178" bestFit="1" customWidth="1"/>
    <col min="2037" max="2037" width="6.85546875" style="178" bestFit="1" customWidth="1"/>
    <col min="2038" max="2038" width="11" style="178" customWidth="1"/>
    <col min="2039" max="2039" width="11.140625" style="178" bestFit="1" customWidth="1"/>
    <col min="2040" max="2040" width="10.85546875" style="178" customWidth="1"/>
    <col min="2041" max="2041" width="11.5703125" style="178" customWidth="1"/>
    <col min="2042" max="2042" width="11.140625" style="178" bestFit="1" customWidth="1"/>
    <col min="2043" max="2043" width="11" style="178" customWidth="1"/>
    <col min="2044" max="2044" width="10.42578125" style="178" customWidth="1"/>
    <col min="2045" max="2045" width="11.28515625" style="178" customWidth="1"/>
    <col min="2046" max="2047" width="9.140625" style="178" bestFit="1" customWidth="1"/>
    <col min="2048" max="2049" width="11.140625" style="178" bestFit="1" customWidth="1"/>
    <col min="2050" max="2050" width="11.5703125" style="178" bestFit="1" customWidth="1"/>
    <col min="2051" max="2051" width="9.140625" style="178" bestFit="1" customWidth="1"/>
    <col min="2052" max="2052" width="10.28515625" style="178" customWidth="1"/>
    <col min="2053" max="2291" width="9.140625" style="178"/>
    <col min="2292" max="2292" width="4.28515625" style="178" bestFit="1" customWidth="1"/>
    <col min="2293" max="2293" width="6.85546875" style="178" bestFit="1" customWidth="1"/>
    <col min="2294" max="2294" width="11" style="178" customWidth="1"/>
    <col min="2295" max="2295" width="11.140625" style="178" bestFit="1" customWidth="1"/>
    <col min="2296" max="2296" width="10.85546875" style="178" customWidth="1"/>
    <col min="2297" max="2297" width="11.5703125" style="178" customWidth="1"/>
    <col min="2298" max="2298" width="11.140625" style="178" bestFit="1" customWidth="1"/>
    <col min="2299" max="2299" width="11" style="178" customWidth="1"/>
    <col min="2300" max="2300" width="10.42578125" style="178" customWidth="1"/>
    <col min="2301" max="2301" width="11.28515625" style="178" customWidth="1"/>
    <col min="2302" max="2303" width="9.140625" style="178" bestFit="1" customWidth="1"/>
    <col min="2304" max="2305" width="11.140625" style="178" bestFit="1" customWidth="1"/>
    <col min="2306" max="2306" width="11.5703125" style="178" bestFit="1" customWidth="1"/>
    <col min="2307" max="2307" width="9.140625" style="178" bestFit="1" customWidth="1"/>
    <col min="2308" max="2308" width="10.28515625" style="178" customWidth="1"/>
    <col min="2309" max="2547" width="9.140625" style="178"/>
    <col min="2548" max="2548" width="4.28515625" style="178" bestFit="1" customWidth="1"/>
    <col min="2549" max="2549" width="6.85546875" style="178" bestFit="1" customWidth="1"/>
    <col min="2550" max="2550" width="11" style="178" customWidth="1"/>
    <col min="2551" max="2551" width="11.140625" style="178" bestFit="1" customWidth="1"/>
    <col min="2552" max="2552" width="10.85546875" style="178" customWidth="1"/>
    <col min="2553" max="2553" width="11.5703125" style="178" customWidth="1"/>
    <col min="2554" max="2554" width="11.140625" style="178" bestFit="1" customWidth="1"/>
    <col min="2555" max="2555" width="11" style="178" customWidth="1"/>
    <col min="2556" max="2556" width="10.42578125" style="178" customWidth="1"/>
    <col min="2557" max="2557" width="11.28515625" style="178" customWidth="1"/>
    <col min="2558" max="2559" width="9.140625" style="178" bestFit="1" customWidth="1"/>
    <col min="2560" max="2561" width="11.140625" style="178" bestFit="1" customWidth="1"/>
    <col min="2562" max="2562" width="11.5703125" style="178" bestFit="1" customWidth="1"/>
    <col min="2563" max="2563" width="9.140625" style="178" bestFit="1" customWidth="1"/>
    <col min="2564" max="2564" width="10.28515625" style="178" customWidth="1"/>
    <col min="2565" max="2803" width="9.140625" style="178"/>
    <col min="2804" max="2804" width="4.28515625" style="178" bestFit="1" customWidth="1"/>
    <col min="2805" max="2805" width="6.85546875" style="178" bestFit="1" customWidth="1"/>
    <col min="2806" max="2806" width="11" style="178" customWidth="1"/>
    <col min="2807" max="2807" width="11.140625" style="178" bestFit="1" customWidth="1"/>
    <col min="2808" max="2808" width="10.85546875" style="178" customWidth="1"/>
    <col min="2809" max="2809" width="11.5703125" style="178" customWidth="1"/>
    <col min="2810" max="2810" width="11.140625" style="178" bestFit="1" customWidth="1"/>
    <col min="2811" max="2811" width="11" style="178" customWidth="1"/>
    <col min="2812" max="2812" width="10.42578125" style="178" customWidth="1"/>
    <col min="2813" max="2813" width="11.28515625" style="178" customWidth="1"/>
    <col min="2814" max="2815" width="9.140625" style="178" bestFit="1" customWidth="1"/>
    <col min="2816" max="2817" width="11.140625" style="178" bestFit="1" customWidth="1"/>
    <col min="2818" max="2818" width="11.5703125" style="178" bestFit="1" customWidth="1"/>
    <col min="2819" max="2819" width="9.140625" style="178" bestFit="1" customWidth="1"/>
    <col min="2820" max="2820" width="10.28515625" style="178" customWidth="1"/>
    <col min="2821" max="3059" width="9.140625" style="178"/>
    <col min="3060" max="3060" width="4.28515625" style="178" bestFit="1" customWidth="1"/>
    <col min="3061" max="3061" width="6.85546875" style="178" bestFit="1" customWidth="1"/>
    <col min="3062" max="3062" width="11" style="178" customWidth="1"/>
    <col min="3063" max="3063" width="11.140625" style="178" bestFit="1" customWidth="1"/>
    <col min="3064" max="3064" width="10.85546875" style="178" customWidth="1"/>
    <col min="3065" max="3065" width="11.5703125" style="178" customWidth="1"/>
    <col min="3066" max="3066" width="11.140625" style="178" bestFit="1" customWidth="1"/>
    <col min="3067" max="3067" width="11" style="178" customWidth="1"/>
    <col min="3068" max="3068" width="10.42578125" style="178" customWidth="1"/>
    <col min="3069" max="3069" width="11.28515625" style="178" customWidth="1"/>
    <col min="3070" max="3071" width="9.140625" style="178" bestFit="1" customWidth="1"/>
    <col min="3072" max="3073" width="11.140625" style="178" bestFit="1" customWidth="1"/>
    <col min="3074" max="3074" width="11.5703125" style="178" bestFit="1" customWidth="1"/>
    <col min="3075" max="3075" width="9.140625" style="178" bestFit="1" customWidth="1"/>
    <col min="3076" max="3076" width="10.28515625" style="178" customWidth="1"/>
    <col min="3077" max="3315" width="9.140625" style="178"/>
    <col min="3316" max="3316" width="4.28515625" style="178" bestFit="1" customWidth="1"/>
    <col min="3317" max="3317" width="6.85546875" style="178" bestFit="1" customWidth="1"/>
    <col min="3318" max="3318" width="11" style="178" customWidth="1"/>
    <col min="3319" max="3319" width="11.140625" style="178" bestFit="1" customWidth="1"/>
    <col min="3320" max="3320" width="10.85546875" style="178" customWidth="1"/>
    <col min="3321" max="3321" width="11.5703125" style="178" customWidth="1"/>
    <col min="3322" max="3322" width="11.140625" style="178" bestFit="1" customWidth="1"/>
    <col min="3323" max="3323" width="11" style="178" customWidth="1"/>
    <col min="3324" max="3324" width="10.42578125" style="178" customWidth="1"/>
    <col min="3325" max="3325" width="11.28515625" style="178" customWidth="1"/>
    <col min="3326" max="3327" width="9.140625" style="178" bestFit="1" customWidth="1"/>
    <col min="3328" max="3329" width="11.140625" style="178" bestFit="1" customWidth="1"/>
    <col min="3330" max="3330" width="11.5703125" style="178" bestFit="1" customWidth="1"/>
    <col min="3331" max="3331" width="9.140625" style="178" bestFit="1" customWidth="1"/>
    <col min="3332" max="3332" width="10.28515625" style="178" customWidth="1"/>
    <col min="3333" max="3571" width="9.140625" style="178"/>
    <col min="3572" max="3572" width="4.28515625" style="178" bestFit="1" customWidth="1"/>
    <col min="3573" max="3573" width="6.85546875" style="178" bestFit="1" customWidth="1"/>
    <col min="3574" max="3574" width="11" style="178" customWidth="1"/>
    <col min="3575" max="3575" width="11.140625" style="178" bestFit="1" customWidth="1"/>
    <col min="3576" max="3576" width="10.85546875" style="178" customWidth="1"/>
    <col min="3577" max="3577" width="11.5703125" style="178" customWidth="1"/>
    <col min="3578" max="3578" width="11.140625" style="178" bestFit="1" customWidth="1"/>
    <col min="3579" max="3579" width="11" style="178" customWidth="1"/>
    <col min="3580" max="3580" width="10.42578125" style="178" customWidth="1"/>
    <col min="3581" max="3581" width="11.28515625" style="178" customWidth="1"/>
    <col min="3582" max="3583" width="9.140625" style="178" bestFit="1" customWidth="1"/>
    <col min="3584" max="3585" width="11.140625" style="178" bestFit="1" customWidth="1"/>
    <col min="3586" max="3586" width="11.5703125" style="178" bestFit="1" customWidth="1"/>
    <col min="3587" max="3587" width="9.140625" style="178" bestFit="1" customWidth="1"/>
    <col min="3588" max="3588" width="10.28515625" style="178" customWidth="1"/>
    <col min="3589" max="3827" width="9.140625" style="178"/>
    <col min="3828" max="3828" width="4.28515625" style="178" bestFit="1" customWidth="1"/>
    <col min="3829" max="3829" width="6.85546875" style="178" bestFit="1" customWidth="1"/>
    <col min="3830" max="3830" width="11" style="178" customWidth="1"/>
    <col min="3831" max="3831" width="11.140625" style="178" bestFit="1" customWidth="1"/>
    <col min="3832" max="3832" width="10.85546875" style="178" customWidth="1"/>
    <col min="3833" max="3833" width="11.5703125" style="178" customWidth="1"/>
    <col min="3834" max="3834" width="11.140625" style="178" bestFit="1" customWidth="1"/>
    <col min="3835" max="3835" width="11" style="178" customWidth="1"/>
    <col min="3836" max="3836" width="10.42578125" style="178" customWidth="1"/>
    <col min="3837" max="3837" width="11.28515625" style="178" customWidth="1"/>
    <col min="3838" max="3839" width="9.140625" style="178" bestFit="1" customWidth="1"/>
    <col min="3840" max="3841" width="11.140625" style="178" bestFit="1" customWidth="1"/>
    <col min="3842" max="3842" width="11.5703125" style="178" bestFit="1" customWidth="1"/>
    <col min="3843" max="3843" width="9.140625" style="178" bestFit="1" customWidth="1"/>
    <col min="3844" max="3844" width="10.28515625" style="178" customWidth="1"/>
    <col min="3845" max="4083" width="9.140625" style="178"/>
    <col min="4084" max="4084" width="4.28515625" style="178" bestFit="1" customWidth="1"/>
    <col min="4085" max="4085" width="6.85546875" style="178" bestFit="1" customWidth="1"/>
    <col min="4086" max="4086" width="11" style="178" customWidth="1"/>
    <col min="4087" max="4087" width="11.140625" style="178" bestFit="1" customWidth="1"/>
    <col min="4088" max="4088" width="10.85546875" style="178" customWidth="1"/>
    <col min="4089" max="4089" width="11.5703125" style="178" customWidth="1"/>
    <col min="4090" max="4090" width="11.140625" style="178" bestFit="1" customWidth="1"/>
    <col min="4091" max="4091" width="11" style="178" customWidth="1"/>
    <col min="4092" max="4092" width="10.42578125" style="178" customWidth="1"/>
    <col min="4093" max="4093" width="11.28515625" style="178" customWidth="1"/>
    <col min="4094" max="4095" width="9.140625" style="178" bestFit="1" customWidth="1"/>
    <col min="4096" max="4097" width="11.140625" style="178" bestFit="1" customWidth="1"/>
    <col min="4098" max="4098" width="11.5703125" style="178" bestFit="1" customWidth="1"/>
    <col min="4099" max="4099" width="9.140625" style="178" bestFit="1" customWidth="1"/>
    <col min="4100" max="4100" width="10.28515625" style="178" customWidth="1"/>
    <col min="4101" max="4339" width="9.140625" style="178"/>
    <col min="4340" max="4340" width="4.28515625" style="178" bestFit="1" customWidth="1"/>
    <col min="4341" max="4341" width="6.85546875" style="178" bestFit="1" customWidth="1"/>
    <col min="4342" max="4342" width="11" style="178" customWidth="1"/>
    <col min="4343" max="4343" width="11.140625" style="178" bestFit="1" customWidth="1"/>
    <col min="4344" max="4344" width="10.85546875" style="178" customWidth="1"/>
    <col min="4345" max="4345" width="11.5703125" style="178" customWidth="1"/>
    <col min="4346" max="4346" width="11.140625" style="178" bestFit="1" customWidth="1"/>
    <col min="4347" max="4347" width="11" style="178" customWidth="1"/>
    <col min="4348" max="4348" width="10.42578125" style="178" customWidth="1"/>
    <col min="4349" max="4349" width="11.28515625" style="178" customWidth="1"/>
    <col min="4350" max="4351" width="9.140625" style="178" bestFit="1" customWidth="1"/>
    <col min="4352" max="4353" width="11.140625" style="178" bestFit="1" customWidth="1"/>
    <col min="4354" max="4354" width="11.5703125" style="178" bestFit="1" customWidth="1"/>
    <col min="4355" max="4355" width="9.140625" style="178" bestFit="1" customWidth="1"/>
    <col min="4356" max="4356" width="10.28515625" style="178" customWidth="1"/>
    <col min="4357" max="4595" width="9.140625" style="178"/>
    <col min="4596" max="4596" width="4.28515625" style="178" bestFit="1" customWidth="1"/>
    <col min="4597" max="4597" width="6.85546875" style="178" bestFit="1" customWidth="1"/>
    <col min="4598" max="4598" width="11" style="178" customWidth="1"/>
    <col min="4599" max="4599" width="11.140625" style="178" bestFit="1" customWidth="1"/>
    <col min="4600" max="4600" width="10.85546875" style="178" customWidth="1"/>
    <col min="4601" max="4601" width="11.5703125" style="178" customWidth="1"/>
    <col min="4602" max="4602" width="11.140625" style="178" bestFit="1" customWidth="1"/>
    <col min="4603" max="4603" width="11" style="178" customWidth="1"/>
    <col min="4604" max="4604" width="10.42578125" style="178" customWidth="1"/>
    <col min="4605" max="4605" width="11.28515625" style="178" customWidth="1"/>
    <col min="4606" max="4607" width="9.140625" style="178" bestFit="1" customWidth="1"/>
    <col min="4608" max="4609" width="11.140625" style="178" bestFit="1" customWidth="1"/>
    <col min="4610" max="4610" width="11.5703125" style="178" bestFit="1" customWidth="1"/>
    <col min="4611" max="4611" width="9.140625" style="178" bestFit="1" customWidth="1"/>
    <col min="4612" max="4612" width="10.28515625" style="178" customWidth="1"/>
    <col min="4613" max="4851" width="9.140625" style="178"/>
    <col min="4852" max="4852" width="4.28515625" style="178" bestFit="1" customWidth="1"/>
    <col min="4853" max="4853" width="6.85546875" style="178" bestFit="1" customWidth="1"/>
    <col min="4854" max="4854" width="11" style="178" customWidth="1"/>
    <col min="4855" max="4855" width="11.140625" style="178" bestFit="1" customWidth="1"/>
    <col min="4856" max="4856" width="10.85546875" style="178" customWidth="1"/>
    <col min="4857" max="4857" width="11.5703125" style="178" customWidth="1"/>
    <col min="4858" max="4858" width="11.140625" style="178" bestFit="1" customWidth="1"/>
    <col min="4859" max="4859" width="11" style="178" customWidth="1"/>
    <col min="4860" max="4860" width="10.42578125" style="178" customWidth="1"/>
    <col min="4861" max="4861" width="11.28515625" style="178" customWidth="1"/>
    <col min="4862" max="4863" width="9.140625" style="178" bestFit="1" customWidth="1"/>
    <col min="4864" max="4865" width="11.140625" style="178" bestFit="1" customWidth="1"/>
    <col min="4866" max="4866" width="11.5703125" style="178" bestFit="1" customWidth="1"/>
    <col min="4867" max="4867" width="9.140625" style="178" bestFit="1" customWidth="1"/>
    <col min="4868" max="4868" width="10.28515625" style="178" customWidth="1"/>
    <col min="4869" max="5107" width="9.140625" style="178"/>
    <col min="5108" max="5108" width="4.28515625" style="178" bestFit="1" customWidth="1"/>
    <col min="5109" max="5109" width="6.85546875" style="178" bestFit="1" customWidth="1"/>
    <col min="5110" max="5110" width="11" style="178" customWidth="1"/>
    <col min="5111" max="5111" width="11.140625" style="178" bestFit="1" customWidth="1"/>
    <col min="5112" max="5112" width="10.85546875" style="178" customWidth="1"/>
    <col min="5113" max="5113" width="11.5703125" style="178" customWidth="1"/>
    <col min="5114" max="5114" width="11.140625" style="178" bestFit="1" customWidth="1"/>
    <col min="5115" max="5115" width="11" style="178" customWidth="1"/>
    <col min="5116" max="5116" width="10.42578125" style="178" customWidth="1"/>
    <col min="5117" max="5117" width="11.28515625" style="178" customWidth="1"/>
    <col min="5118" max="5119" width="9.140625" style="178" bestFit="1" customWidth="1"/>
    <col min="5120" max="5121" width="11.140625" style="178" bestFit="1" customWidth="1"/>
    <col min="5122" max="5122" width="11.5703125" style="178" bestFit="1" customWidth="1"/>
    <col min="5123" max="5123" width="9.140625" style="178" bestFit="1" customWidth="1"/>
    <col min="5124" max="5124" width="10.28515625" style="178" customWidth="1"/>
    <col min="5125" max="5363" width="9.140625" style="178"/>
    <col min="5364" max="5364" width="4.28515625" style="178" bestFit="1" customWidth="1"/>
    <col min="5365" max="5365" width="6.85546875" style="178" bestFit="1" customWidth="1"/>
    <col min="5366" max="5366" width="11" style="178" customWidth="1"/>
    <col min="5367" max="5367" width="11.140625" style="178" bestFit="1" customWidth="1"/>
    <col min="5368" max="5368" width="10.85546875" style="178" customWidth="1"/>
    <col min="5369" max="5369" width="11.5703125" style="178" customWidth="1"/>
    <col min="5370" max="5370" width="11.140625" style="178" bestFit="1" customWidth="1"/>
    <col min="5371" max="5371" width="11" style="178" customWidth="1"/>
    <col min="5372" max="5372" width="10.42578125" style="178" customWidth="1"/>
    <col min="5373" max="5373" width="11.28515625" style="178" customWidth="1"/>
    <col min="5374" max="5375" width="9.140625" style="178" bestFit="1" customWidth="1"/>
    <col min="5376" max="5377" width="11.140625" style="178" bestFit="1" customWidth="1"/>
    <col min="5378" max="5378" width="11.5703125" style="178" bestFit="1" customWidth="1"/>
    <col min="5379" max="5379" width="9.140625" style="178" bestFit="1" customWidth="1"/>
    <col min="5380" max="5380" width="10.28515625" style="178" customWidth="1"/>
    <col min="5381" max="5619" width="9.140625" style="178"/>
    <col min="5620" max="5620" width="4.28515625" style="178" bestFit="1" customWidth="1"/>
    <col min="5621" max="5621" width="6.85546875" style="178" bestFit="1" customWidth="1"/>
    <col min="5622" max="5622" width="11" style="178" customWidth="1"/>
    <col min="5623" max="5623" width="11.140625" style="178" bestFit="1" customWidth="1"/>
    <col min="5624" max="5624" width="10.85546875" style="178" customWidth="1"/>
    <col min="5625" max="5625" width="11.5703125" style="178" customWidth="1"/>
    <col min="5626" max="5626" width="11.140625" style="178" bestFit="1" customWidth="1"/>
    <col min="5627" max="5627" width="11" style="178" customWidth="1"/>
    <col min="5628" max="5628" width="10.42578125" style="178" customWidth="1"/>
    <col min="5629" max="5629" width="11.28515625" style="178" customWidth="1"/>
    <col min="5630" max="5631" width="9.140625" style="178" bestFit="1" customWidth="1"/>
    <col min="5632" max="5633" width="11.140625" style="178" bestFit="1" customWidth="1"/>
    <col min="5634" max="5634" width="11.5703125" style="178" bestFit="1" customWidth="1"/>
    <col min="5635" max="5635" width="9.140625" style="178" bestFit="1" customWidth="1"/>
    <col min="5636" max="5636" width="10.28515625" style="178" customWidth="1"/>
    <col min="5637" max="5875" width="9.140625" style="178"/>
    <col min="5876" max="5876" width="4.28515625" style="178" bestFit="1" customWidth="1"/>
    <col min="5877" max="5877" width="6.85546875" style="178" bestFit="1" customWidth="1"/>
    <col min="5878" max="5878" width="11" style="178" customWidth="1"/>
    <col min="5879" max="5879" width="11.140625" style="178" bestFit="1" customWidth="1"/>
    <col min="5880" max="5880" width="10.85546875" style="178" customWidth="1"/>
    <col min="5881" max="5881" width="11.5703125" style="178" customWidth="1"/>
    <col min="5882" max="5882" width="11.140625" style="178" bestFit="1" customWidth="1"/>
    <col min="5883" max="5883" width="11" style="178" customWidth="1"/>
    <col min="5884" max="5884" width="10.42578125" style="178" customWidth="1"/>
    <col min="5885" max="5885" width="11.28515625" style="178" customWidth="1"/>
    <col min="5886" max="5887" width="9.140625" style="178" bestFit="1" customWidth="1"/>
    <col min="5888" max="5889" width="11.140625" style="178" bestFit="1" customWidth="1"/>
    <col min="5890" max="5890" width="11.5703125" style="178" bestFit="1" customWidth="1"/>
    <col min="5891" max="5891" width="9.140625" style="178" bestFit="1" customWidth="1"/>
    <col min="5892" max="5892" width="10.28515625" style="178" customWidth="1"/>
    <col min="5893" max="6131" width="9.140625" style="178"/>
    <col min="6132" max="6132" width="4.28515625" style="178" bestFit="1" customWidth="1"/>
    <col min="6133" max="6133" width="6.85546875" style="178" bestFit="1" customWidth="1"/>
    <col min="6134" max="6134" width="11" style="178" customWidth="1"/>
    <col min="6135" max="6135" width="11.140625" style="178" bestFit="1" customWidth="1"/>
    <col min="6136" max="6136" width="10.85546875" style="178" customWidth="1"/>
    <col min="6137" max="6137" width="11.5703125" style="178" customWidth="1"/>
    <col min="6138" max="6138" width="11.140625" style="178" bestFit="1" customWidth="1"/>
    <col min="6139" max="6139" width="11" style="178" customWidth="1"/>
    <col min="6140" max="6140" width="10.42578125" style="178" customWidth="1"/>
    <col min="6141" max="6141" width="11.28515625" style="178" customWidth="1"/>
    <col min="6142" max="6143" width="9.140625" style="178" bestFit="1" customWidth="1"/>
    <col min="6144" max="6145" width="11.140625" style="178" bestFit="1" customWidth="1"/>
    <col min="6146" max="6146" width="11.5703125" style="178" bestFit="1" customWidth="1"/>
    <col min="6147" max="6147" width="9.140625" style="178" bestFit="1" customWidth="1"/>
    <col min="6148" max="6148" width="10.28515625" style="178" customWidth="1"/>
    <col min="6149" max="6387" width="9.140625" style="178"/>
    <col min="6388" max="6388" width="4.28515625" style="178" bestFit="1" customWidth="1"/>
    <col min="6389" max="6389" width="6.85546875" style="178" bestFit="1" customWidth="1"/>
    <col min="6390" max="6390" width="11" style="178" customWidth="1"/>
    <col min="6391" max="6391" width="11.140625" style="178" bestFit="1" customWidth="1"/>
    <col min="6392" max="6392" width="10.85546875" style="178" customWidth="1"/>
    <col min="6393" max="6393" width="11.5703125" style="178" customWidth="1"/>
    <col min="6394" max="6394" width="11.140625" style="178" bestFit="1" customWidth="1"/>
    <col min="6395" max="6395" width="11" style="178" customWidth="1"/>
    <col min="6396" max="6396" width="10.42578125" style="178" customWidth="1"/>
    <col min="6397" max="6397" width="11.28515625" style="178" customWidth="1"/>
    <col min="6398" max="6399" width="9.140625" style="178" bestFit="1" customWidth="1"/>
    <col min="6400" max="6401" width="11.140625" style="178" bestFit="1" customWidth="1"/>
    <col min="6402" max="6402" width="11.5703125" style="178" bestFit="1" customWidth="1"/>
    <col min="6403" max="6403" width="9.140625" style="178" bestFit="1" customWidth="1"/>
    <col min="6404" max="6404" width="10.28515625" style="178" customWidth="1"/>
    <col min="6405" max="6643" width="9.140625" style="178"/>
    <col min="6644" max="6644" width="4.28515625" style="178" bestFit="1" customWidth="1"/>
    <col min="6645" max="6645" width="6.85546875" style="178" bestFit="1" customWidth="1"/>
    <col min="6646" max="6646" width="11" style="178" customWidth="1"/>
    <col min="6647" max="6647" width="11.140625" style="178" bestFit="1" customWidth="1"/>
    <col min="6648" max="6648" width="10.85546875" style="178" customWidth="1"/>
    <col min="6649" max="6649" width="11.5703125" style="178" customWidth="1"/>
    <col min="6650" max="6650" width="11.140625" style="178" bestFit="1" customWidth="1"/>
    <col min="6651" max="6651" width="11" style="178" customWidth="1"/>
    <col min="6652" max="6652" width="10.42578125" style="178" customWidth="1"/>
    <col min="6653" max="6653" width="11.28515625" style="178" customWidth="1"/>
    <col min="6654" max="6655" width="9.140625" style="178" bestFit="1" customWidth="1"/>
    <col min="6656" max="6657" width="11.140625" style="178" bestFit="1" customWidth="1"/>
    <col min="6658" max="6658" width="11.5703125" style="178" bestFit="1" customWidth="1"/>
    <col min="6659" max="6659" width="9.140625" style="178" bestFit="1" customWidth="1"/>
    <col min="6660" max="6660" width="10.28515625" style="178" customWidth="1"/>
    <col min="6661" max="6899" width="9.140625" style="178"/>
    <col min="6900" max="6900" width="4.28515625" style="178" bestFit="1" customWidth="1"/>
    <col min="6901" max="6901" width="6.85546875" style="178" bestFit="1" customWidth="1"/>
    <col min="6902" max="6902" width="11" style="178" customWidth="1"/>
    <col min="6903" max="6903" width="11.140625" style="178" bestFit="1" customWidth="1"/>
    <col min="6904" max="6904" width="10.85546875" style="178" customWidth="1"/>
    <col min="6905" max="6905" width="11.5703125" style="178" customWidth="1"/>
    <col min="6906" max="6906" width="11.140625" style="178" bestFit="1" customWidth="1"/>
    <col min="6907" max="6907" width="11" style="178" customWidth="1"/>
    <col min="6908" max="6908" width="10.42578125" style="178" customWidth="1"/>
    <col min="6909" max="6909" width="11.28515625" style="178" customWidth="1"/>
    <col min="6910" max="6911" width="9.140625" style="178" bestFit="1" customWidth="1"/>
    <col min="6912" max="6913" width="11.140625" style="178" bestFit="1" customWidth="1"/>
    <col min="6914" max="6914" width="11.5703125" style="178" bestFit="1" customWidth="1"/>
    <col min="6915" max="6915" width="9.140625" style="178" bestFit="1" customWidth="1"/>
    <col min="6916" max="6916" width="10.28515625" style="178" customWidth="1"/>
    <col min="6917" max="7155" width="9.140625" style="178"/>
    <col min="7156" max="7156" width="4.28515625" style="178" bestFit="1" customWidth="1"/>
    <col min="7157" max="7157" width="6.85546875" style="178" bestFit="1" customWidth="1"/>
    <col min="7158" max="7158" width="11" style="178" customWidth="1"/>
    <col min="7159" max="7159" width="11.140625" style="178" bestFit="1" customWidth="1"/>
    <col min="7160" max="7160" width="10.85546875" style="178" customWidth="1"/>
    <col min="7161" max="7161" width="11.5703125" style="178" customWidth="1"/>
    <col min="7162" max="7162" width="11.140625" style="178" bestFit="1" customWidth="1"/>
    <col min="7163" max="7163" width="11" style="178" customWidth="1"/>
    <col min="7164" max="7164" width="10.42578125" style="178" customWidth="1"/>
    <col min="7165" max="7165" width="11.28515625" style="178" customWidth="1"/>
    <col min="7166" max="7167" width="9.140625" style="178" bestFit="1" customWidth="1"/>
    <col min="7168" max="7169" width="11.140625" style="178" bestFit="1" customWidth="1"/>
    <col min="7170" max="7170" width="11.5703125" style="178" bestFit="1" customWidth="1"/>
    <col min="7171" max="7171" width="9.140625" style="178" bestFit="1" customWidth="1"/>
    <col min="7172" max="7172" width="10.28515625" style="178" customWidth="1"/>
    <col min="7173" max="7411" width="9.140625" style="178"/>
    <col min="7412" max="7412" width="4.28515625" style="178" bestFit="1" customWidth="1"/>
    <col min="7413" max="7413" width="6.85546875" style="178" bestFit="1" customWidth="1"/>
    <col min="7414" max="7414" width="11" style="178" customWidth="1"/>
    <col min="7415" max="7415" width="11.140625" style="178" bestFit="1" customWidth="1"/>
    <col min="7416" max="7416" width="10.85546875" style="178" customWidth="1"/>
    <col min="7417" max="7417" width="11.5703125" style="178" customWidth="1"/>
    <col min="7418" max="7418" width="11.140625" style="178" bestFit="1" customWidth="1"/>
    <col min="7419" max="7419" width="11" style="178" customWidth="1"/>
    <col min="7420" max="7420" width="10.42578125" style="178" customWidth="1"/>
    <col min="7421" max="7421" width="11.28515625" style="178" customWidth="1"/>
    <col min="7422" max="7423" width="9.140625" style="178" bestFit="1" customWidth="1"/>
    <col min="7424" max="7425" width="11.140625" style="178" bestFit="1" customWidth="1"/>
    <col min="7426" max="7426" width="11.5703125" style="178" bestFit="1" customWidth="1"/>
    <col min="7427" max="7427" width="9.140625" style="178" bestFit="1" customWidth="1"/>
    <col min="7428" max="7428" width="10.28515625" style="178" customWidth="1"/>
    <col min="7429" max="7667" width="9.140625" style="178"/>
    <col min="7668" max="7668" width="4.28515625" style="178" bestFit="1" customWidth="1"/>
    <col min="7669" max="7669" width="6.85546875" style="178" bestFit="1" customWidth="1"/>
    <col min="7670" max="7670" width="11" style="178" customWidth="1"/>
    <col min="7671" max="7671" width="11.140625" style="178" bestFit="1" customWidth="1"/>
    <col min="7672" max="7672" width="10.85546875" style="178" customWidth="1"/>
    <col min="7673" max="7673" width="11.5703125" style="178" customWidth="1"/>
    <col min="7674" max="7674" width="11.140625" style="178" bestFit="1" customWidth="1"/>
    <col min="7675" max="7675" width="11" style="178" customWidth="1"/>
    <col min="7676" max="7676" width="10.42578125" style="178" customWidth="1"/>
    <col min="7677" max="7677" width="11.28515625" style="178" customWidth="1"/>
    <col min="7678" max="7679" width="9.140625" style="178" bestFit="1" customWidth="1"/>
    <col min="7680" max="7681" width="11.140625" style="178" bestFit="1" customWidth="1"/>
    <col min="7682" max="7682" width="11.5703125" style="178" bestFit="1" customWidth="1"/>
    <col min="7683" max="7683" width="9.140625" style="178" bestFit="1" customWidth="1"/>
    <col min="7684" max="7684" width="10.28515625" style="178" customWidth="1"/>
    <col min="7685" max="7923" width="9.140625" style="178"/>
    <col min="7924" max="7924" width="4.28515625" style="178" bestFit="1" customWidth="1"/>
    <col min="7925" max="7925" width="6.85546875" style="178" bestFit="1" customWidth="1"/>
    <col min="7926" max="7926" width="11" style="178" customWidth="1"/>
    <col min="7927" max="7927" width="11.140625" style="178" bestFit="1" customWidth="1"/>
    <col min="7928" max="7928" width="10.85546875" style="178" customWidth="1"/>
    <col min="7929" max="7929" width="11.5703125" style="178" customWidth="1"/>
    <col min="7930" max="7930" width="11.140625" style="178" bestFit="1" customWidth="1"/>
    <col min="7931" max="7931" width="11" style="178" customWidth="1"/>
    <col min="7932" max="7932" width="10.42578125" style="178" customWidth="1"/>
    <col min="7933" max="7933" width="11.28515625" style="178" customWidth="1"/>
    <col min="7934" max="7935" width="9.140625" style="178" bestFit="1" customWidth="1"/>
    <col min="7936" max="7937" width="11.140625" style="178" bestFit="1" customWidth="1"/>
    <col min="7938" max="7938" width="11.5703125" style="178" bestFit="1" customWidth="1"/>
    <col min="7939" max="7939" width="9.140625" style="178" bestFit="1" customWidth="1"/>
    <col min="7940" max="7940" width="10.28515625" style="178" customWidth="1"/>
    <col min="7941" max="8179" width="9.140625" style="178"/>
    <col min="8180" max="8180" width="4.28515625" style="178" bestFit="1" customWidth="1"/>
    <col min="8181" max="8181" width="6.85546875" style="178" bestFit="1" customWidth="1"/>
    <col min="8182" max="8182" width="11" style="178" customWidth="1"/>
    <col min="8183" max="8183" width="11.140625" style="178" bestFit="1" customWidth="1"/>
    <col min="8184" max="8184" width="10.85546875" style="178" customWidth="1"/>
    <col min="8185" max="8185" width="11.5703125" style="178" customWidth="1"/>
    <col min="8186" max="8186" width="11.140625" style="178" bestFit="1" customWidth="1"/>
    <col min="8187" max="8187" width="11" style="178" customWidth="1"/>
    <col min="8188" max="8188" width="10.42578125" style="178" customWidth="1"/>
    <col min="8189" max="8189" width="11.28515625" style="178" customWidth="1"/>
    <col min="8190" max="8191" width="9.140625" style="178" bestFit="1" customWidth="1"/>
    <col min="8192" max="8193" width="11.140625" style="178" bestFit="1" customWidth="1"/>
    <col min="8194" max="8194" width="11.5703125" style="178" bestFit="1" customWidth="1"/>
    <col min="8195" max="8195" width="9.140625" style="178" bestFit="1" customWidth="1"/>
    <col min="8196" max="8196" width="10.28515625" style="178" customWidth="1"/>
    <col min="8197" max="8435" width="9.140625" style="178"/>
    <col min="8436" max="8436" width="4.28515625" style="178" bestFit="1" customWidth="1"/>
    <col min="8437" max="8437" width="6.85546875" style="178" bestFit="1" customWidth="1"/>
    <col min="8438" max="8438" width="11" style="178" customWidth="1"/>
    <col min="8439" max="8439" width="11.140625" style="178" bestFit="1" customWidth="1"/>
    <col min="8440" max="8440" width="10.85546875" style="178" customWidth="1"/>
    <col min="8441" max="8441" width="11.5703125" style="178" customWidth="1"/>
    <col min="8442" max="8442" width="11.140625" style="178" bestFit="1" customWidth="1"/>
    <col min="8443" max="8443" width="11" style="178" customWidth="1"/>
    <col min="8444" max="8444" width="10.42578125" style="178" customWidth="1"/>
    <col min="8445" max="8445" width="11.28515625" style="178" customWidth="1"/>
    <col min="8446" max="8447" width="9.140625" style="178" bestFit="1" customWidth="1"/>
    <col min="8448" max="8449" width="11.140625" style="178" bestFit="1" customWidth="1"/>
    <col min="8450" max="8450" width="11.5703125" style="178" bestFit="1" customWidth="1"/>
    <col min="8451" max="8451" width="9.140625" style="178" bestFit="1" customWidth="1"/>
    <col min="8452" max="8452" width="10.28515625" style="178" customWidth="1"/>
    <col min="8453" max="8691" width="9.140625" style="178"/>
    <col min="8692" max="8692" width="4.28515625" style="178" bestFit="1" customWidth="1"/>
    <col min="8693" max="8693" width="6.85546875" style="178" bestFit="1" customWidth="1"/>
    <col min="8694" max="8694" width="11" style="178" customWidth="1"/>
    <col min="8695" max="8695" width="11.140625" style="178" bestFit="1" customWidth="1"/>
    <col min="8696" max="8696" width="10.85546875" style="178" customWidth="1"/>
    <col min="8697" max="8697" width="11.5703125" style="178" customWidth="1"/>
    <col min="8698" max="8698" width="11.140625" style="178" bestFit="1" customWidth="1"/>
    <col min="8699" max="8699" width="11" style="178" customWidth="1"/>
    <col min="8700" max="8700" width="10.42578125" style="178" customWidth="1"/>
    <col min="8701" max="8701" width="11.28515625" style="178" customWidth="1"/>
    <col min="8702" max="8703" width="9.140625" style="178" bestFit="1" customWidth="1"/>
    <col min="8704" max="8705" width="11.140625" style="178" bestFit="1" customWidth="1"/>
    <col min="8706" max="8706" width="11.5703125" style="178" bestFit="1" customWidth="1"/>
    <col min="8707" max="8707" width="9.140625" style="178" bestFit="1" customWidth="1"/>
    <col min="8708" max="8708" width="10.28515625" style="178" customWidth="1"/>
    <col min="8709" max="8947" width="9.140625" style="178"/>
    <col min="8948" max="8948" width="4.28515625" style="178" bestFit="1" customWidth="1"/>
    <col min="8949" max="8949" width="6.85546875" style="178" bestFit="1" customWidth="1"/>
    <col min="8950" max="8950" width="11" style="178" customWidth="1"/>
    <col min="8951" max="8951" width="11.140625" style="178" bestFit="1" customWidth="1"/>
    <col min="8952" max="8952" width="10.85546875" style="178" customWidth="1"/>
    <col min="8953" max="8953" width="11.5703125" style="178" customWidth="1"/>
    <col min="8954" max="8954" width="11.140625" style="178" bestFit="1" customWidth="1"/>
    <col min="8955" max="8955" width="11" style="178" customWidth="1"/>
    <col min="8956" max="8956" width="10.42578125" style="178" customWidth="1"/>
    <col min="8957" max="8957" width="11.28515625" style="178" customWidth="1"/>
    <col min="8958" max="8959" width="9.140625" style="178" bestFit="1" customWidth="1"/>
    <col min="8960" max="8961" width="11.140625" style="178" bestFit="1" customWidth="1"/>
    <col min="8962" max="8962" width="11.5703125" style="178" bestFit="1" customWidth="1"/>
    <col min="8963" max="8963" width="9.140625" style="178" bestFit="1" customWidth="1"/>
    <col min="8964" max="8964" width="10.28515625" style="178" customWidth="1"/>
    <col min="8965" max="9203" width="9.140625" style="178"/>
    <col min="9204" max="9204" width="4.28515625" style="178" bestFit="1" customWidth="1"/>
    <col min="9205" max="9205" width="6.85546875" style="178" bestFit="1" customWidth="1"/>
    <col min="9206" max="9206" width="11" style="178" customWidth="1"/>
    <col min="9207" max="9207" width="11.140625" style="178" bestFit="1" customWidth="1"/>
    <col min="9208" max="9208" width="10.85546875" style="178" customWidth="1"/>
    <col min="9209" max="9209" width="11.5703125" style="178" customWidth="1"/>
    <col min="9210" max="9210" width="11.140625" style="178" bestFit="1" customWidth="1"/>
    <col min="9211" max="9211" width="11" style="178" customWidth="1"/>
    <col min="9212" max="9212" width="10.42578125" style="178" customWidth="1"/>
    <col min="9213" max="9213" width="11.28515625" style="178" customWidth="1"/>
    <col min="9214" max="9215" width="9.140625" style="178" bestFit="1" customWidth="1"/>
    <col min="9216" max="9217" width="11.140625" style="178" bestFit="1" customWidth="1"/>
    <col min="9218" max="9218" width="11.5703125" style="178" bestFit="1" customWidth="1"/>
    <col min="9219" max="9219" width="9.140625" style="178" bestFit="1" customWidth="1"/>
    <col min="9220" max="9220" width="10.28515625" style="178" customWidth="1"/>
    <col min="9221" max="9459" width="9.140625" style="178"/>
    <col min="9460" max="9460" width="4.28515625" style="178" bestFit="1" customWidth="1"/>
    <col min="9461" max="9461" width="6.85546875" style="178" bestFit="1" customWidth="1"/>
    <col min="9462" max="9462" width="11" style="178" customWidth="1"/>
    <col min="9463" max="9463" width="11.140625" style="178" bestFit="1" customWidth="1"/>
    <col min="9464" max="9464" width="10.85546875" style="178" customWidth="1"/>
    <col min="9465" max="9465" width="11.5703125" style="178" customWidth="1"/>
    <col min="9466" max="9466" width="11.140625" style="178" bestFit="1" customWidth="1"/>
    <col min="9467" max="9467" width="11" style="178" customWidth="1"/>
    <col min="9468" max="9468" width="10.42578125" style="178" customWidth="1"/>
    <col min="9469" max="9469" width="11.28515625" style="178" customWidth="1"/>
    <col min="9470" max="9471" width="9.140625" style="178" bestFit="1" customWidth="1"/>
    <col min="9472" max="9473" width="11.140625" style="178" bestFit="1" customWidth="1"/>
    <col min="9474" max="9474" width="11.5703125" style="178" bestFit="1" customWidth="1"/>
    <col min="9475" max="9475" width="9.140625" style="178" bestFit="1" customWidth="1"/>
    <col min="9476" max="9476" width="10.28515625" style="178" customWidth="1"/>
    <col min="9477" max="9715" width="9.140625" style="178"/>
    <col min="9716" max="9716" width="4.28515625" style="178" bestFit="1" customWidth="1"/>
    <col min="9717" max="9717" width="6.85546875" style="178" bestFit="1" customWidth="1"/>
    <col min="9718" max="9718" width="11" style="178" customWidth="1"/>
    <col min="9719" max="9719" width="11.140625" style="178" bestFit="1" customWidth="1"/>
    <col min="9720" max="9720" width="10.85546875" style="178" customWidth="1"/>
    <col min="9721" max="9721" width="11.5703125" style="178" customWidth="1"/>
    <col min="9722" max="9722" width="11.140625" style="178" bestFit="1" customWidth="1"/>
    <col min="9723" max="9723" width="11" style="178" customWidth="1"/>
    <col min="9724" max="9724" width="10.42578125" style="178" customWidth="1"/>
    <col min="9725" max="9725" width="11.28515625" style="178" customWidth="1"/>
    <col min="9726" max="9727" width="9.140625" style="178" bestFit="1" customWidth="1"/>
    <col min="9728" max="9729" width="11.140625" style="178" bestFit="1" customWidth="1"/>
    <col min="9730" max="9730" width="11.5703125" style="178" bestFit="1" customWidth="1"/>
    <col min="9731" max="9731" width="9.140625" style="178" bestFit="1" customWidth="1"/>
    <col min="9732" max="9732" width="10.28515625" style="178" customWidth="1"/>
    <col min="9733" max="9971" width="9.140625" style="178"/>
    <col min="9972" max="9972" width="4.28515625" style="178" bestFit="1" customWidth="1"/>
    <col min="9973" max="9973" width="6.85546875" style="178" bestFit="1" customWidth="1"/>
    <col min="9974" max="9974" width="11" style="178" customWidth="1"/>
    <col min="9975" max="9975" width="11.140625" style="178" bestFit="1" customWidth="1"/>
    <col min="9976" max="9976" width="10.85546875" style="178" customWidth="1"/>
    <col min="9977" max="9977" width="11.5703125" style="178" customWidth="1"/>
    <col min="9978" max="9978" width="11.140625" style="178" bestFit="1" customWidth="1"/>
    <col min="9979" max="9979" width="11" style="178" customWidth="1"/>
    <col min="9980" max="9980" width="10.42578125" style="178" customWidth="1"/>
    <col min="9981" max="9981" width="11.28515625" style="178" customWidth="1"/>
    <col min="9982" max="9983" width="9.140625" style="178" bestFit="1" customWidth="1"/>
    <col min="9984" max="9985" width="11.140625" style="178" bestFit="1" customWidth="1"/>
    <col min="9986" max="9986" width="11.5703125" style="178" bestFit="1" customWidth="1"/>
    <col min="9987" max="9987" width="9.140625" style="178" bestFit="1" customWidth="1"/>
    <col min="9988" max="9988" width="10.28515625" style="178" customWidth="1"/>
    <col min="9989" max="10227" width="9.140625" style="178"/>
    <col min="10228" max="10228" width="4.28515625" style="178" bestFit="1" customWidth="1"/>
    <col min="10229" max="10229" width="6.85546875" style="178" bestFit="1" customWidth="1"/>
    <col min="10230" max="10230" width="11" style="178" customWidth="1"/>
    <col min="10231" max="10231" width="11.140625" style="178" bestFit="1" customWidth="1"/>
    <col min="10232" max="10232" width="10.85546875" style="178" customWidth="1"/>
    <col min="10233" max="10233" width="11.5703125" style="178" customWidth="1"/>
    <col min="10234" max="10234" width="11.140625" style="178" bestFit="1" customWidth="1"/>
    <col min="10235" max="10235" width="11" style="178" customWidth="1"/>
    <col min="10236" max="10236" width="10.42578125" style="178" customWidth="1"/>
    <col min="10237" max="10237" width="11.28515625" style="178" customWidth="1"/>
    <col min="10238" max="10239" width="9.140625" style="178" bestFit="1" customWidth="1"/>
    <col min="10240" max="10241" width="11.140625" style="178" bestFit="1" customWidth="1"/>
    <col min="10242" max="10242" width="11.5703125" style="178" bestFit="1" customWidth="1"/>
    <col min="10243" max="10243" width="9.140625" style="178" bestFit="1" customWidth="1"/>
    <col min="10244" max="10244" width="10.28515625" style="178" customWidth="1"/>
    <col min="10245" max="10483" width="9.140625" style="178"/>
    <col min="10484" max="10484" width="4.28515625" style="178" bestFit="1" customWidth="1"/>
    <col min="10485" max="10485" width="6.85546875" style="178" bestFit="1" customWidth="1"/>
    <col min="10486" max="10486" width="11" style="178" customWidth="1"/>
    <col min="10487" max="10487" width="11.140625" style="178" bestFit="1" customWidth="1"/>
    <col min="10488" max="10488" width="10.85546875" style="178" customWidth="1"/>
    <col min="10489" max="10489" width="11.5703125" style="178" customWidth="1"/>
    <col min="10490" max="10490" width="11.140625" style="178" bestFit="1" customWidth="1"/>
    <col min="10491" max="10491" width="11" style="178" customWidth="1"/>
    <col min="10492" max="10492" width="10.42578125" style="178" customWidth="1"/>
    <col min="10493" max="10493" width="11.28515625" style="178" customWidth="1"/>
    <col min="10494" max="10495" width="9.140625" style="178" bestFit="1" customWidth="1"/>
    <col min="10496" max="10497" width="11.140625" style="178" bestFit="1" customWidth="1"/>
    <col min="10498" max="10498" width="11.5703125" style="178" bestFit="1" customWidth="1"/>
    <col min="10499" max="10499" width="9.140625" style="178" bestFit="1" customWidth="1"/>
    <col min="10500" max="10500" width="10.28515625" style="178" customWidth="1"/>
    <col min="10501" max="10739" width="9.140625" style="178"/>
    <col min="10740" max="10740" width="4.28515625" style="178" bestFit="1" customWidth="1"/>
    <col min="10741" max="10741" width="6.85546875" style="178" bestFit="1" customWidth="1"/>
    <col min="10742" max="10742" width="11" style="178" customWidth="1"/>
    <col min="10743" max="10743" width="11.140625" style="178" bestFit="1" customWidth="1"/>
    <col min="10744" max="10744" width="10.85546875" style="178" customWidth="1"/>
    <col min="10745" max="10745" width="11.5703125" style="178" customWidth="1"/>
    <col min="10746" max="10746" width="11.140625" style="178" bestFit="1" customWidth="1"/>
    <col min="10747" max="10747" width="11" style="178" customWidth="1"/>
    <col min="10748" max="10748" width="10.42578125" style="178" customWidth="1"/>
    <col min="10749" max="10749" width="11.28515625" style="178" customWidth="1"/>
    <col min="10750" max="10751" width="9.140625" style="178" bestFit="1" customWidth="1"/>
    <col min="10752" max="10753" width="11.140625" style="178" bestFit="1" customWidth="1"/>
    <col min="10754" max="10754" width="11.5703125" style="178" bestFit="1" customWidth="1"/>
    <col min="10755" max="10755" width="9.140625" style="178" bestFit="1" customWidth="1"/>
    <col min="10756" max="10756" width="10.28515625" style="178" customWidth="1"/>
    <col min="10757" max="10995" width="9.140625" style="178"/>
    <col min="10996" max="10996" width="4.28515625" style="178" bestFit="1" customWidth="1"/>
    <col min="10997" max="10997" width="6.85546875" style="178" bestFit="1" customWidth="1"/>
    <col min="10998" max="10998" width="11" style="178" customWidth="1"/>
    <col min="10999" max="10999" width="11.140625" style="178" bestFit="1" customWidth="1"/>
    <col min="11000" max="11000" width="10.85546875" style="178" customWidth="1"/>
    <col min="11001" max="11001" width="11.5703125" style="178" customWidth="1"/>
    <col min="11002" max="11002" width="11.140625" style="178" bestFit="1" customWidth="1"/>
    <col min="11003" max="11003" width="11" style="178" customWidth="1"/>
    <col min="11004" max="11004" width="10.42578125" style="178" customWidth="1"/>
    <col min="11005" max="11005" width="11.28515625" style="178" customWidth="1"/>
    <col min="11006" max="11007" width="9.140625" style="178" bestFit="1" customWidth="1"/>
    <col min="11008" max="11009" width="11.140625" style="178" bestFit="1" customWidth="1"/>
    <col min="11010" max="11010" width="11.5703125" style="178" bestFit="1" customWidth="1"/>
    <col min="11011" max="11011" width="9.140625" style="178" bestFit="1" customWidth="1"/>
    <col min="11012" max="11012" width="10.28515625" style="178" customWidth="1"/>
    <col min="11013" max="11251" width="9.140625" style="178"/>
    <col min="11252" max="11252" width="4.28515625" style="178" bestFit="1" customWidth="1"/>
    <col min="11253" max="11253" width="6.85546875" style="178" bestFit="1" customWidth="1"/>
    <col min="11254" max="11254" width="11" style="178" customWidth="1"/>
    <col min="11255" max="11255" width="11.140625" style="178" bestFit="1" customWidth="1"/>
    <col min="11256" max="11256" width="10.85546875" style="178" customWidth="1"/>
    <col min="11257" max="11257" width="11.5703125" style="178" customWidth="1"/>
    <col min="11258" max="11258" width="11.140625" style="178" bestFit="1" customWidth="1"/>
    <col min="11259" max="11259" width="11" style="178" customWidth="1"/>
    <col min="11260" max="11260" width="10.42578125" style="178" customWidth="1"/>
    <col min="11261" max="11261" width="11.28515625" style="178" customWidth="1"/>
    <col min="11262" max="11263" width="9.140625" style="178" bestFit="1" customWidth="1"/>
    <col min="11264" max="11265" width="11.140625" style="178" bestFit="1" customWidth="1"/>
    <col min="11266" max="11266" width="11.5703125" style="178" bestFit="1" customWidth="1"/>
    <col min="11267" max="11267" width="9.140625" style="178" bestFit="1" customWidth="1"/>
    <col min="11268" max="11268" width="10.28515625" style="178" customWidth="1"/>
    <col min="11269" max="11507" width="9.140625" style="178"/>
    <col min="11508" max="11508" width="4.28515625" style="178" bestFit="1" customWidth="1"/>
    <col min="11509" max="11509" width="6.85546875" style="178" bestFit="1" customWidth="1"/>
    <col min="11510" max="11510" width="11" style="178" customWidth="1"/>
    <col min="11511" max="11511" width="11.140625" style="178" bestFit="1" customWidth="1"/>
    <col min="11512" max="11512" width="10.85546875" style="178" customWidth="1"/>
    <col min="11513" max="11513" width="11.5703125" style="178" customWidth="1"/>
    <col min="11514" max="11514" width="11.140625" style="178" bestFit="1" customWidth="1"/>
    <col min="11515" max="11515" width="11" style="178" customWidth="1"/>
    <col min="11516" max="11516" width="10.42578125" style="178" customWidth="1"/>
    <col min="11517" max="11517" width="11.28515625" style="178" customWidth="1"/>
    <col min="11518" max="11519" width="9.140625" style="178" bestFit="1" customWidth="1"/>
    <col min="11520" max="11521" width="11.140625" style="178" bestFit="1" customWidth="1"/>
    <col min="11522" max="11522" width="11.5703125" style="178" bestFit="1" customWidth="1"/>
    <col min="11523" max="11523" width="9.140625" style="178" bestFit="1" customWidth="1"/>
    <col min="11524" max="11524" width="10.28515625" style="178" customWidth="1"/>
    <col min="11525" max="11763" width="9.140625" style="178"/>
    <col min="11764" max="11764" width="4.28515625" style="178" bestFit="1" customWidth="1"/>
    <col min="11765" max="11765" width="6.85546875" style="178" bestFit="1" customWidth="1"/>
    <col min="11766" max="11766" width="11" style="178" customWidth="1"/>
    <col min="11767" max="11767" width="11.140625" style="178" bestFit="1" customWidth="1"/>
    <col min="11768" max="11768" width="10.85546875" style="178" customWidth="1"/>
    <col min="11769" max="11769" width="11.5703125" style="178" customWidth="1"/>
    <col min="11770" max="11770" width="11.140625" style="178" bestFit="1" customWidth="1"/>
    <col min="11771" max="11771" width="11" style="178" customWidth="1"/>
    <col min="11772" max="11772" width="10.42578125" style="178" customWidth="1"/>
    <col min="11773" max="11773" width="11.28515625" style="178" customWidth="1"/>
    <col min="11774" max="11775" width="9.140625" style="178" bestFit="1" customWidth="1"/>
    <col min="11776" max="11777" width="11.140625" style="178" bestFit="1" customWidth="1"/>
    <col min="11778" max="11778" width="11.5703125" style="178" bestFit="1" customWidth="1"/>
    <col min="11779" max="11779" width="9.140625" style="178" bestFit="1" customWidth="1"/>
    <col min="11780" max="11780" width="10.28515625" style="178" customWidth="1"/>
    <col min="11781" max="12019" width="9.140625" style="178"/>
    <col min="12020" max="12020" width="4.28515625" style="178" bestFit="1" customWidth="1"/>
    <col min="12021" max="12021" width="6.85546875" style="178" bestFit="1" customWidth="1"/>
    <col min="12022" max="12022" width="11" style="178" customWidth="1"/>
    <col min="12023" max="12023" width="11.140625" style="178" bestFit="1" customWidth="1"/>
    <col min="12024" max="12024" width="10.85546875" style="178" customWidth="1"/>
    <col min="12025" max="12025" width="11.5703125" style="178" customWidth="1"/>
    <col min="12026" max="12026" width="11.140625" style="178" bestFit="1" customWidth="1"/>
    <col min="12027" max="12027" width="11" style="178" customWidth="1"/>
    <col min="12028" max="12028" width="10.42578125" style="178" customWidth="1"/>
    <col min="12029" max="12029" width="11.28515625" style="178" customWidth="1"/>
    <col min="12030" max="12031" width="9.140625" style="178" bestFit="1" customWidth="1"/>
    <col min="12032" max="12033" width="11.140625" style="178" bestFit="1" customWidth="1"/>
    <col min="12034" max="12034" width="11.5703125" style="178" bestFit="1" customWidth="1"/>
    <col min="12035" max="12035" width="9.140625" style="178" bestFit="1" customWidth="1"/>
    <col min="12036" max="12036" width="10.28515625" style="178" customWidth="1"/>
    <col min="12037" max="12275" width="9.140625" style="178"/>
    <col min="12276" max="12276" width="4.28515625" style="178" bestFit="1" customWidth="1"/>
    <col min="12277" max="12277" width="6.85546875" style="178" bestFit="1" customWidth="1"/>
    <col min="12278" max="12278" width="11" style="178" customWidth="1"/>
    <col min="12279" max="12279" width="11.140625" style="178" bestFit="1" customWidth="1"/>
    <col min="12280" max="12280" width="10.85546875" style="178" customWidth="1"/>
    <col min="12281" max="12281" width="11.5703125" style="178" customWidth="1"/>
    <col min="12282" max="12282" width="11.140625" style="178" bestFit="1" customWidth="1"/>
    <col min="12283" max="12283" width="11" style="178" customWidth="1"/>
    <col min="12284" max="12284" width="10.42578125" style="178" customWidth="1"/>
    <col min="12285" max="12285" width="11.28515625" style="178" customWidth="1"/>
    <col min="12286" max="12287" width="9.140625" style="178" bestFit="1" customWidth="1"/>
    <col min="12288" max="12289" width="11.140625" style="178" bestFit="1" customWidth="1"/>
    <col min="12290" max="12290" width="11.5703125" style="178" bestFit="1" customWidth="1"/>
    <col min="12291" max="12291" width="9.140625" style="178" bestFit="1" customWidth="1"/>
    <col min="12292" max="12292" width="10.28515625" style="178" customWidth="1"/>
    <col min="12293" max="12531" width="9.140625" style="178"/>
    <col min="12532" max="12532" width="4.28515625" style="178" bestFit="1" customWidth="1"/>
    <col min="12533" max="12533" width="6.85546875" style="178" bestFit="1" customWidth="1"/>
    <col min="12534" max="12534" width="11" style="178" customWidth="1"/>
    <col min="12535" max="12535" width="11.140625" style="178" bestFit="1" customWidth="1"/>
    <col min="12536" max="12536" width="10.85546875" style="178" customWidth="1"/>
    <col min="12537" max="12537" width="11.5703125" style="178" customWidth="1"/>
    <col min="12538" max="12538" width="11.140625" style="178" bestFit="1" customWidth="1"/>
    <col min="12539" max="12539" width="11" style="178" customWidth="1"/>
    <col min="12540" max="12540" width="10.42578125" style="178" customWidth="1"/>
    <col min="12541" max="12541" width="11.28515625" style="178" customWidth="1"/>
    <col min="12542" max="12543" width="9.140625" style="178" bestFit="1" customWidth="1"/>
    <col min="12544" max="12545" width="11.140625" style="178" bestFit="1" customWidth="1"/>
    <col min="12546" max="12546" width="11.5703125" style="178" bestFit="1" customWidth="1"/>
    <col min="12547" max="12547" width="9.140625" style="178" bestFit="1" customWidth="1"/>
    <col min="12548" max="12548" width="10.28515625" style="178" customWidth="1"/>
    <col min="12549" max="12787" width="9.140625" style="178"/>
    <col min="12788" max="12788" width="4.28515625" style="178" bestFit="1" customWidth="1"/>
    <col min="12789" max="12789" width="6.85546875" style="178" bestFit="1" customWidth="1"/>
    <col min="12790" max="12790" width="11" style="178" customWidth="1"/>
    <col min="12791" max="12791" width="11.140625" style="178" bestFit="1" customWidth="1"/>
    <col min="12792" max="12792" width="10.85546875" style="178" customWidth="1"/>
    <col min="12793" max="12793" width="11.5703125" style="178" customWidth="1"/>
    <col min="12794" max="12794" width="11.140625" style="178" bestFit="1" customWidth="1"/>
    <col min="12795" max="12795" width="11" style="178" customWidth="1"/>
    <col min="12796" max="12796" width="10.42578125" style="178" customWidth="1"/>
    <col min="12797" max="12797" width="11.28515625" style="178" customWidth="1"/>
    <col min="12798" max="12799" width="9.140625" style="178" bestFit="1" customWidth="1"/>
    <col min="12800" max="12801" width="11.140625" style="178" bestFit="1" customWidth="1"/>
    <col min="12802" max="12802" width="11.5703125" style="178" bestFit="1" customWidth="1"/>
    <col min="12803" max="12803" width="9.140625" style="178" bestFit="1" customWidth="1"/>
    <col min="12804" max="12804" width="10.28515625" style="178" customWidth="1"/>
    <col min="12805" max="13043" width="9.140625" style="178"/>
    <col min="13044" max="13044" width="4.28515625" style="178" bestFit="1" customWidth="1"/>
    <col min="13045" max="13045" width="6.85546875" style="178" bestFit="1" customWidth="1"/>
    <col min="13046" max="13046" width="11" style="178" customWidth="1"/>
    <col min="13047" max="13047" width="11.140625" style="178" bestFit="1" customWidth="1"/>
    <col min="13048" max="13048" width="10.85546875" style="178" customWidth="1"/>
    <col min="13049" max="13049" width="11.5703125" style="178" customWidth="1"/>
    <col min="13050" max="13050" width="11.140625" style="178" bestFit="1" customWidth="1"/>
    <col min="13051" max="13051" width="11" style="178" customWidth="1"/>
    <col min="13052" max="13052" width="10.42578125" style="178" customWidth="1"/>
    <col min="13053" max="13053" width="11.28515625" style="178" customWidth="1"/>
    <col min="13054" max="13055" width="9.140625" style="178" bestFit="1" customWidth="1"/>
    <col min="13056" max="13057" width="11.140625" style="178" bestFit="1" customWidth="1"/>
    <col min="13058" max="13058" width="11.5703125" style="178" bestFit="1" customWidth="1"/>
    <col min="13059" max="13059" width="9.140625" style="178" bestFit="1" customWidth="1"/>
    <col min="13060" max="13060" width="10.28515625" style="178" customWidth="1"/>
    <col min="13061" max="13299" width="9.140625" style="178"/>
    <col min="13300" max="13300" width="4.28515625" style="178" bestFit="1" customWidth="1"/>
    <col min="13301" max="13301" width="6.85546875" style="178" bestFit="1" customWidth="1"/>
    <col min="13302" max="13302" width="11" style="178" customWidth="1"/>
    <col min="13303" max="13303" width="11.140625" style="178" bestFit="1" customWidth="1"/>
    <col min="13304" max="13304" width="10.85546875" style="178" customWidth="1"/>
    <col min="13305" max="13305" width="11.5703125" style="178" customWidth="1"/>
    <col min="13306" max="13306" width="11.140625" style="178" bestFit="1" customWidth="1"/>
    <col min="13307" max="13307" width="11" style="178" customWidth="1"/>
    <col min="13308" max="13308" width="10.42578125" style="178" customWidth="1"/>
    <col min="13309" max="13309" width="11.28515625" style="178" customWidth="1"/>
    <col min="13310" max="13311" width="9.140625" style="178" bestFit="1" customWidth="1"/>
    <col min="13312" max="13313" width="11.140625" style="178" bestFit="1" customWidth="1"/>
    <col min="13314" max="13314" width="11.5703125" style="178" bestFit="1" customWidth="1"/>
    <col min="13315" max="13315" width="9.140625" style="178" bestFit="1" customWidth="1"/>
    <col min="13316" max="13316" width="10.28515625" style="178" customWidth="1"/>
    <col min="13317" max="13555" width="9.140625" style="178"/>
    <col min="13556" max="13556" width="4.28515625" style="178" bestFit="1" customWidth="1"/>
    <col min="13557" max="13557" width="6.85546875" style="178" bestFit="1" customWidth="1"/>
    <col min="13558" max="13558" width="11" style="178" customWidth="1"/>
    <col min="13559" max="13559" width="11.140625" style="178" bestFit="1" customWidth="1"/>
    <col min="13560" max="13560" width="10.85546875" style="178" customWidth="1"/>
    <col min="13561" max="13561" width="11.5703125" style="178" customWidth="1"/>
    <col min="13562" max="13562" width="11.140625" style="178" bestFit="1" customWidth="1"/>
    <col min="13563" max="13563" width="11" style="178" customWidth="1"/>
    <col min="13564" max="13564" width="10.42578125" style="178" customWidth="1"/>
    <col min="13565" max="13565" width="11.28515625" style="178" customWidth="1"/>
    <col min="13566" max="13567" width="9.140625" style="178" bestFit="1" customWidth="1"/>
    <col min="13568" max="13569" width="11.140625" style="178" bestFit="1" customWidth="1"/>
    <col min="13570" max="13570" width="11.5703125" style="178" bestFit="1" customWidth="1"/>
    <col min="13571" max="13571" width="9.140625" style="178" bestFit="1" customWidth="1"/>
    <col min="13572" max="13572" width="10.28515625" style="178" customWidth="1"/>
    <col min="13573" max="13811" width="9.140625" style="178"/>
    <col min="13812" max="13812" width="4.28515625" style="178" bestFit="1" customWidth="1"/>
    <col min="13813" max="13813" width="6.85546875" style="178" bestFit="1" customWidth="1"/>
    <col min="13814" max="13814" width="11" style="178" customWidth="1"/>
    <col min="13815" max="13815" width="11.140625" style="178" bestFit="1" customWidth="1"/>
    <col min="13816" max="13816" width="10.85546875" style="178" customWidth="1"/>
    <col min="13817" max="13817" width="11.5703125" style="178" customWidth="1"/>
    <col min="13818" max="13818" width="11.140625" style="178" bestFit="1" customWidth="1"/>
    <col min="13819" max="13819" width="11" style="178" customWidth="1"/>
    <col min="13820" max="13820" width="10.42578125" style="178" customWidth="1"/>
    <col min="13821" max="13821" width="11.28515625" style="178" customWidth="1"/>
    <col min="13822" max="13823" width="9.140625" style="178" bestFit="1" customWidth="1"/>
    <col min="13824" max="13825" width="11.140625" style="178" bestFit="1" customWidth="1"/>
    <col min="13826" max="13826" width="11.5703125" style="178" bestFit="1" customWidth="1"/>
    <col min="13827" max="13827" width="9.140625" style="178" bestFit="1" customWidth="1"/>
    <col min="13828" max="13828" width="10.28515625" style="178" customWidth="1"/>
    <col min="13829" max="14067" width="9.140625" style="178"/>
    <col min="14068" max="14068" width="4.28515625" style="178" bestFit="1" customWidth="1"/>
    <col min="14069" max="14069" width="6.85546875" style="178" bestFit="1" customWidth="1"/>
    <col min="14070" max="14070" width="11" style="178" customWidth="1"/>
    <col min="14071" max="14071" width="11.140625" style="178" bestFit="1" customWidth="1"/>
    <col min="14072" max="14072" width="10.85546875" style="178" customWidth="1"/>
    <col min="14073" max="14073" width="11.5703125" style="178" customWidth="1"/>
    <col min="14074" max="14074" width="11.140625" style="178" bestFit="1" customWidth="1"/>
    <col min="14075" max="14075" width="11" style="178" customWidth="1"/>
    <col min="14076" max="14076" width="10.42578125" style="178" customWidth="1"/>
    <col min="14077" max="14077" width="11.28515625" style="178" customWidth="1"/>
    <col min="14078" max="14079" width="9.140625" style="178" bestFit="1" customWidth="1"/>
    <col min="14080" max="14081" width="11.140625" style="178" bestFit="1" customWidth="1"/>
    <col min="14082" max="14082" width="11.5703125" style="178" bestFit="1" customWidth="1"/>
    <col min="14083" max="14083" width="9.140625" style="178" bestFit="1" customWidth="1"/>
    <col min="14084" max="14084" width="10.28515625" style="178" customWidth="1"/>
    <col min="14085" max="14323" width="9.140625" style="178"/>
    <col min="14324" max="14324" width="4.28515625" style="178" bestFit="1" customWidth="1"/>
    <col min="14325" max="14325" width="6.85546875" style="178" bestFit="1" customWidth="1"/>
    <col min="14326" max="14326" width="11" style="178" customWidth="1"/>
    <col min="14327" max="14327" width="11.140625" style="178" bestFit="1" customWidth="1"/>
    <col min="14328" max="14328" width="10.85546875" style="178" customWidth="1"/>
    <col min="14329" max="14329" width="11.5703125" style="178" customWidth="1"/>
    <col min="14330" max="14330" width="11.140625" style="178" bestFit="1" customWidth="1"/>
    <col min="14331" max="14331" width="11" style="178" customWidth="1"/>
    <col min="14332" max="14332" width="10.42578125" style="178" customWidth="1"/>
    <col min="14333" max="14333" width="11.28515625" style="178" customWidth="1"/>
    <col min="14334" max="14335" width="9.140625" style="178" bestFit="1" customWidth="1"/>
    <col min="14336" max="14337" width="11.140625" style="178" bestFit="1" customWidth="1"/>
    <col min="14338" max="14338" width="11.5703125" style="178" bestFit="1" customWidth="1"/>
    <col min="14339" max="14339" width="9.140625" style="178" bestFit="1" customWidth="1"/>
    <col min="14340" max="14340" width="10.28515625" style="178" customWidth="1"/>
    <col min="14341" max="14579" width="9.140625" style="178"/>
    <col min="14580" max="14580" width="4.28515625" style="178" bestFit="1" customWidth="1"/>
    <col min="14581" max="14581" width="6.85546875" style="178" bestFit="1" customWidth="1"/>
    <col min="14582" max="14582" width="11" style="178" customWidth="1"/>
    <col min="14583" max="14583" width="11.140625" style="178" bestFit="1" customWidth="1"/>
    <col min="14584" max="14584" width="10.85546875" style="178" customWidth="1"/>
    <col min="14585" max="14585" width="11.5703125" style="178" customWidth="1"/>
    <col min="14586" max="14586" width="11.140625" style="178" bestFit="1" customWidth="1"/>
    <col min="14587" max="14587" width="11" style="178" customWidth="1"/>
    <col min="14588" max="14588" width="10.42578125" style="178" customWidth="1"/>
    <col min="14589" max="14589" width="11.28515625" style="178" customWidth="1"/>
    <col min="14590" max="14591" width="9.140625" style="178" bestFit="1" customWidth="1"/>
    <col min="14592" max="14593" width="11.140625" style="178" bestFit="1" customWidth="1"/>
    <col min="14594" max="14594" width="11.5703125" style="178" bestFit="1" customWidth="1"/>
    <col min="14595" max="14595" width="9.140625" style="178" bestFit="1" customWidth="1"/>
    <col min="14596" max="14596" width="10.28515625" style="178" customWidth="1"/>
    <col min="14597" max="14835" width="9.140625" style="178"/>
    <col min="14836" max="14836" width="4.28515625" style="178" bestFit="1" customWidth="1"/>
    <col min="14837" max="14837" width="6.85546875" style="178" bestFit="1" customWidth="1"/>
    <col min="14838" max="14838" width="11" style="178" customWidth="1"/>
    <col min="14839" max="14839" width="11.140625" style="178" bestFit="1" customWidth="1"/>
    <col min="14840" max="14840" width="10.85546875" style="178" customWidth="1"/>
    <col min="14841" max="14841" width="11.5703125" style="178" customWidth="1"/>
    <col min="14842" max="14842" width="11.140625" style="178" bestFit="1" customWidth="1"/>
    <col min="14843" max="14843" width="11" style="178" customWidth="1"/>
    <col min="14844" max="14844" width="10.42578125" style="178" customWidth="1"/>
    <col min="14845" max="14845" width="11.28515625" style="178" customWidth="1"/>
    <col min="14846" max="14847" width="9.140625" style="178" bestFit="1" customWidth="1"/>
    <col min="14848" max="14849" width="11.140625" style="178" bestFit="1" customWidth="1"/>
    <col min="14850" max="14850" width="11.5703125" style="178" bestFit="1" customWidth="1"/>
    <col min="14851" max="14851" width="9.140625" style="178" bestFit="1" customWidth="1"/>
    <col min="14852" max="14852" width="10.28515625" style="178" customWidth="1"/>
    <col min="14853" max="15091" width="9.140625" style="178"/>
    <col min="15092" max="15092" width="4.28515625" style="178" bestFit="1" customWidth="1"/>
    <col min="15093" max="15093" width="6.85546875" style="178" bestFit="1" customWidth="1"/>
    <col min="15094" max="15094" width="11" style="178" customWidth="1"/>
    <col min="15095" max="15095" width="11.140625" style="178" bestFit="1" customWidth="1"/>
    <col min="15096" max="15096" width="10.85546875" style="178" customWidth="1"/>
    <col min="15097" max="15097" width="11.5703125" style="178" customWidth="1"/>
    <col min="15098" max="15098" width="11.140625" style="178" bestFit="1" customWidth="1"/>
    <col min="15099" max="15099" width="11" style="178" customWidth="1"/>
    <col min="15100" max="15100" width="10.42578125" style="178" customWidth="1"/>
    <col min="15101" max="15101" width="11.28515625" style="178" customWidth="1"/>
    <col min="15102" max="15103" width="9.140625" style="178" bestFit="1" customWidth="1"/>
    <col min="15104" max="15105" width="11.140625" style="178" bestFit="1" customWidth="1"/>
    <col min="15106" max="15106" width="11.5703125" style="178" bestFit="1" customWidth="1"/>
    <col min="15107" max="15107" width="9.140625" style="178" bestFit="1" customWidth="1"/>
    <col min="15108" max="15108" width="10.28515625" style="178" customWidth="1"/>
    <col min="15109" max="15347" width="9.140625" style="178"/>
    <col min="15348" max="15348" width="4.28515625" style="178" bestFit="1" customWidth="1"/>
    <col min="15349" max="15349" width="6.85546875" style="178" bestFit="1" customWidth="1"/>
    <col min="15350" max="15350" width="11" style="178" customWidth="1"/>
    <col min="15351" max="15351" width="11.140625" style="178" bestFit="1" customWidth="1"/>
    <col min="15352" max="15352" width="10.85546875" style="178" customWidth="1"/>
    <col min="15353" max="15353" width="11.5703125" style="178" customWidth="1"/>
    <col min="15354" max="15354" width="11.140625" style="178" bestFit="1" customWidth="1"/>
    <col min="15355" max="15355" width="11" style="178" customWidth="1"/>
    <col min="15356" max="15356" width="10.42578125" style="178" customWidth="1"/>
    <col min="15357" max="15357" width="11.28515625" style="178" customWidth="1"/>
    <col min="15358" max="15359" width="9.140625" style="178" bestFit="1" customWidth="1"/>
    <col min="15360" max="15361" width="11.140625" style="178" bestFit="1" customWidth="1"/>
    <col min="15362" max="15362" width="11.5703125" style="178" bestFit="1" customWidth="1"/>
    <col min="15363" max="15363" width="9.140625" style="178" bestFit="1" customWidth="1"/>
    <col min="15364" max="15364" width="10.28515625" style="178" customWidth="1"/>
    <col min="15365" max="15603" width="9.140625" style="178"/>
    <col min="15604" max="15604" width="4.28515625" style="178" bestFit="1" customWidth="1"/>
    <col min="15605" max="15605" width="6.85546875" style="178" bestFit="1" customWidth="1"/>
    <col min="15606" max="15606" width="11" style="178" customWidth="1"/>
    <col min="15607" max="15607" width="11.140625" style="178" bestFit="1" customWidth="1"/>
    <col min="15608" max="15608" width="10.85546875" style="178" customWidth="1"/>
    <col min="15609" max="15609" width="11.5703125" style="178" customWidth="1"/>
    <col min="15610" max="15610" width="11.140625" style="178" bestFit="1" customWidth="1"/>
    <col min="15611" max="15611" width="11" style="178" customWidth="1"/>
    <col min="15612" max="15612" width="10.42578125" style="178" customWidth="1"/>
    <col min="15613" max="15613" width="11.28515625" style="178" customWidth="1"/>
    <col min="15614" max="15615" width="9.140625" style="178" bestFit="1" customWidth="1"/>
    <col min="15616" max="15617" width="11.140625" style="178" bestFit="1" customWidth="1"/>
    <col min="15618" max="15618" width="11.5703125" style="178" bestFit="1" customWidth="1"/>
    <col min="15619" max="15619" width="9.140625" style="178" bestFit="1" customWidth="1"/>
    <col min="15620" max="15620" width="10.28515625" style="178" customWidth="1"/>
    <col min="15621" max="15859" width="9.140625" style="178"/>
    <col min="15860" max="15860" width="4.28515625" style="178" bestFit="1" customWidth="1"/>
    <col min="15861" max="15861" width="6.85546875" style="178" bestFit="1" customWidth="1"/>
    <col min="15862" max="15862" width="11" style="178" customWidth="1"/>
    <col min="15863" max="15863" width="11.140625" style="178" bestFit="1" customWidth="1"/>
    <col min="15864" max="15864" width="10.85546875" style="178" customWidth="1"/>
    <col min="15865" max="15865" width="11.5703125" style="178" customWidth="1"/>
    <col min="15866" max="15866" width="11.140625" style="178" bestFit="1" customWidth="1"/>
    <col min="15867" max="15867" width="11" style="178" customWidth="1"/>
    <col min="15868" max="15868" width="10.42578125" style="178" customWidth="1"/>
    <col min="15869" max="15869" width="11.28515625" style="178" customWidth="1"/>
    <col min="15870" max="15871" width="9.140625" style="178" bestFit="1" customWidth="1"/>
    <col min="15872" max="15873" width="11.140625" style="178" bestFit="1" customWidth="1"/>
    <col min="15874" max="15874" width="11.5703125" style="178" bestFit="1" customWidth="1"/>
    <col min="15875" max="15875" width="9.140625" style="178" bestFit="1" customWidth="1"/>
    <col min="15876" max="15876" width="10.28515625" style="178" customWidth="1"/>
    <col min="15877" max="16115" width="9.140625" style="178"/>
    <col min="16116" max="16116" width="4.28515625" style="178" bestFit="1" customWidth="1"/>
    <col min="16117" max="16117" width="6.85546875" style="178" bestFit="1" customWidth="1"/>
    <col min="16118" max="16118" width="11" style="178" customWidth="1"/>
    <col min="16119" max="16119" width="11.140625" style="178" bestFit="1" customWidth="1"/>
    <col min="16120" max="16120" width="10.85546875" style="178" customWidth="1"/>
    <col min="16121" max="16121" width="11.5703125" style="178" customWidth="1"/>
    <col min="16122" max="16122" width="11.140625" style="178" bestFit="1" customWidth="1"/>
    <col min="16123" max="16123" width="11" style="178" customWidth="1"/>
    <col min="16124" max="16124" width="10.42578125" style="178" customWidth="1"/>
    <col min="16125" max="16125" width="11.28515625" style="178" customWidth="1"/>
    <col min="16126" max="16127" width="9.140625" style="178" bestFit="1" customWidth="1"/>
    <col min="16128" max="16129" width="11.140625" style="178" bestFit="1" customWidth="1"/>
    <col min="16130" max="16130" width="11.5703125" style="178" bestFit="1" customWidth="1"/>
    <col min="16131" max="16131" width="9.140625" style="178" bestFit="1" customWidth="1"/>
    <col min="16132" max="16132" width="10.28515625" style="178" customWidth="1"/>
    <col min="16133" max="16384" width="9.140625" style="178"/>
  </cols>
  <sheetData>
    <row r="1" spans="1:16" ht="28.5" customHeight="1">
      <c r="A1" s="2397" t="s">
        <v>491</v>
      </c>
      <c r="B1" s="2398"/>
      <c r="C1" s="2398"/>
      <c r="D1" s="2398"/>
      <c r="E1" s="2398"/>
      <c r="F1" s="2398"/>
      <c r="G1" s="2398"/>
      <c r="H1" s="2398"/>
      <c r="I1" s="2398"/>
      <c r="J1" s="2398"/>
      <c r="K1" s="2398"/>
      <c r="L1" s="2398"/>
      <c r="M1" s="2398"/>
    </row>
    <row r="2" spans="1:16" ht="25.5" customHeight="1">
      <c r="A2" s="2398"/>
      <c r="B2" s="2398"/>
      <c r="C2" s="2398"/>
      <c r="D2" s="2398"/>
      <c r="E2" s="2398"/>
      <c r="F2" s="2398"/>
      <c r="G2" s="2398"/>
      <c r="H2" s="2398"/>
      <c r="I2" s="2398"/>
      <c r="J2" s="2398"/>
      <c r="K2" s="2398"/>
      <c r="L2" s="2398"/>
      <c r="M2" s="2398"/>
    </row>
    <row r="3" spans="1:16" ht="9.75" customHeight="1" thickBot="1">
      <c r="A3" s="914"/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5" t="s">
        <v>0</v>
      </c>
    </row>
    <row r="4" spans="1:16" s="179" customFormat="1" ht="12.75" customHeight="1">
      <c r="A4" s="2399" t="s">
        <v>37</v>
      </c>
      <c r="B4" s="2401" t="s">
        <v>3</v>
      </c>
      <c r="C4" s="2401"/>
      <c r="D4" s="2401" t="s">
        <v>354</v>
      </c>
      <c r="E4" s="2403" t="s">
        <v>492</v>
      </c>
      <c r="F4" s="2403" t="s">
        <v>150</v>
      </c>
      <c r="G4" s="916"/>
      <c r="H4" s="2403" t="s">
        <v>179</v>
      </c>
      <c r="I4" s="1993" t="s">
        <v>39</v>
      </c>
      <c r="J4" s="1996" t="s">
        <v>190</v>
      </c>
      <c r="K4" s="1993" t="s">
        <v>605</v>
      </c>
      <c r="L4" s="1993" t="s">
        <v>213</v>
      </c>
      <c r="M4" s="2403" t="s">
        <v>358</v>
      </c>
    </row>
    <row r="5" spans="1:16" s="179" customFormat="1" ht="38.25" customHeight="1" thickBot="1">
      <c r="A5" s="2400"/>
      <c r="B5" s="2402"/>
      <c r="C5" s="2402"/>
      <c r="D5" s="2402"/>
      <c r="E5" s="2404"/>
      <c r="F5" s="2405"/>
      <c r="G5" s="917"/>
      <c r="H5" s="2405"/>
      <c r="I5" s="1995"/>
      <c r="J5" s="1997"/>
      <c r="K5" s="1995"/>
      <c r="L5" s="1994"/>
      <c r="M5" s="2405"/>
    </row>
    <row r="6" spans="1:16" s="180" customFormat="1" ht="9.75" customHeight="1" thickBot="1">
      <c r="A6" s="433" t="s">
        <v>6</v>
      </c>
      <c r="B6" s="2406" t="s">
        <v>7</v>
      </c>
      <c r="C6" s="2406"/>
      <c r="D6" s="433" t="s">
        <v>8</v>
      </c>
      <c r="E6" s="761" t="s">
        <v>9</v>
      </c>
      <c r="F6" s="761" t="s">
        <v>10</v>
      </c>
      <c r="G6" s="761" t="s">
        <v>11</v>
      </c>
      <c r="H6" s="761" t="s">
        <v>12</v>
      </c>
      <c r="I6" s="761" t="s">
        <v>202</v>
      </c>
      <c r="J6" s="761" t="s">
        <v>13</v>
      </c>
      <c r="K6" s="761" t="s">
        <v>11</v>
      </c>
      <c r="L6" s="761" t="s">
        <v>493</v>
      </c>
      <c r="M6" s="761" t="s">
        <v>12</v>
      </c>
    </row>
    <row r="7" spans="1:16" s="189" customFormat="1" ht="14.25">
      <c r="A7" s="918" t="s">
        <v>55</v>
      </c>
      <c r="B7" s="919"/>
      <c r="C7" s="920" t="s">
        <v>56</v>
      </c>
      <c r="D7" s="921"/>
      <c r="E7" s="922">
        <f>SUM(E8,E34,E65,E85,E100,E150,E180,E195,E225,E210)</f>
        <v>764582833</v>
      </c>
      <c r="F7" s="922">
        <f t="shared" ref="F7:K7" si="0">SUM(F8,F34,F65,F85,F100,F150,F180,F195,F225,F210)</f>
        <v>855041386</v>
      </c>
      <c r="G7" s="922"/>
      <c r="H7" s="922">
        <f t="shared" si="0"/>
        <v>1087399362</v>
      </c>
      <c r="I7" s="923">
        <f t="shared" ref="I7:I17" si="1">H7/E7</f>
        <v>1.4222126302958726</v>
      </c>
      <c r="J7" s="922">
        <f t="shared" si="0"/>
        <v>54326660</v>
      </c>
      <c r="K7" s="922">
        <f t="shared" si="0"/>
        <v>1141726022</v>
      </c>
      <c r="L7" s="923">
        <f>K7/E7</f>
        <v>1.4932666190270061</v>
      </c>
      <c r="M7" s="924"/>
    </row>
    <row r="8" spans="1:16" s="189" customFormat="1" ht="22.5" customHeight="1">
      <c r="A8" s="925"/>
      <c r="B8" s="2407" t="s">
        <v>494</v>
      </c>
      <c r="C8" s="1528" t="s">
        <v>495</v>
      </c>
      <c r="D8" s="1529"/>
      <c r="E8" s="1530">
        <f>SUM(E9,E23)</f>
        <v>105743205</v>
      </c>
      <c r="F8" s="1530">
        <f>SUM(F9,F23)</f>
        <v>115083520</v>
      </c>
      <c r="G8" s="1530"/>
      <c r="H8" s="1530">
        <f>SUM(H9,H23)</f>
        <v>450586020</v>
      </c>
      <c r="I8" s="1531">
        <f t="shared" si="1"/>
        <v>4.2611345097777207</v>
      </c>
      <c r="J8" s="1530">
        <f>SUM(J9,J23)</f>
        <v>44620000</v>
      </c>
      <c r="K8" s="1530">
        <f>SUM(K9,K23)</f>
        <v>495206020</v>
      </c>
      <c r="L8" s="1531">
        <f>K8/E8</f>
        <v>4.6831001575940503</v>
      </c>
      <c r="M8" s="1969" t="s">
        <v>636</v>
      </c>
      <c r="P8" s="926"/>
    </row>
    <row r="9" spans="1:16" s="189" customFormat="1" ht="19.5" customHeight="1">
      <c r="A9" s="927"/>
      <c r="B9" s="2408"/>
      <c r="C9" s="901" t="s">
        <v>18</v>
      </c>
      <c r="D9" s="1532"/>
      <c r="E9" s="1533">
        <f>SUM(E10,E15)</f>
        <v>102593205</v>
      </c>
      <c r="F9" s="1533">
        <f>SUM(F10,F15)</f>
        <v>111933520</v>
      </c>
      <c r="G9" s="1533"/>
      <c r="H9" s="1533">
        <f>SUM(H10,H15)</f>
        <v>107146020</v>
      </c>
      <c r="I9" s="1534">
        <f t="shared" si="1"/>
        <v>1.0443773542312085</v>
      </c>
      <c r="J9" s="1533">
        <f>SUM(J10,J15)</f>
        <v>44620000</v>
      </c>
      <c r="K9" s="1533">
        <f>SUM(K10,K15)</f>
        <v>151766020</v>
      </c>
      <c r="L9" s="1534">
        <f>K9/E9</f>
        <v>1.4792989457732606</v>
      </c>
      <c r="M9" s="1970"/>
    </row>
    <row r="10" spans="1:16" ht="22.5" customHeight="1">
      <c r="A10" s="927"/>
      <c r="B10" s="2408"/>
      <c r="C10" s="904" t="s">
        <v>19</v>
      </c>
      <c r="D10" s="1535"/>
      <c r="E10" s="1536">
        <f>SUM(E11:E12)</f>
        <v>13216073</v>
      </c>
      <c r="F10" s="1536">
        <f>SUM(F11:F12)</f>
        <v>13644254</v>
      </c>
      <c r="G10" s="1536"/>
      <c r="H10" s="1536">
        <f>SUM(H11:H12)</f>
        <v>14627814</v>
      </c>
      <c r="I10" s="1537">
        <f t="shared" si="1"/>
        <v>1.1068200062151594</v>
      </c>
      <c r="J10" s="1536">
        <f>SUM(J11:J12)</f>
        <v>0</v>
      </c>
      <c r="K10" s="1536">
        <f>SUM(K11:K12)</f>
        <v>14627814</v>
      </c>
      <c r="L10" s="1537">
        <f>K10/E10</f>
        <v>1.1068200062151594</v>
      </c>
      <c r="M10" s="1970"/>
    </row>
    <row r="11" spans="1:16" ht="22.5" customHeight="1">
      <c r="A11" s="927"/>
      <c r="B11" s="2408"/>
      <c r="C11" s="1527" t="s">
        <v>20</v>
      </c>
      <c r="D11" s="1535"/>
      <c r="E11" s="1536"/>
      <c r="F11" s="931"/>
      <c r="G11" s="931"/>
      <c r="H11" s="931"/>
      <c r="I11" s="1537"/>
      <c r="J11" s="931"/>
      <c r="K11" s="931"/>
      <c r="L11" s="1537"/>
      <c r="M11" s="1970"/>
    </row>
    <row r="12" spans="1:16" ht="22.5" customHeight="1">
      <c r="A12" s="927"/>
      <c r="B12" s="2408"/>
      <c r="C12" s="1934" t="s">
        <v>21</v>
      </c>
      <c r="D12" s="1538" t="s">
        <v>22</v>
      </c>
      <c r="E12" s="1539">
        <f>SUM(E13:E14)</f>
        <v>13216073</v>
      </c>
      <c r="F12" s="1539">
        <f>SUM(F13:F14)</f>
        <v>13644254</v>
      </c>
      <c r="G12" s="1539"/>
      <c r="H12" s="1539">
        <f>SUM(H13:H14)</f>
        <v>14627814</v>
      </c>
      <c r="I12" s="1537">
        <f t="shared" si="1"/>
        <v>1.1068200062151594</v>
      </c>
      <c r="J12" s="1539">
        <f>SUM(J13:J14)</f>
        <v>0</v>
      </c>
      <c r="K12" s="1539">
        <f>SUM(K13:K14)</f>
        <v>14627814</v>
      </c>
      <c r="L12" s="1537">
        <f>K12/E12</f>
        <v>1.1068200062151594</v>
      </c>
      <c r="M12" s="1970"/>
    </row>
    <row r="13" spans="1:16" ht="22.5" customHeight="1">
      <c r="A13" s="927"/>
      <c r="B13" s="2408"/>
      <c r="C13" s="1935"/>
      <c r="D13" s="1540">
        <v>4270</v>
      </c>
      <c r="E13" s="1541">
        <v>13206073</v>
      </c>
      <c r="F13" s="934">
        <v>13634254</v>
      </c>
      <c r="G13" s="934"/>
      <c r="H13" s="934">
        <v>14617814</v>
      </c>
      <c r="I13" s="1542">
        <f t="shared" si="1"/>
        <v>1.106900893248129</v>
      </c>
      <c r="J13" s="934">
        <v>0</v>
      </c>
      <c r="K13" s="934">
        <f>H13+J13</f>
        <v>14617814</v>
      </c>
      <c r="L13" s="1542">
        <f>K13/E13</f>
        <v>1.106900893248129</v>
      </c>
      <c r="M13" s="1970"/>
    </row>
    <row r="14" spans="1:16" ht="22.5" customHeight="1">
      <c r="A14" s="927"/>
      <c r="B14" s="2408"/>
      <c r="C14" s="2118"/>
      <c r="D14" s="1540">
        <v>4610</v>
      </c>
      <c r="E14" s="1541">
        <v>10000</v>
      </c>
      <c r="F14" s="934">
        <v>10000</v>
      </c>
      <c r="G14" s="934"/>
      <c r="H14" s="934">
        <v>10000</v>
      </c>
      <c r="I14" s="1542">
        <f t="shared" si="1"/>
        <v>1</v>
      </c>
      <c r="J14" s="934">
        <v>0</v>
      </c>
      <c r="K14" s="934">
        <f>H14+J14</f>
        <v>10000</v>
      </c>
      <c r="L14" s="1542">
        <f>K14/E14</f>
        <v>1</v>
      </c>
      <c r="M14" s="1970"/>
    </row>
    <row r="15" spans="1:16" ht="22.5" customHeight="1">
      <c r="A15" s="927"/>
      <c r="B15" s="2408"/>
      <c r="C15" s="1938" t="s">
        <v>23</v>
      </c>
      <c r="D15" s="1535" t="s">
        <v>22</v>
      </c>
      <c r="E15" s="1536">
        <f>SUM(E16:E17)</f>
        <v>89377132</v>
      </c>
      <c r="F15" s="1536">
        <f>SUM(F16:F17)</f>
        <v>98289266</v>
      </c>
      <c r="G15" s="1536"/>
      <c r="H15" s="1536">
        <f>SUM(H16:H17)</f>
        <v>92518206</v>
      </c>
      <c r="I15" s="1537">
        <f t="shared" si="1"/>
        <v>1.0351440455708514</v>
      </c>
      <c r="J15" s="1536">
        <f>SUM(J16:J17)</f>
        <v>44620000</v>
      </c>
      <c r="K15" s="1536">
        <f>SUM(K16:K17)</f>
        <v>137138206</v>
      </c>
      <c r="L15" s="1537">
        <f>K15/E15</f>
        <v>1.5343768918429828</v>
      </c>
      <c r="M15" s="1970"/>
    </row>
    <row r="16" spans="1:16" ht="22.5" customHeight="1">
      <c r="A16" s="927"/>
      <c r="B16" s="2408"/>
      <c r="C16" s="1939"/>
      <c r="D16" s="1543">
        <v>2710</v>
      </c>
      <c r="E16" s="1541">
        <v>0</v>
      </c>
      <c r="F16" s="934">
        <v>90000</v>
      </c>
      <c r="G16" s="934"/>
      <c r="H16" s="934">
        <v>0</v>
      </c>
      <c r="I16" s="1537"/>
      <c r="J16" s="934">
        <v>0</v>
      </c>
      <c r="K16" s="934">
        <f>H16+J16</f>
        <v>0</v>
      </c>
      <c r="L16" s="1537"/>
      <c r="M16" s="1970"/>
    </row>
    <row r="17" spans="1:13" ht="22.5" customHeight="1">
      <c r="A17" s="927"/>
      <c r="B17" s="2408"/>
      <c r="C17" s="1939"/>
      <c r="D17" s="1543">
        <v>2830</v>
      </c>
      <c r="E17" s="1541">
        <v>89377132</v>
      </c>
      <c r="F17" s="934">
        <v>98199266</v>
      </c>
      <c r="G17" s="934"/>
      <c r="H17" s="934">
        <v>92518206</v>
      </c>
      <c r="I17" s="1542">
        <f t="shared" si="1"/>
        <v>1.0351440455708514</v>
      </c>
      <c r="J17" s="934">
        <f>23300000+9020000+10300000+2000000</f>
        <v>44620000</v>
      </c>
      <c r="K17" s="934">
        <f>H17+J17</f>
        <v>137138206</v>
      </c>
      <c r="L17" s="1542">
        <f>K17/E17</f>
        <v>1.5343768918429828</v>
      </c>
      <c r="M17" s="1970"/>
    </row>
    <row r="18" spans="1:13" ht="22.5" hidden="1" customHeight="1">
      <c r="A18" s="927"/>
      <c r="B18" s="2408"/>
      <c r="C18" s="2117"/>
      <c r="D18" s="1543">
        <v>2950</v>
      </c>
      <c r="E18" s="1541">
        <v>0</v>
      </c>
      <c r="F18" s="934">
        <v>0</v>
      </c>
      <c r="G18" s="934"/>
      <c r="H18" s="934"/>
      <c r="I18" s="934"/>
      <c r="J18" s="934">
        <v>0</v>
      </c>
      <c r="K18" s="934">
        <f>H18+J18</f>
        <v>0</v>
      </c>
      <c r="L18" s="1537"/>
      <c r="M18" s="1970"/>
    </row>
    <row r="19" spans="1:13" ht="22.5" customHeight="1">
      <c r="A19" s="927"/>
      <c r="B19" s="2408"/>
      <c r="C19" s="904" t="s">
        <v>24</v>
      </c>
      <c r="D19" s="1535"/>
      <c r="E19" s="1536"/>
      <c r="F19" s="931"/>
      <c r="G19" s="931"/>
      <c r="H19" s="931"/>
      <c r="I19" s="931"/>
      <c r="J19" s="931"/>
      <c r="K19" s="931"/>
      <c r="L19" s="1537"/>
      <c r="M19" s="1970"/>
    </row>
    <row r="20" spans="1:13" ht="29.25" customHeight="1">
      <c r="A20" s="927"/>
      <c r="B20" s="2408"/>
      <c r="C20" s="405" t="s">
        <v>25</v>
      </c>
      <c r="D20" s="1538"/>
      <c r="E20" s="1539"/>
      <c r="F20" s="937"/>
      <c r="G20" s="937"/>
      <c r="H20" s="937"/>
      <c r="I20" s="937"/>
      <c r="J20" s="937"/>
      <c r="K20" s="937"/>
      <c r="L20" s="1537"/>
      <c r="M20" s="1970"/>
    </row>
    <row r="21" spans="1:13" ht="20.25" customHeight="1">
      <c r="A21" s="927"/>
      <c r="B21" s="2408"/>
      <c r="C21" s="904" t="s">
        <v>26</v>
      </c>
      <c r="D21" s="1535"/>
      <c r="E21" s="1536"/>
      <c r="F21" s="931"/>
      <c r="G21" s="931"/>
      <c r="H21" s="931"/>
      <c r="I21" s="931"/>
      <c r="J21" s="931"/>
      <c r="K21" s="931"/>
      <c r="L21" s="1537"/>
      <c r="M21" s="1970"/>
    </row>
    <row r="22" spans="1:13" ht="19.5" customHeight="1">
      <c r="A22" s="927"/>
      <c r="B22" s="2408"/>
      <c r="C22" s="904" t="s">
        <v>27</v>
      </c>
      <c r="D22" s="1535"/>
      <c r="E22" s="1536"/>
      <c r="F22" s="931"/>
      <c r="G22" s="931"/>
      <c r="H22" s="931"/>
      <c r="I22" s="931"/>
      <c r="J22" s="931"/>
      <c r="K22" s="931"/>
      <c r="L22" s="1537"/>
      <c r="M22" s="1970"/>
    </row>
    <row r="23" spans="1:13" ht="22.5" customHeight="1">
      <c r="A23" s="927"/>
      <c r="B23" s="2408"/>
      <c r="C23" s="911" t="s">
        <v>28</v>
      </c>
      <c r="D23" s="1544"/>
      <c r="E23" s="1533">
        <f t="shared" ref="E23:H23" si="2">SUM(E24)</f>
        <v>3150000</v>
      </c>
      <c r="F23" s="1533">
        <f t="shared" si="2"/>
        <v>3150000</v>
      </c>
      <c r="G23" s="1533"/>
      <c r="H23" s="1533">
        <f t="shared" si="2"/>
        <v>343440000</v>
      </c>
      <c r="I23" s="1534">
        <f t="shared" ref="I23:I29" si="3">H23/E23</f>
        <v>109.02857142857142</v>
      </c>
      <c r="J23" s="1533">
        <f>SUM(J24)</f>
        <v>0</v>
      </c>
      <c r="K23" s="1533">
        <f>SUM(K24)</f>
        <v>343440000</v>
      </c>
      <c r="L23" s="1534">
        <f>K23/E23</f>
        <v>109.02857142857142</v>
      </c>
      <c r="M23" s="1970"/>
    </row>
    <row r="24" spans="1:13" ht="22.5" customHeight="1">
      <c r="A24" s="927"/>
      <c r="B24" s="2408"/>
      <c r="C24" s="1938" t="s">
        <v>29</v>
      </c>
      <c r="D24" s="1535" t="s">
        <v>366</v>
      </c>
      <c r="E24" s="1536">
        <f>SUM(E25:E27)</f>
        <v>3150000</v>
      </c>
      <c r="F24" s="1536">
        <f>SUM(F25:F27)</f>
        <v>3150000</v>
      </c>
      <c r="G24" s="1536"/>
      <c r="H24" s="1536">
        <f>SUM(H25:H27)</f>
        <v>343440000</v>
      </c>
      <c r="I24" s="1537">
        <f t="shared" si="3"/>
        <v>109.02857142857142</v>
      </c>
      <c r="J24" s="1536">
        <f>SUM(J25)</f>
        <v>0</v>
      </c>
      <c r="K24" s="1536">
        <f>SUM(K25:K27)</f>
        <v>343440000</v>
      </c>
      <c r="L24" s="1537">
        <f>K24/E24</f>
        <v>109.02857142857142</v>
      </c>
      <c r="M24" s="1970"/>
    </row>
    <row r="25" spans="1:13" ht="22.5" customHeight="1">
      <c r="A25" s="927"/>
      <c r="B25" s="2408"/>
      <c r="C25" s="1939"/>
      <c r="D25" s="1543">
        <v>6060</v>
      </c>
      <c r="E25" s="1541">
        <v>3150000</v>
      </c>
      <c r="F25" s="934">
        <v>3150000</v>
      </c>
      <c r="G25" s="934"/>
      <c r="H25" s="934">
        <v>65440000</v>
      </c>
      <c r="I25" s="1542">
        <f t="shared" si="3"/>
        <v>20.774603174603175</v>
      </c>
      <c r="J25" s="934">
        <v>0</v>
      </c>
      <c r="K25" s="934">
        <f>H25+J25</f>
        <v>65440000</v>
      </c>
      <c r="L25" s="1542">
        <f>K25/E25</f>
        <v>20.774603174603175</v>
      </c>
      <c r="M25" s="1970"/>
    </row>
    <row r="26" spans="1:13" ht="22.5" customHeight="1">
      <c r="A26" s="927"/>
      <c r="B26" s="2408"/>
      <c r="C26" s="1939"/>
      <c r="D26" s="1543">
        <v>6067</v>
      </c>
      <c r="E26" s="1541">
        <v>0</v>
      </c>
      <c r="F26" s="934">
        <v>0</v>
      </c>
      <c r="G26" s="934"/>
      <c r="H26" s="934">
        <v>236300000</v>
      </c>
      <c r="I26" s="1542"/>
      <c r="J26" s="934">
        <v>0</v>
      </c>
      <c r="K26" s="934">
        <f>H26+J26</f>
        <v>236300000</v>
      </c>
      <c r="L26" s="1537"/>
      <c r="M26" s="1970"/>
    </row>
    <row r="27" spans="1:13" ht="22.5" customHeight="1">
      <c r="A27" s="927"/>
      <c r="B27" s="2408"/>
      <c r="C27" s="2117"/>
      <c r="D27" s="1543">
        <v>6069</v>
      </c>
      <c r="E27" s="1541">
        <v>0</v>
      </c>
      <c r="F27" s="934">
        <v>0</v>
      </c>
      <c r="G27" s="934"/>
      <c r="H27" s="934">
        <v>41700000</v>
      </c>
      <c r="I27" s="1542"/>
      <c r="J27" s="934">
        <v>0</v>
      </c>
      <c r="K27" s="934">
        <f>H27+J27</f>
        <v>41700000</v>
      </c>
      <c r="L27" s="1537"/>
      <c r="M27" s="1970"/>
    </row>
    <row r="28" spans="1:13" ht="25.5" customHeight="1">
      <c r="A28" s="927"/>
      <c r="B28" s="2408"/>
      <c r="C28" s="1934" t="s">
        <v>30</v>
      </c>
      <c r="D28" s="1535" t="s">
        <v>366</v>
      </c>
      <c r="E28" s="1536">
        <f>SUM(E29:E31)</f>
        <v>150000</v>
      </c>
      <c r="F28" s="1536">
        <f>SUM(F29:F31)</f>
        <v>150000</v>
      </c>
      <c r="G28" s="1536"/>
      <c r="H28" s="1536">
        <f>SUM(H29:H31)</f>
        <v>341940000</v>
      </c>
      <c r="I28" s="1537">
        <f t="shared" si="3"/>
        <v>2279.6</v>
      </c>
      <c r="J28" s="1536">
        <f>SUM(J29:J31)</f>
        <v>0</v>
      </c>
      <c r="K28" s="1536">
        <f>SUM(K29:K31)</f>
        <v>341940000</v>
      </c>
      <c r="L28" s="1537">
        <f>K28/E28</f>
        <v>2279.6</v>
      </c>
      <c r="M28" s="1970"/>
    </row>
    <row r="29" spans="1:13" ht="24" customHeight="1">
      <c r="A29" s="927"/>
      <c r="B29" s="2408"/>
      <c r="C29" s="1935"/>
      <c r="D29" s="1543">
        <v>6060</v>
      </c>
      <c r="E29" s="1541">
        <v>150000</v>
      </c>
      <c r="F29" s="934">
        <v>150000</v>
      </c>
      <c r="G29" s="934"/>
      <c r="H29" s="934">
        <v>63940000</v>
      </c>
      <c r="I29" s="1542">
        <f t="shared" si="3"/>
        <v>426.26666666666665</v>
      </c>
      <c r="J29" s="934">
        <v>0</v>
      </c>
      <c r="K29" s="934">
        <f>H29+J29</f>
        <v>63940000</v>
      </c>
      <c r="L29" s="1542">
        <f>K29/E29</f>
        <v>426.26666666666665</v>
      </c>
      <c r="M29" s="1970"/>
    </row>
    <row r="30" spans="1:13" ht="25.5" customHeight="1">
      <c r="A30" s="927"/>
      <c r="B30" s="2408"/>
      <c r="C30" s="1935"/>
      <c r="D30" s="1543">
        <v>6067</v>
      </c>
      <c r="E30" s="1541">
        <v>0</v>
      </c>
      <c r="F30" s="934">
        <v>0</v>
      </c>
      <c r="G30" s="934"/>
      <c r="H30" s="934">
        <v>236300000</v>
      </c>
      <c r="I30" s="934"/>
      <c r="J30" s="934">
        <v>0</v>
      </c>
      <c r="K30" s="934">
        <f>H30+J30</f>
        <v>236300000</v>
      </c>
      <c r="L30" s="1537"/>
      <c r="M30" s="1970"/>
    </row>
    <row r="31" spans="1:13" ht="32.25" customHeight="1">
      <c r="A31" s="927"/>
      <c r="B31" s="2408"/>
      <c r="C31" s="2118"/>
      <c r="D31" s="1543">
        <v>6069</v>
      </c>
      <c r="E31" s="1541">
        <v>0</v>
      </c>
      <c r="F31" s="934">
        <v>0</v>
      </c>
      <c r="G31" s="934"/>
      <c r="H31" s="934">
        <v>41700000</v>
      </c>
      <c r="I31" s="934"/>
      <c r="J31" s="934">
        <v>0</v>
      </c>
      <c r="K31" s="934">
        <f>H31+J31</f>
        <v>41700000</v>
      </c>
      <c r="L31" s="1537"/>
      <c r="M31" s="1970"/>
    </row>
    <row r="32" spans="1:13" ht="21.75" customHeight="1">
      <c r="A32" s="927"/>
      <c r="B32" s="2408"/>
      <c r="C32" s="904" t="s">
        <v>31</v>
      </c>
      <c r="D32" s="1535"/>
      <c r="E32" s="1536"/>
      <c r="F32" s="931"/>
      <c r="G32" s="931"/>
      <c r="H32" s="931"/>
      <c r="I32" s="931"/>
      <c r="J32" s="931"/>
      <c r="K32" s="931"/>
      <c r="L32" s="1537"/>
      <c r="M32" s="1970"/>
    </row>
    <row r="33" spans="1:39" s="189" customFormat="1" ht="21" customHeight="1" thickBot="1">
      <c r="A33" s="939"/>
      <c r="B33" s="2409"/>
      <c r="C33" s="679" t="s">
        <v>32</v>
      </c>
      <c r="D33" s="940"/>
      <c r="E33" s="941"/>
      <c r="F33" s="942"/>
      <c r="G33" s="942"/>
      <c r="H33" s="942"/>
      <c r="I33" s="942"/>
      <c r="J33" s="942"/>
      <c r="K33" s="942"/>
      <c r="L33" s="943"/>
      <c r="M33" s="2410"/>
    </row>
    <row r="34" spans="1:39" s="189" customFormat="1" ht="15" customHeight="1">
      <c r="A34" s="944"/>
      <c r="B34" s="2413" t="s">
        <v>496</v>
      </c>
      <c r="C34" s="945" t="s">
        <v>497</v>
      </c>
      <c r="D34" s="946"/>
      <c r="E34" s="947">
        <f>SUM(E35,E44)</f>
        <v>76572267</v>
      </c>
      <c r="F34" s="947">
        <f>SUM(F35,F44)</f>
        <v>144693559</v>
      </c>
      <c r="G34" s="947"/>
      <c r="H34" s="947">
        <f>SUM(H35,H44)</f>
        <v>100555545</v>
      </c>
      <c r="I34" s="948">
        <f t="shared" ref="I34" si="4">H34/E34</f>
        <v>1.3132110219487168</v>
      </c>
      <c r="J34" s="947">
        <f>SUM(J35,J44)</f>
        <v>0</v>
      </c>
      <c r="K34" s="947">
        <f>SUM(K35,K44)</f>
        <v>100555545</v>
      </c>
      <c r="L34" s="948">
        <f>K34/E34</f>
        <v>1.3132110219487168</v>
      </c>
      <c r="M34" s="2415" t="s">
        <v>498</v>
      </c>
    </row>
    <row r="35" spans="1:39" ht="12.75">
      <c r="A35" s="927"/>
      <c r="B35" s="2414"/>
      <c r="C35" s="901" t="s">
        <v>18</v>
      </c>
      <c r="D35" s="1532"/>
      <c r="E35" s="949">
        <f>SUM(E36,E39:E43)</f>
        <v>0</v>
      </c>
      <c r="F35" s="949">
        <f>SUM(F36,F39:F43)</f>
        <v>143</v>
      </c>
      <c r="G35" s="949"/>
      <c r="H35" s="949">
        <f>SUM(H36,H39:H43)</f>
        <v>0</v>
      </c>
      <c r="I35" s="1534"/>
      <c r="J35" s="949">
        <f>SUM(J36,J39:J43)</f>
        <v>0</v>
      </c>
      <c r="K35" s="949">
        <f>SUM(K36,K39:K43)</f>
        <v>0</v>
      </c>
      <c r="L35" s="1534"/>
      <c r="M35" s="2416"/>
    </row>
    <row r="36" spans="1:39" ht="20.45" customHeight="1">
      <c r="A36" s="927"/>
      <c r="B36" s="2414"/>
      <c r="C36" s="904" t="s">
        <v>19</v>
      </c>
      <c r="D36" s="1535"/>
      <c r="E36" s="931">
        <v>0</v>
      </c>
      <c r="F36" s="931">
        <v>0</v>
      </c>
      <c r="G36" s="931"/>
      <c r="H36" s="931">
        <v>0</v>
      </c>
      <c r="I36" s="1537"/>
      <c r="J36" s="931">
        <v>0</v>
      </c>
      <c r="K36" s="931">
        <v>0</v>
      </c>
      <c r="L36" s="1537"/>
      <c r="M36" s="2416"/>
    </row>
    <row r="37" spans="1:39" ht="12.75">
      <c r="A37" s="927"/>
      <c r="B37" s="2414"/>
      <c r="C37" s="1527" t="s">
        <v>20</v>
      </c>
      <c r="D37" s="1535"/>
      <c r="E37" s="931"/>
      <c r="F37" s="1536"/>
      <c r="G37" s="1536"/>
      <c r="H37" s="1536"/>
      <c r="I37" s="1536"/>
      <c r="J37" s="1536"/>
      <c r="K37" s="931"/>
      <c r="L37" s="1537"/>
      <c r="M37" s="2416"/>
    </row>
    <row r="38" spans="1:39" ht="12.75">
      <c r="A38" s="927"/>
      <c r="B38" s="2414"/>
      <c r="C38" s="405" t="s">
        <v>21</v>
      </c>
      <c r="D38" s="1538"/>
      <c r="E38" s="950"/>
      <c r="F38" s="1547"/>
      <c r="G38" s="1547"/>
      <c r="H38" s="1547"/>
      <c r="I38" s="1547"/>
      <c r="J38" s="1547"/>
      <c r="K38" s="950"/>
      <c r="L38" s="1537"/>
      <c r="M38" s="2416"/>
    </row>
    <row r="39" spans="1:39" ht="12.75">
      <c r="A39" s="927"/>
      <c r="B39" s="2414"/>
      <c r="C39" s="169" t="s">
        <v>23</v>
      </c>
      <c r="D39" s="1535"/>
      <c r="E39" s="931"/>
      <c r="F39" s="1536"/>
      <c r="G39" s="1536"/>
      <c r="H39" s="1536"/>
      <c r="I39" s="1536"/>
      <c r="J39" s="1536"/>
      <c r="K39" s="931"/>
      <c r="L39" s="1537"/>
      <c r="M39" s="2416"/>
    </row>
    <row r="40" spans="1:39" ht="12.75">
      <c r="A40" s="927"/>
      <c r="B40" s="2414"/>
      <c r="C40" s="904" t="s">
        <v>24</v>
      </c>
      <c r="D40" s="1535"/>
      <c r="E40" s="931"/>
      <c r="F40" s="1536"/>
      <c r="G40" s="1536"/>
      <c r="H40" s="1536"/>
      <c r="I40" s="1536"/>
      <c r="J40" s="1536"/>
      <c r="K40" s="931"/>
      <c r="L40" s="1537"/>
      <c r="M40" s="2416"/>
    </row>
    <row r="41" spans="1:39" ht="26.25" customHeight="1">
      <c r="A41" s="927"/>
      <c r="B41" s="2414"/>
      <c r="C41" s="910" t="s">
        <v>25</v>
      </c>
      <c r="D41" s="1538">
        <v>4569</v>
      </c>
      <c r="E41" s="931">
        <v>0</v>
      </c>
      <c r="F41" s="1536">
        <v>143</v>
      </c>
      <c r="G41" s="1536"/>
      <c r="H41" s="1536">
        <v>0</v>
      </c>
      <c r="I41" s="1537"/>
      <c r="J41" s="1536"/>
      <c r="K41" s="931">
        <v>0</v>
      </c>
      <c r="L41" s="1537"/>
      <c r="M41" s="2416"/>
    </row>
    <row r="42" spans="1:39" s="189" customFormat="1" ht="12.75">
      <c r="A42" s="927"/>
      <c r="B42" s="2414"/>
      <c r="C42" s="904" t="s">
        <v>26</v>
      </c>
      <c r="D42" s="1535"/>
      <c r="E42" s="931"/>
      <c r="F42" s="1536"/>
      <c r="G42" s="1536"/>
      <c r="H42" s="1536"/>
      <c r="I42" s="1536"/>
      <c r="J42" s="1536"/>
      <c r="K42" s="931"/>
      <c r="L42" s="1537"/>
      <c r="M42" s="2416"/>
      <c r="N42" s="951"/>
      <c r="O42" s="951"/>
      <c r="P42" s="951"/>
      <c r="Q42" s="951"/>
      <c r="R42" s="951"/>
      <c r="S42" s="951"/>
      <c r="T42" s="951"/>
      <c r="U42" s="951"/>
      <c r="V42" s="951"/>
      <c r="W42" s="951"/>
      <c r="X42" s="951"/>
      <c r="Y42" s="951"/>
      <c r="Z42" s="951"/>
      <c r="AA42" s="951"/>
      <c r="AB42" s="951"/>
      <c r="AC42" s="951"/>
      <c r="AD42" s="951"/>
      <c r="AE42" s="951"/>
      <c r="AF42" s="951"/>
      <c r="AG42" s="951"/>
      <c r="AH42" s="951"/>
      <c r="AI42" s="951"/>
      <c r="AJ42" s="951"/>
      <c r="AK42" s="951"/>
      <c r="AL42" s="951"/>
      <c r="AM42" s="951"/>
    </row>
    <row r="43" spans="1:39" ht="12.75">
      <c r="A43" s="927"/>
      <c r="B43" s="2414"/>
      <c r="C43" s="904" t="s">
        <v>27</v>
      </c>
      <c r="D43" s="1535"/>
      <c r="E43" s="931"/>
      <c r="F43" s="1536"/>
      <c r="G43" s="1536"/>
      <c r="H43" s="1536"/>
      <c r="I43" s="1536"/>
      <c r="J43" s="1536"/>
      <c r="K43" s="931"/>
      <c r="L43" s="1537"/>
      <c r="M43" s="2416"/>
      <c r="N43" s="951"/>
      <c r="O43" s="951"/>
      <c r="P43" s="951"/>
      <c r="Q43" s="951"/>
      <c r="R43" s="951"/>
      <c r="S43" s="951"/>
      <c r="T43" s="951"/>
      <c r="U43" s="951"/>
      <c r="V43" s="951"/>
      <c r="W43" s="951"/>
      <c r="X43" s="951"/>
      <c r="Y43" s="951"/>
      <c r="Z43" s="951"/>
      <c r="AA43" s="951"/>
      <c r="AB43" s="951"/>
      <c r="AC43" s="951"/>
      <c r="AD43" s="951"/>
      <c r="AE43" s="951"/>
      <c r="AF43" s="951"/>
      <c r="AG43" s="951"/>
      <c r="AH43" s="951"/>
      <c r="AI43" s="951"/>
      <c r="AJ43" s="951"/>
      <c r="AK43" s="951"/>
      <c r="AL43" s="951"/>
      <c r="AM43" s="951"/>
    </row>
    <row r="44" spans="1:39" s="189" customFormat="1" ht="12.75">
      <c r="A44" s="927"/>
      <c r="B44" s="2414"/>
      <c r="C44" s="911" t="s">
        <v>28</v>
      </c>
      <c r="D44" s="1544"/>
      <c r="E44" s="949">
        <f>SUM(E45)</f>
        <v>76572267</v>
      </c>
      <c r="F44" s="949">
        <f>SUM(F45)</f>
        <v>144693416</v>
      </c>
      <c r="G44" s="949"/>
      <c r="H44" s="949">
        <f>SUM(H45)</f>
        <v>100555545</v>
      </c>
      <c r="I44" s="1534">
        <f t="shared" ref="I44:I48" si="5">H44/E44</f>
        <v>1.3132110219487168</v>
      </c>
      <c r="J44" s="949">
        <f>SUM(J45)</f>
        <v>0</v>
      </c>
      <c r="K44" s="949">
        <f>SUM(K45)</f>
        <v>100555545</v>
      </c>
      <c r="L44" s="1534">
        <f>K44/E44</f>
        <v>1.3132110219487168</v>
      </c>
      <c r="M44" s="2416"/>
      <c r="N44" s="951"/>
      <c r="O44" s="951"/>
      <c r="P44" s="951"/>
      <c r="Q44" s="951"/>
      <c r="R44" s="951"/>
      <c r="S44" s="951"/>
      <c r="T44" s="951"/>
      <c r="U44" s="951"/>
      <c r="V44" s="951"/>
      <c r="W44" s="951"/>
      <c r="X44" s="951"/>
      <c r="Y44" s="951"/>
      <c r="Z44" s="951"/>
      <c r="AA44" s="951"/>
      <c r="AB44" s="951"/>
      <c r="AC44" s="951"/>
      <c r="AD44" s="951"/>
      <c r="AE44" s="951"/>
      <c r="AF44" s="951"/>
      <c r="AG44" s="951"/>
      <c r="AH44" s="951"/>
      <c r="AI44" s="951"/>
      <c r="AJ44" s="951"/>
      <c r="AK44" s="951"/>
      <c r="AL44" s="951"/>
      <c r="AM44" s="951"/>
    </row>
    <row r="45" spans="1:39" s="189" customFormat="1" ht="12.75">
      <c r="A45" s="927"/>
      <c r="B45" s="2414"/>
      <c r="C45" s="1938" t="s">
        <v>29</v>
      </c>
      <c r="D45" s="1535" t="s">
        <v>22</v>
      </c>
      <c r="E45" s="937">
        <f>SUM(E46:E53)</f>
        <v>76572267</v>
      </c>
      <c r="F45" s="937">
        <f>SUM(F46:F53)</f>
        <v>144693416</v>
      </c>
      <c r="G45" s="937"/>
      <c r="H45" s="937">
        <f>SUM(H46:H53)</f>
        <v>100555545</v>
      </c>
      <c r="I45" s="1537">
        <f t="shared" si="5"/>
        <v>1.3132110219487168</v>
      </c>
      <c r="J45" s="937">
        <f>SUM(J46:J53)</f>
        <v>0</v>
      </c>
      <c r="K45" s="937">
        <f>SUM(K46:K53)</f>
        <v>100555545</v>
      </c>
      <c r="L45" s="1537">
        <f>K45/E45</f>
        <v>1.3132110219487168</v>
      </c>
      <c r="M45" s="2416"/>
      <c r="N45" s="951"/>
      <c r="O45" s="951"/>
      <c r="P45" s="951"/>
      <c r="Q45" s="951"/>
      <c r="R45" s="951"/>
      <c r="S45" s="951"/>
      <c r="T45" s="951"/>
      <c r="U45" s="951"/>
      <c r="V45" s="951"/>
      <c r="W45" s="951"/>
      <c r="X45" s="951"/>
      <c r="Y45" s="951"/>
      <c r="Z45" s="951"/>
      <c r="AA45" s="951"/>
      <c r="AB45" s="951"/>
      <c r="AC45" s="951"/>
      <c r="AD45" s="951"/>
      <c r="AE45" s="951"/>
      <c r="AF45" s="951"/>
      <c r="AG45" s="951"/>
      <c r="AH45" s="951"/>
      <c r="AI45" s="951"/>
      <c r="AJ45" s="951"/>
      <c r="AK45" s="951"/>
      <c r="AL45" s="951"/>
      <c r="AM45" s="951"/>
    </row>
    <row r="46" spans="1:39" s="189" customFormat="1" ht="12.75">
      <c r="A46" s="927"/>
      <c r="B46" s="2414"/>
      <c r="C46" s="1939"/>
      <c r="D46" s="1543">
        <v>6050</v>
      </c>
      <c r="E46" s="934">
        <v>31998997</v>
      </c>
      <c r="F46" s="1541">
        <v>32739604</v>
      </c>
      <c r="G46" s="1541"/>
      <c r="H46" s="1541">
        <v>59741840</v>
      </c>
      <c r="I46" s="1542">
        <f t="shared" si="5"/>
        <v>1.866991018499736</v>
      </c>
      <c r="J46" s="1541">
        <v>0</v>
      </c>
      <c r="K46" s="934">
        <f t="shared" ref="K46:K53" si="6">H46+J46</f>
        <v>59741840</v>
      </c>
      <c r="L46" s="1542">
        <f>K46/E46</f>
        <v>1.866991018499736</v>
      </c>
      <c r="M46" s="2416"/>
      <c r="N46" s="951"/>
      <c r="O46" s="951"/>
      <c r="P46" s="951"/>
      <c r="Q46" s="951"/>
      <c r="R46" s="951"/>
      <c r="S46" s="951"/>
      <c r="T46" s="951"/>
      <c r="U46" s="951"/>
      <c r="V46" s="951"/>
      <c r="W46" s="951"/>
      <c r="X46" s="951"/>
      <c r="Y46" s="951"/>
      <c r="Z46" s="951"/>
      <c r="AA46" s="951"/>
      <c r="AB46" s="951"/>
      <c r="AC46" s="951"/>
      <c r="AD46" s="951"/>
      <c r="AE46" s="951"/>
      <c r="AF46" s="951"/>
      <c r="AG46" s="951"/>
      <c r="AH46" s="951"/>
      <c r="AI46" s="951"/>
      <c r="AJ46" s="951"/>
      <c r="AK46" s="951"/>
      <c r="AL46" s="951"/>
      <c r="AM46" s="951"/>
    </row>
    <row r="47" spans="1:39" s="189" customFormat="1" ht="12.75">
      <c r="A47" s="927"/>
      <c r="B47" s="2414"/>
      <c r="C47" s="1939"/>
      <c r="D47" s="1543">
        <v>6057</v>
      </c>
      <c r="E47" s="934">
        <v>22286635</v>
      </c>
      <c r="F47" s="1541">
        <v>21181210</v>
      </c>
      <c r="G47" s="1541"/>
      <c r="H47" s="1541">
        <v>22920771</v>
      </c>
      <c r="I47" s="1542">
        <f t="shared" si="5"/>
        <v>1.0284536449760135</v>
      </c>
      <c r="J47" s="1541">
        <v>0</v>
      </c>
      <c r="K47" s="934">
        <f t="shared" si="6"/>
        <v>22920771</v>
      </c>
      <c r="L47" s="1542">
        <f>K47/E47</f>
        <v>1.0284536449760135</v>
      </c>
      <c r="M47" s="2416"/>
      <c r="N47" s="951"/>
      <c r="O47" s="951"/>
      <c r="P47" s="951"/>
      <c r="Q47" s="951"/>
      <c r="R47" s="951"/>
      <c r="S47" s="951"/>
      <c r="T47" s="951"/>
      <c r="U47" s="951"/>
      <c r="V47" s="951"/>
      <c r="W47" s="951"/>
      <c r="X47" s="951"/>
      <c r="Y47" s="951"/>
      <c r="Z47" s="951"/>
      <c r="AA47" s="951"/>
      <c r="AB47" s="951"/>
      <c r="AC47" s="951"/>
      <c r="AD47" s="951"/>
      <c r="AE47" s="951"/>
      <c r="AF47" s="951"/>
      <c r="AG47" s="951"/>
      <c r="AH47" s="951"/>
      <c r="AI47" s="951"/>
      <c r="AJ47" s="951"/>
      <c r="AK47" s="951"/>
      <c r="AL47" s="951"/>
      <c r="AM47" s="951"/>
    </row>
    <row r="48" spans="1:39" s="189" customFormat="1" ht="12.75">
      <c r="A48" s="927"/>
      <c r="B48" s="2414"/>
      <c r="C48" s="1939"/>
      <c r="D48" s="1543">
        <v>6059</v>
      </c>
      <c r="E48" s="934">
        <v>22286635</v>
      </c>
      <c r="F48" s="1541">
        <v>23581210</v>
      </c>
      <c r="G48" s="1541"/>
      <c r="H48" s="1541">
        <v>12892934</v>
      </c>
      <c r="I48" s="1542">
        <f t="shared" si="5"/>
        <v>0.57850518932086425</v>
      </c>
      <c r="J48" s="1541">
        <v>0</v>
      </c>
      <c r="K48" s="934">
        <f t="shared" si="6"/>
        <v>12892934</v>
      </c>
      <c r="L48" s="1542">
        <f>K48/E48</f>
        <v>0.57850518932086425</v>
      </c>
      <c r="M48" s="2416"/>
      <c r="N48" s="951"/>
      <c r="O48" s="951"/>
      <c r="P48" s="951"/>
      <c r="Q48" s="951"/>
      <c r="R48" s="951"/>
      <c r="S48" s="951"/>
      <c r="T48" s="951"/>
      <c r="U48" s="951"/>
      <c r="V48" s="951"/>
      <c r="W48" s="951"/>
      <c r="X48" s="951"/>
      <c r="Y48" s="951"/>
      <c r="Z48" s="951"/>
      <c r="AA48" s="951"/>
      <c r="AB48" s="951"/>
      <c r="AC48" s="951"/>
      <c r="AD48" s="951"/>
      <c r="AE48" s="951"/>
      <c r="AF48" s="951"/>
      <c r="AG48" s="951"/>
      <c r="AH48" s="951"/>
      <c r="AI48" s="951"/>
      <c r="AJ48" s="951"/>
      <c r="AK48" s="951"/>
      <c r="AL48" s="951"/>
      <c r="AM48" s="951"/>
    </row>
    <row r="49" spans="1:39" s="189" customFormat="1" ht="12.75" customHeight="1">
      <c r="A49" s="927"/>
      <c r="B49" s="2414"/>
      <c r="C49" s="1939"/>
      <c r="D49" s="1543">
        <v>6060</v>
      </c>
      <c r="E49" s="934">
        <v>0</v>
      </c>
      <c r="F49" s="1541">
        <v>1962078</v>
      </c>
      <c r="G49" s="1541"/>
      <c r="H49" s="1541">
        <v>5000000</v>
      </c>
      <c r="I49" s="1541"/>
      <c r="J49" s="1541">
        <v>0</v>
      </c>
      <c r="K49" s="934">
        <f t="shared" si="6"/>
        <v>5000000</v>
      </c>
      <c r="L49" s="1542"/>
      <c r="M49" s="2416"/>
      <c r="N49" s="951"/>
      <c r="O49" s="951"/>
      <c r="P49" s="951"/>
      <c r="Q49" s="951"/>
      <c r="R49" s="951"/>
      <c r="S49" s="951"/>
      <c r="T49" s="951"/>
      <c r="U49" s="951"/>
      <c r="V49" s="951"/>
      <c r="W49" s="951"/>
      <c r="X49" s="951"/>
      <c r="Y49" s="951"/>
      <c r="Z49" s="951"/>
      <c r="AA49" s="951"/>
      <c r="AB49" s="951"/>
      <c r="AC49" s="951"/>
      <c r="AD49" s="951"/>
      <c r="AE49" s="951"/>
      <c r="AF49" s="951"/>
      <c r="AG49" s="951"/>
      <c r="AH49" s="951"/>
      <c r="AI49" s="951"/>
      <c r="AJ49" s="951"/>
      <c r="AK49" s="951"/>
      <c r="AL49" s="951"/>
      <c r="AM49" s="951"/>
    </row>
    <row r="50" spans="1:39" s="189" customFormat="1" ht="12.75" customHeight="1">
      <c r="A50" s="927"/>
      <c r="B50" s="2414"/>
      <c r="C50" s="1939"/>
      <c r="D50" s="1543">
        <v>6067</v>
      </c>
      <c r="E50" s="934">
        <v>0</v>
      </c>
      <c r="F50" s="1541">
        <v>1105425</v>
      </c>
      <c r="G50" s="1541"/>
      <c r="H50" s="1541">
        <v>0</v>
      </c>
      <c r="I50" s="1541"/>
      <c r="J50" s="1541">
        <v>0</v>
      </c>
      <c r="K50" s="934">
        <f t="shared" si="6"/>
        <v>0</v>
      </c>
      <c r="L50" s="1542"/>
      <c r="M50" s="2416"/>
      <c r="N50" s="951"/>
      <c r="O50" s="951"/>
      <c r="P50" s="951"/>
      <c r="Q50" s="951"/>
      <c r="R50" s="951"/>
      <c r="S50" s="951"/>
      <c r="T50" s="951"/>
      <c r="U50" s="951"/>
      <c r="V50" s="951"/>
      <c r="W50" s="951"/>
      <c r="X50" s="951"/>
      <c r="Y50" s="951"/>
      <c r="Z50" s="951"/>
      <c r="AA50" s="951"/>
      <c r="AB50" s="951"/>
      <c r="AC50" s="951"/>
      <c r="AD50" s="951"/>
      <c r="AE50" s="951"/>
      <c r="AF50" s="951"/>
      <c r="AG50" s="951"/>
      <c r="AH50" s="951"/>
      <c r="AI50" s="951"/>
      <c r="AJ50" s="951"/>
      <c r="AK50" s="951"/>
      <c r="AL50" s="951"/>
      <c r="AM50" s="951"/>
    </row>
    <row r="51" spans="1:39" s="189" customFormat="1" ht="12.75" customHeight="1">
      <c r="A51" s="927"/>
      <c r="B51" s="2414"/>
      <c r="C51" s="1939"/>
      <c r="D51" s="1543">
        <v>6069</v>
      </c>
      <c r="E51" s="934">
        <v>0</v>
      </c>
      <c r="F51" s="1541">
        <v>2210850</v>
      </c>
      <c r="G51" s="1541"/>
      <c r="H51" s="1541">
        <v>0</v>
      </c>
      <c r="I51" s="1541"/>
      <c r="J51" s="1541">
        <v>0</v>
      </c>
      <c r="K51" s="934">
        <f t="shared" si="6"/>
        <v>0</v>
      </c>
      <c r="L51" s="1542"/>
      <c r="M51" s="2416"/>
      <c r="N51" s="951"/>
      <c r="O51" s="951"/>
      <c r="P51" s="951"/>
      <c r="Q51" s="951"/>
      <c r="R51" s="951"/>
      <c r="S51" s="951"/>
      <c r="T51" s="951"/>
      <c r="U51" s="951"/>
      <c r="V51" s="951"/>
      <c r="W51" s="951"/>
      <c r="X51" s="951"/>
      <c r="Y51" s="951"/>
      <c r="Z51" s="951"/>
      <c r="AA51" s="951"/>
      <c r="AB51" s="951"/>
      <c r="AC51" s="951"/>
      <c r="AD51" s="951"/>
      <c r="AE51" s="951"/>
      <c r="AF51" s="951"/>
      <c r="AG51" s="951"/>
      <c r="AH51" s="951"/>
      <c r="AI51" s="951"/>
      <c r="AJ51" s="951"/>
      <c r="AK51" s="951"/>
      <c r="AL51" s="951"/>
      <c r="AM51" s="951"/>
    </row>
    <row r="52" spans="1:39" s="189" customFormat="1" ht="12.75" customHeight="1">
      <c r="A52" s="927"/>
      <c r="B52" s="2414"/>
      <c r="C52" s="1939"/>
      <c r="D52" s="1543">
        <v>6207</v>
      </c>
      <c r="E52" s="934">
        <v>0</v>
      </c>
      <c r="F52" s="1541">
        <v>55152913</v>
      </c>
      <c r="G52" s="1541"/>
      <c r="H52" s="1541">
        <v>0</v>
      </c>
      <c r="I52" s="1541"/>
      <c r="J52" s="1541">
        <v>0</v>
      </c>
      <c r="K52" s="934">
        <f t="shared" si="6"/>
        <v>0</v>
      </c>
      <c r="L52" s="1542"/>
      <c r="M52" s="2416"/>
      <c r="N52" s="951"/>
      <c r="O52" s="951"/>
      <c r="P52" s="951"/>
      <c r="Q52" s="951"/>
      <c r="R52" s="951"/>
      <c r="S52" s="951"/>
      <c r="T52" s="951"/>
      <c r="U52" s="951"/>
      <c r="V52" s="951"/>
      <c r="W52" s="951"/>
      <c r="X52" s="951"/>
      <c r="Y52" s="951"/>
      <c r="Z52" s="951"/>
      <c r="AA52" s="951"/>
      <c r="AB52" s="951"/>
      <c r="AC52" s="951"/>
      <c r="AD52" s="951"/>
      <c r="AE52" s="951"/>
      <c r="AF52" s="951"/>
      <c r="AG52" s="951"/>
      <c r="AH52" s="951"/>
      <c r="AI52" s="951"/>
      <c r="AJ52" s="951"/>
      <c r="AK52" s="951"/>
      <c r="AL52" s="951"/>
      <c r="AM52" s="951"/>
    </row>
    <row r="53" spans="1:39" s="189" customFormat="1" ht="12.75" customHeight="1">
      <c r="A53" s="927"/>
      <c r="B53" s="2414"/>
      <c r="C53" s="2117"/>
      <c r="D53" s="1543">
        <v>6257</v>
      </c>
      <c r="E53" s="934">
        <v>0</v>
      </c>
      <c r="F53" s="1541">
        <v>6760126</v>
      </c>
      <c r="G53" s="1541"/>
      <c r="H53" s="1541">
        <v>0</v>
      </c>
      <c r="I53" s="1541"/>
      <c r="J53" s="1541">
        <v>0</v>
      </c>
      <c r="K53" s="934">
        <f t="shared" si="6"/>
        <v>0</v>
      </c>
      <c r="L53" s="1542"/>
      <c r="M53" s="2416"/>
      <c r="N53" s="951"/>
      <c r="O53" s="951"/>
      <c r="P53" s="951"/>
      <c r="Q53" s="951"/>
      <c r="R53" s="951"/>
      <c r="S53" s="951"/>
      <c r="T53" s="951"/>
      <c r="U53" s="951"/>
      <c r="V53" s="951"/>
      <c r="W53" s="951"/>
      <c r="X53" s="951"/>
      <c r="Y53" s="951"/>
      <c r="Z53" s="951"/>
      <c r="AA53" s="951"/>
      <c r="AB53" s="951"/>
      <c r="AC53" s="951"/>
      <c r="AD53" s="951"/>
      <c r="AE53" s="951"/>
      <c r="AF53" s="951"/>
      <c r="AG53" s="951"/>
      <c r="AH53" s="951"/>
      <c r="AI53" s="951"/>
      <c r="AJ53" s="951"/>
      <c r="AK53" s="951"/>
      <c r="AL53" s="951"/>
      <c r="AM53" s="951"/>
    </row>
    <row r="54" spans="1:39" ht="12.75">
      <c r="A54" s="927"/>
      <c r="B54" s="2414"/>
      <c r="C54" s="1934" t="s">
        <v>30</v>
      </c>
      <c r="D54" s="1538" t="s">
        <v>22</v>
      </c>
      <c r="E54" s="937">
        <f>SUM(E55:E62)</f>
        <v>76572267</v>
      </c>
      <c r="F54" s="937">
        <f>SUM(F55:F62)</f>
        <v>144693416</v>
      </c>
      <c r="G54" s="937"/>
      <c r="H54" s="937">
        <f>SUM(H55:H62)</f>
        <v>100555545</v>
      </c>
      <c r="I54" s="1537">
        <f t="shared" ref="I54:I57" si="7">H54/E54</f>
        <v>1.3132110219487168</v>
      </c>
      <c r="J54" s="937">
        <f>SUM(J55:J62)</f>
        <v>0</v>
      </c>
      <c r="K54" s="934">
        <f>SUM(K55:K62)</f>
        <v>100555545</v>
      </c>
      <c r="L54" s="1537">
        <f>K54/E54</f>
        <v>1.3132110219487168</v>
      </c>
      <c r="M54" s="2416"/>
    </row>
    <row r="55" spans="1:39" ht="15" customHeight="1">
      <c r="A55" s="927"/>
      <c r="B55" s="2414"/>
      <c r="C55" s="1935"/>
      <c r="D55" s="1543">
        <v>6050</v>
      </c>
      <c r="E55" s="934">
        <v>31998997</v>
      </c>
      <c r="F55" s="1541">
        <v>32739604</v>
      </c>
      <c r="G55" s="1541"/>
      <c r="H55" s="1541">
        <v>59741840</v>
      </c>
      <c r="I55" s="1542">
        <f t="shared" si="7"/>
        <v>1.866991018499736</v>
      </c>
      <c r="J55" s="1541">
        <v>0</v>
      </c>
      <c r="K55" s="934">
        <f t="shared" ref="K55:K62" si="8">H55+J55</f>
        <v>59741840</v>
      </c>
      <c r="L55" s="1542">
        <f>K55/E55</f>
        <v>1.866991018499736</v>
      </c>
      <c r="M55" s="2416"/>
    </row>
    <row r="56" spans="1:39" ht="15" customHeight="1">
      <c r="A56" s="927"/>
      <c r="B56" s="2414"/>
      <c r="C56" s="1935"/>
      <c r="D56" s="1543">
        <v>6057</v>
      </c>
      <c r="E56" s="934">
        <v>22286635</v>
      </c>
      <c r="F56" s="1541">
        <v>21181210</v>
      </c>
      <c r="G56" s="1541"/>
      <c r="H56" s="1541">
        <v>22920771</v>
      </c>
      <c r="I56" s="1542">
        <f t="shared" si="7"/>
        <v>1.0284536449760135</v>
      </c>
      <c r="J56" s="1541">
        <v>0</v>
      </c>
      <c r="K56" s="934">
        <f t="shared" si="8"/>
        <v>22920771</v>
      </c>
      <c r="L56" s="1542">
        <f>K56/E56</f>
        <v>1.0284536449760135</v>
      </c>
      <c r="M56" s="2416"/>
    </row>
    <row r="57" spans="1:39" ht="15" customHeight="1">
      <c r="A57" s="927"/>
      <c r="B57" s="2414"/>
      <c r="C57" s="1935"/>
      <c r="D57" s="1543">
        <v>6059</v>
      </c>
      <c r="E57" s="934">
        <v>22286635</v>
      </c>
      <c r="F57" s="1541">
        <v>23581210</v>
      </c>
      <c r="G57" s="1541"/>
      <c r="H57" s="1541">
        <v>12892934</v>
      </c>
      <c r="I57" s="1542">
        <f t="shared" si="7"/>
        <v>0.57850518932086425</v>
      </c>
      <c r="J57" s="1541">
        <v>0</v>
      </c>
      <c r="K57" s="934">
        <f t="shared" si="8"/>
        <v>12892934</v>
      </c>
      <c r="L57" s="1542">
        <f>K57/E57</f>
        <v>0.57850518932086425</v>
      </c>
      <c r="M57" s="2416"/>
    </row>
    <row r="58" spans="1:39" ht="15" customHeight="1">
      <c r="A58" s="927"/>
      <c r="B58" s="2414"/>
      <c r="C58" s="1935"/>
      <c r="D58" s="1543">
        <v>6060</v>
      </c>
      <c r="E58" s="934">
        <v>0</v>
      </c>
      <c r="F58" s="1541">
        <v>1962078</v>
      </c>
      <c r="G58" s="1541"/>
      <c r="H58" s="1541">
        <v>5000000</v>
      </c>
      <c r="I58" s="1541"/>
      <c r="J58" s="1541">
        <v>0</v>
      </c>
      <c r="K58" s="934">
        <f t="shared" si="8"/>
        <v>5000000</v>
      </c>
      <c r="L58" s="1537"/>
      <c r="M58" s="2416"/>
    </row>
    <row r="59" spans="1:39" ht="15" customHeight="1">
      <c r="A59" s="927"/>
      <c r="B59" s="2414"/>
      <c r="C59" s="1935"/>
      <c r="D59" s="1543">
        <v>6067</v>
      </c>
      <c r="E59" s="934">
        <v>0</v>
      </c>
      <c r="F59" s="1541">
        <v>1105425</v>
      </c>
      <c r="G59" s="1541"/>
      <c r="H59" s="1541">
        <v>0</v>
      </c>
      <c r="I59" s="1541"/>
      <c r="J59" s="1541">
        <v>0</v>
      </c>
      <c r="K59" s="934">
        <f t="shared" si="8"/>
        <v>0</v>
      </c>
      <c r="L59" s="1537"/>
      <c r="M59" s="2416"/>
    </row>
    <row r="60" spans="1:39" ht="15" customHeight="1">
      <c r="A60" s="927"/>
      <c r="B60" s="2414"/>
      <c r="C60" s="1935"/>
      <c r="D60" s="1543">
        <v>6069</v>
      </c>
      <c r="E60" s="934">
        <v>0</v>
      </c>
      <c r="F60" s="1541">
        <v>2210850</v>
      </c>
      <c r="G60" s="1541"/>
      <c r="H60" s="1541">
        <v>0</v>
      </c>
      <c r="I60" s="1541"/>
      <c r="J60" s="1541">
        <v>0</v>
      </c>
      <c r="K60" s="934">
        <f t="shared" si="8"/>
        <v>0</v>
      </c>
      <c r="L60" s="1537"/>
      <c r="M60" s="2416"/>
    </row>
    <row r="61" spans="1:39" ht="15" customHeight="1">
      <c r="A61" s="927"/>
      <c r="B61" s="2414"/>
      <c r="C61" s="1935"/>
      <c r="D61" s="1543">
        <v>6207</v>
      </c>
      <c r="E61" s="934">
        <v>0</v>
      </c>
      <c r="F61" s="1541">
        <v>55152913</v>
      </c>
      <c r="G61" s="1541"/>
      <c r="H61" s="1541">
        <v>0</v>
      </c>
      <c r="I61" s="1541"/>
      <c r="J61" s="1541">
        <v>0</v>
      </c>
      <c r="K61" s="934">
        <f t="shared" si="8"/>
        <v>0</v>
      </c>
      <c r="L61" s="1537"/>
      <c r="M61" s="2416"/>
    </row>
    <row r="62" spans="1:39" ht="15" customHeight="1">
      <c r="A62" s="927"/>
      <c r="B62" s="2414"/>
      <c r="C62" s="2118"/>
      <c r="D62" s="1543">
        <v>6257</v>
      </c>
      <c r="E62" s="934">
        <v>0</v>
      </c>
      <c r="F62" s="1541">
        <v>6760126</v>
      </c>
      <c r="G62" s="1541"/>
      <c r="H62" s="1541">
        <v>0</v>
      </c>
      <c r="I62" s="1541"/>
      <c r="J62" s="1541">
        <v>0</v>
      </c>
      <c r="K62" s="934">
        <f t="shared" si="8"/>
        <v>0</v>
      </c>
      <c r="L62" s="1537"/>
      <c r="M62" s="2416"/>
    </row>
    <row r="63" spans="1:39" ht="12.75">
      <c r="A63" s="927"/>
      <c r="B63" s="2414"/>
      <c r="C63" s="904" t="s">
        <v>31</v>
      </c>
      <c r="D63" s="1543"/>
      <c r="E63" s="934"/>
      <c r="F63" s="1541"/>
      <c r="G63" s="1541"/>
      <c r="H63" s="1541"/>
      <c r="I63" s="1541"/>
      <c r="J63" s="1541"/>
      <c r="K63" s="934"/>
      <c r="L63" s="1537"/>
      <c r="M63" s="2416"/>
    </row>
    <row r="64" spans="1:39" ht="12.75">
      <c r="A64" s="927"/>
      <c r="B64" s="2414"/>
      <c r="C64" s="904" t="s">
        <v>32</v>
      </c>
      <c r="D64" s="1535"/>
      <c r="E64" s="931"/>
      <c r="F64" s="1536"/>
      <c r="G64" s="1536"/>
      <c r="H64" s="1536"/>
      <c r="I64" s="1536"/>
      <c r="J64" s="1536"/>
      <c r="K64" s="931"/>
      <c r="L64" s="1537"/>
      <c r="M64" s="2416"/>
    </row>
    <row r="65" spans="1:13" ht="17.25" customHeight="1">
      <c r="A65" s="927"/>
      <c r="B65" s="2372">
        <v>60003</v>
      </c>
      <c r="C65" s="952" t="s">
        <v>499</v>
      </c>
      <c r="D65" s="953"/>
      <c r="E65" s="954">
        <f>SUM(E66,E80)</f>
        <v>51873000</v>
      </c>
      <c r="F65" s="954">
        <f>SUM(F66,F80)</f>
        <v>51873000</v>
      </c>
      <c r="G65" s="954"/>
      <c r="H65" s="954">
        <f>SUM(H66,H80)</f>
        <v>51873000</v>
      </c>
      <c r="I65" s="1531">
        <f t="shared" ref="I65:I66" si="9">H65/E65</f>
        <v>1</v>
      </c>
      <c r="J65" s="954">
        <f>SUM(J66,J80)</f>
        <v>-269000</v>
      </c>
      <c r="K65" s="954">
        <f>SUM(K66,K80)</f>
        <v>51604000</v>
      </c>
      <c r="L65" s="1531">
        <f>K65/E65</f>
        <v>0.99481425789909972</v>
      </c>
      <c r="M65" s="2393" t="s">
        <v>500</v>
      </c>
    </row>
    <row r="66" spans="1:13" ht="12.75" customHeight="1">
      <c r="A66" s="927"/>
      <c r="B66" s="2365"/>
      <c r="C66" s="901" t="s">
        <v>18</v>
      </c>
      <c r="D66" s="1532"/>
      <c r="E66" s="1533">
        <f>SUM(E67,E70)</f>
        <v>51873000</v>
      </c>
      <c r="F66" s="1533">
        <f>SUM(F67,F70)</f>
        <v>51873000</v>
      </c>
      <c r="G66" s="1533"/>
      <c r="H66" s="1533">
        <f>SUM(H67,H70)</f>
        <v>51873000</v>
      </c>
      <c r="I66" s="1534">
        <f t="shared" si="9"/>
        <v>1</v>
      </c>
      <c r="J66" s="1533">
        <f>SUM(J67,J70)</f>
        <v>-269000</v>
      </c>
      <c r="K66" s="1533">
        <f>SUM(K67,K70)</f>
        <v>51604000</v>
      </c>
      <c r="L66" s="1534">
        <f>K66/E66</f>
        <v>0.99481425789909972</v>
      </c>
      <c r="M66" s="2394"/>
    </row>
    <row r="67" spans="1:13" ht="12.75" customHeight="1">
      <c r="A67" s="927"/>
      <c r="B67" s="2365"/>
      <c r="C67" s="904" t="s">
        <v>19</v>
      </c>
      <c r="D67" s="1535"/>
      <c r="E67" s="1536"/>
      <c r="F67" s="1536"/>
      <c r="G67" s="1536"/>
      <c r="H67" s="1536"/>
      <c r="I67" s="1536"/>
      <c r="J67" s="1536"/>
      <c r="K67" s="1536"/>
      <c r="L67" s="1537"/>
      <c r="M67" s="2394"/>
    </row>
    <row r="68" spans="1:13" ht="12.75" customHeight="1">
      <c r="A68" s="927"/>
      <c r="B68" s="2365"/>
      <c r="C68" s="1527" t="s">
        <v>20</v>
      </c>
      <c r="D68" s="1535"/>
      <c r="E68" s="1536"/>
      <c r="F68" s="1536"/>
      <c r="G68" s="1536"/>
      <c r="H68" s="1536"/>
      <c r="I68" s="1536"/>
      <c r="J68" s="1536"/>
      <c r="K68" s="1536"/>
      <c r="L68" s="1537"/>
      <c r="M68" s="2394"/>
    </row>
    <row r="69" spans="1:13" ht="12.75" customHeight="1">
      <c r="A69" s="927"/>
      <c r="B69" s="2365"/>
      <c r="C69" s="198" t="s">
        <v>21</v>
      </c>
      <c r="D69" s="1535"/>
      <c r="E69" s="1536"/>
      <c r="F69" s="1536"/>
      <c r="G69" s="1536"/>
      <c r="H69" s="1536"/>
      <c r="I69" s="1536"/>
      <c r="J69" s="1536"/>
      <c r="K69" s="1536"/>
      <c r="L69" s="1537"/>
      <c r="M69" s="2394"/>
    </row>
    <row r="70" spans="1:13" ht="18" customHeight="1">
      <c r="A70" s="927"/>
      <c r="B70" s="2365"/>
      <c r="C70" s="1938" t="s">
        <v>23</v>
      </c>
      <c r="D70" s="1535" t="s">
        <v>22</v>
      </c>
      <c r="E70" s="1536">
        <f>SUM(E71:E74)</f>
        <v>51873000</v>
      </c>
      <c r="F70" s="1536">
        <f>SUM(F71:F74)</f>
        <v>51873000</v>
      </c>
      <c r="G70" s="1536"/>
      <c r="H70" s="1536">
        <f>SUM(H71:H74)</f>
        <v>51873000</v>
      </c>
      <c r="I70" s="1537">
        <f t="shared" ref="I70:I75" si="10">H70/E70</f>
        <v>1</v>
      </c>
      <c r="J70" s="1536">
        <f>SUM(J71:J74)</f>
        <v>-269000</v>
      </c>
      <c r="K70" s="1536">
        <f>SUM(K71:K74)</f>
        <v>51604000</v>
      </c>
      <c r="L70" s="1537">
        <f t="shared" ref="L70:L75" si="11">K70/E70</f>
        <v>0.99481425789909972</v>
      </c>
      <c r="M70" s="2394"/>
    </row>
    <row r="71" spans="1:13" ht="12.75" customHeight="1">
      <c r="A71" s="927"/>
      <c r="B71" s="2365"/>
      <c r="C71" s="1939"/>
      <c r="D71" s="1543">
        <v>2310</v>
      </c>
      <c r="E71" s="1541">
        <v>1600000</v>
      </c>
      <c r="F71" s="1541">
        <v>1600000</v>
      </c>
      <c r="G71" s="1541"/>
      <c r="H71" s="1541">
        <v>1600000</v>
      </c>
      <c r="I71" s="1542">
        <f t="shared" si="10"/>
        <v>1</v>
      </c>
      <c r="J71" s="1541">
        <v>-300000</v>
      </c>
      <c r="K71" s="1541">
        <f>H71+J71</f>
        <v>1300000</v>
      </c>
      <c r="L71" s="1542">
        <f t="shared" si="11"/>
        <v>0.8125</v>
      </c>
      <c r="M71" s="2394"/>
    </row>
    <row r="72" spans="1:13" ht="12.75" customHeight="1">
      <c r="A72" s="927"/>
      <c r="B72" s="2365"/>
      <c r="C72" s="1939"/>
      <c r="D72" s="1543">
        <v>2320</v>
      </c>
      <c r="E72" s="1541">
        <v>4050000</v>
      </c>
      <c r="F72" s="1541">
        <v>4050000</v>
      </c>
      <c r="G72" s="1541"/>
      <c r="H72" s="1541">
        <v>4050000</v>
      </c>
      <c r="I72" s="1542">
        <f t="shared" si="10"/>
        <v>1</v>
      </c>
      <c r="J72" s="1541">
        <v>-1050000</v>
      </c>
      <c r="K72" s="1541">
        <f>H72+J72</f>
        <v>3000000</v>
      </c>
      <c r="L72" s="1542">
        <f t="shared" si="11"/>
        <v>0.7407407407407407</v>
      </c>
      <c r="M72" s="2394"/>
    </row>
    <row r="73" spans="1:13" ht="12.75" customHeight="1">
      <c r="A73" s="927"/>
      <c r="B73" s="2365"/>
      <c r="C73" s="1939"/>
      <c r="D73" s="1543">
        <v>2630</v>
      </c>
      <c r="E73" s="1541">
        <v>43873000</v>
      </c>
      <c r="F73" s="1541">
        <v>43873000</v>
      </c>
      <c r="G73" s="1541"/>
      <c r="H73" s="1541">
        <v>43873000</v>
      </c>
      <c r="I73" s="1542">
        <f t="shared" si="10"/>
        <v>1</v>
      </c>
      <c r="J73" s="1541">
        <v>-269000</v>
      </c>
      <c r="K73" s="1541">
        <f>H73+J73</f>
        <v>43604000</v>
      </c>
      <c r="L73" s="1542">
        <f t="shared" si="11"/>
        <v>0.99386866637795457</v>
      </c>
      <c r="M73" s="2394"/>
    </row>
    <row r="74" spans="1:13" ht="12.75" customHeight="1">
      <c r="A74" s="927"/>
      <c r="B74" s="2365"/>
      <c r="C74" s="1939"/>
      <c r="D74" s="1543">
        <v>2800</v>
      </c>
      <c r="E74" s="1541">
        <v>2350000</v>
      </c>
      <c r="F74" s="1541">
        <v>2350000</v>
      </c>
      <c r="G74" s="1541"/>
      <c r="H74" s="1541">
        <v>2350000</v>
      </c>
      <c r="I74" s="1542">
        <f t="shared" si="10"/>
        <v>1</v>
      </c>
      <c r="J74" s="1541">
        <v>1350000</v>
      </c>
      <c r="K74" s="1541">
        <f>H74+J74</f>
        <v>3700000</v>
      </c>
      <c r="L74" s="1542">
        <f t="shared" si="11"/>
        <v>1.574468085106383</v>
      </c>
      <c r="M74" s="2394"/>
    </row>
    <row r="75" spans="1:13" ht="12.75" hidden="1" customHeight="1">
      <c r="A75" s="927"/>
      <c r="B75" s="2365"/>
      <c r="C75" s="2117"/>
      <c r="D75" s="1543">
        <v>2910</v>
      </c>
      <c r="E75" s="1541"/>
      <c r="F75" s="1541"/>
      <c r="G75" s="1541"/>
      <c r="H75" s="1541"/>
      <c r="I75" s="1537" t="e">
        <f t="shared" si="10"/>
        <v>#DIV/0!</v>
      </c>
      <c r="J75" s="1541"/>
      <c r="K75" s="1541"/>
      <c r="L75" s="1537" t="e">
        <f t="shared" si="11"/>
        <v>#DIV/0!</v>
      </c>
      <c r="M75" s="2394"/>
    </row>
    <row r="76" spans="1:13" ht="12.75" customHeight="1">
      <c r="A76" s="927"/>
      <c r="B76" s="2365"/>
      <c r="C76" s="904" t="s">
        <v>24</v>
      </c>
      <c r="D76" s="1535"/>
      <c r="E76" s="1536"/>
      <c r="F76" s="1536"/>
      <c r="G76" s="1536"/>
      <c r="H76" s="1536"/>
      <c r="I76" s="1536"/>
      <c r="J76" s="1536"/>
      <c r="K76" s="1536"/>
      <c r="L76" s="1537"/>
      <c r="M76" s="2394"/>
    </row>
    <row r="77" spans="1:13" ht="22.5">
      <c r="A77" s="927"/>
      <c r="B77" s="2365"/>
      <c r="C77" s="910" t="s">
        <v>25</v>
      </c>
      <c r="D77" s="1538"/>
      <c r="E77" s="1536"/>
      <c r="F77" s="1536"/>
      <c r="G77" s="1536"/>
      <c r="H77" s="1536"/>
      <c r="I77" s="1536"/>
      <c r="J77" s="1536"/>
      <c r="K77" s="1536"/>
      <c r="L77" s="1537"/>
      <c r="M77" s="2394"/>
    </row>
    <row r="78" spans="1:13" ht="12.75" customHeight="1">
      <c r="A78" s="927"/>
      <c r="B78" s="2365"/>
      <c r="C78" s="904" t="s">
        <v>26</v>
      </c>
      <c r="D78" s="1535"/>
      <c r="E78" s="1536"/>
      <c r="F78" s="1536"/>
      <c r="G78" s="1536"/>
      <c r="H78" s="1536"/>
      <c r="I78" s="1536"/>
      <c r="J78" s="1536"/>
      <c r="K78" s="1536"/>
      <c r="L78" s="1537"/>
      <c r="M78" s="2394"/>
    </row>
    <row r="79" spans="1:13" ht="12.75" customHeight="1" thickBot="1">
      <c r="A79" s="939"/>
      <c r="B79" s="2366"/>
      <c r="C79" s="679" t="s">
        <v>27</v>
      </c>
      <c r="D79" s="940"/>
      <c r="E79" s="941"/>
      <c r="F79" s="941"/>
      <c r="G79" s="941"/>
      <c r="H79" s="941"/>
      <c r="I79" s="941"/>
      <c r="J79" s="941"/>
      <c r="K79" s="941"/>
      <c r="L79" s="943"/>
      <c r="M79" s="2395"/>
    </row>
    <row r="80" spans="1:13" ht="12.75" customHeight="1">
      <c r="A80" s="944"/>
      <c r="B80" s="1552"/>
      <c r="C80" s="1553" t="s">
        <v>28</v>
      </c>
      <c r="D80" s="1554"/>
      <c r="E80" s="1555">
        <v>0</v>
      </c>
      <c r="F80" s="1555">
        <v>0</v>
      </c>
      <c r="G80" s="1555"/>
      <c r="H80" s="1555">
        <v>0</v>
      </c>
      <c r="I80" s="1555"/>
      <c r="J80" s="1555">
        <v>0</v>
      </c>
      <c r="K80" s="1555">
        <v>0</v>
      </c>
      <c r="L80" s="1556"/>
      <c r="M80" s="1557"/>
    </row>
    <row r="81" spans="1:13" ht="12.75" customHeight="1">
      <c r="A81" s="927"/>
      <c r="B81" s="1546"/>
      <c r="C81" s="904" t="s">
        <v>29</v>
      </c>
      <c r="D81" s="1535"/>
      <c r="E81" s="1536"/>
      <c r="F81" s="1536"/>
      <c r="G81" s="1536"/>
      <c r="H81" s="1536"/>
      <c r="I81" s="1536"/>
      <c r="J81" s="1536"/>
      <c r="K81" s="1536"/>
      <c r="L81" s="1537"/>
      <c r="M81" s="1545"/>
    </row>
    <row r="82" spans="1:13" ht="22.5">
      <c r="A82" s="927"/>
      <c r="B82" s="1546"/>
      <c r="C82" s="910" t="s">
        <v>30</v>
      </c>
      <c r="D82" s="1538"/>
      <c r="E82" s="1536"/>
      <c r="F82" s="1536"/>
      <c r="G82" s="1536"/>
      <c r="H82" s="1536"/>
      <c r="I82" s="1536"/>
      <c r="J82" s="1536"/>
      <c r="K82" s="1536"/>
      <c r="L82" s="1537"/>
      <c r="M82" s="1545"/>
    </row>
    <row r="83" spans="1:13" ht="12.75" customHeight="1">
      <c r="A83" s="927"/>
      <c r="B83" s="1546"/>
      <c r="C83" s="904" t="s">
        <v>31</v>
      </c>
      <c r="D83" s="1535"/>
      <c r="E83" s="1536"/>
      <c r="F83" s="1536"/>
      <c r="G83" s="1536"/>
      <c r="H83" s="1536"/>
      <c r="I83" s="1536"/>
      <c r="J83" s="1536"/>
      <c r="K83" s="1536"/>
      <c r="L83" s="1537"/>
      <c r="M83" s="1545"/>
    </row>
    <row r="84" spans="1:13" ht="12.75" customHeight="1">
      <c r="A84" s="927"/>
      <c r="B84" s="1550"/>
      <c r="C84" s="904" t="s">
        <v>32</v>
      </c>
      <c r="D84" s="1535"/>
      <c r="E84" s="1536"/>
      <c r="F84" s="1536"/>
      <c r="G84" s="1536"/>
      <c r="H84" s="1536"/>
      <c r="I84" s="1536"/>
      <c r="J84" s="1536"/>
      <c r="K84" s="1536"/>
      <c r="L84" s="1537"/>
      <c r="M84" s="1551"/>
    </row>
    <row r="85" spans="1:13" ht="12.75">
      <c r="A85" s="927"/>
      <c r="B85" s="2382">
        <v>60004</v>
      </c>
      <c r="C85" s="1548" t="s">
        <v>501</v>
      </c>
      <c r="D85" s="953"/>
      <c r="E85" s="954">
        <f>SUM(E86,E95)</f>
        <v>304040</v>
      </c>
      <c r="F85" s="954">
        <f>SUM(F86,F95)</f>
        <v>304040</v>
      </c>
      <c r="G85" s="954"/>
      <c r="H85" s="954">
        <f>SUM(H86,H95)</f>
        <v>260000</v>
      </c>
      <c r="I85" s="1549">
        <f t="shared" ref="I85:I90" si="12">H85/E85</f>
        <v>0.85515063807393765</v>
      </c>
      <c r="J85" s="954">
        <f>SUM(J86,J95)</f>
        <v>0</v>
      </c>
      <c r="K85" s="954">
        <f>SUM(K86,K95)</f>
        <v>260000</v>
      </c>
      <c r="L85" s="1549">
        <f>K85/E85</f>
        <v>0.85515063807393765</v>
      </c>
      <c r="M85" s="2391" t="s">
        <v>502</v>
      </c>
    </row>
    <row r="86" spans="1:13" ht="12.75">
      <c r="A86" s="927"/>
      <c r="B86" s="2387"/>
      <c r="C86" s="901" t="s">
        <v>18</v>
      </c>
      <c r="D86" s="1532"/>
      <c r="E86" s="1533">
        <f>SUM(E87,E90:E94)</f>
        <v>304040</v>
      </c>
      <c r="F86" s="1533">
        <f>SUM(F87,F90:F94)</f>
        <v>304040</v>
      </c>
      <c r="G86" s="1533"/>
      <c r="H86" s="1533">
        <f>SUM(H87,H90:H94)</f>
        <v>260000</v>
      </c>
      <c r="I86" s="1534">
        <f t="shared" si="12"/>
        <v>0.85515063807393765</v>
      </c>
      <c r="J86" s="1533">
        <f>SUM(J87,J90:J94)</f>
        <v>0</v>
      </c>
      <c r="K86" s="1533">
        <f>SUM(K87,K90:K94)</f>
        <v>260000</v>
      </c>
      <c r="L86" s="1534">
        <f>K86/E86</f>
        <v>0.85515063807393765</v>
      </c>
      <c r="M86" s="2391"/>
    </row>
    <row r="87" spans="1:13" ht="12.75">
      <c r="A87" s="927"/>
      <c r="B87" s="2387"/>
      <c r="C87" s="904" t="s">
        <v>19</v>
      </c>
      <c r="D87" s="1535"/>
      <c r="E87" s="1536">
        <f>SUM(E88:E89)</f>
        <v>254040</v>
      </c>
      <c r="F87" s="1536">
        <f>SUM(F88:F89)</f>
        <v>254040</v>
      </c>
      <c r="G87" s="1536"/>
      <c r="H87" s="1536">
        <f>SUM(H88:H89)</f>
        <v>260000</v>
      </c>
      <c r="I87" s="1537">
        <f t="shared" si="12"/>
        <v>1.0234608723035743</v>
      </c>
      <c r="J87" s="1536">
        <f>SUM(J88:J89)</f>
        <v>0</v>
      </c>
      <c r="K87" s="1536">
        <f>SUM(K88:K89)</f>
        <v>260000</v>
      </c>
      <c r="L87" s="1537">
        <f>K87/E87</f>
        <v>1.0234608723035743</v>
      </c>
      <c r="M87" s="2391"/>
    </row>
    <row r="88" spans="1:13" ht="12.75">
      <c r="A88" s="927"/>
      <c r="B88" s="2387"/>
      <c r="C88" s="904" t="s">
        <v>20</v>
      </c>
      <c r="D88" s="1535"/>
      <c r="E88" s="1536">
        <v>0</v>
      </c>
      <c r="F88" s="1536">
        <v>0</v>
      </c>
      <c r="G88" s="1536"/>
      <c r="H88" s="1536">
        <v>0</v>
      </c>
      <c r="I88" s="1537"/>
      <c r="J88" s="1536">
        <v>0</v>
      </c>
      <c r="K88" s="1536">
        <v>0</v>
      </c>
      <c r="L88" s="1537"/>
      <c r="M88" s="2391"/>
    </row>
    <row r="89" spans="1:13" ht="12.75">
      <c r="A89" s="927"/>
      <c r="B89" s="2387"/>
      <c r="C89" s="174" t="s">
        <v>21</v>
      </c>
      <c r="D89" s="1538">
        <v>4390</v>
      </c>
      <c r="E89" s="1536">
        <v>254040</v>
      </c>
      <c r="F89" s="1536">
        <v>254040</v>
      </c>
      <c r="G89" s="1536"/>
      <c r="H89" s="1536">
        <v>260000</v>
      </c>
      <c r="I89" s="1537">
        <f t="shared" si="12"/>
        <v>1.0234608723035743</v>
      </c>
      <c r="J89" s="1536">
        <v>0</v>
      </c>
      <c r="K89" s="1536">
        <f>H89+J89</f>
        <v>260000</v>
      </c>
      <c r="L89" s="1537">
        <f>K89/E89</f>
        <v>1.0234608723035743</v>
      </c>
      <c r="M89" s="2391"/>
    </row>
    <row r="90" spans="1:13" ht="12.75">
      <c r="A90" s="927"/>
      <c r="B90" s="2387"/>
      <c r="C90" s="904" t="s">
        <v>23</v>
      </c>
      <c r="D90" s="1535">
        <v>2710</v>
      </c>
      <c r="E90" s="1536">
        <v>50000</v>
      </c>
      <c r="F90" s="1536">
        <v>50000</v>
      </c>
      <c r="G90" s="1536"/>
      <c r="H90" s="1536">
        <v>0</v>
      </c>
      <c r="I90" s="1537">
        <f t="shared" si="12"/>
        <v>0</v>
      </c>
      <c r="J90" s="1536">
        <v>0</v>
      </c>
      <c r="K90" s="1536">
        <f>H90+J90</f>
        <v>0</v>
      </c>
      <c r="L90" s="1537">
        <f>K90/E90</f>
        <v>0</v>
      </c>
      <c r="M90" s="2391"/>
    </row>
    <row r="91" spans="1:13" ht="12.75">
      <c r="A91" s="927"/>
      <c r="B91" s="2387"/>
      <c r="C91" s="904" t="s">
        <v>24</v>
      </c>
      <c r="D91" s="1535"/>
      <c r="E91" s="1536"/>
      <c r="F91" s="1536"/>
      <c r="G91" s="1536"/>
      <c r="H91" s="1536"/>
      <c r="I91" s="1536"/>
      <c r="J91" s="1536"/>
      <c r="K91" s="1536"/>
      <c r="L91" s="1537"/>
      <c r="M91" s="2391"/>
    </row>
    <row r="92" spans="1:13" ht="22.5">
      <c r="A92" s="927"/>
      <c r="B92" s="2387"/>
      <c r="C92" s="910" t="s">
        <v>25</v>
      </c>
      <c r="D92" s="1538"/>
      <c r="E92" s="1536"/>
      <c r="F92" s="1536"/>
      <c r="G92" s="1536"/>
      <c r="H92" s="1536"/>
      <c r="I92" s="1536"/>
      <c r="J92" s="1536"/>
      <c r="K92" s="1536"/>
      <c r="L92" s="1537"/>
      <c r="M92" s="2391"/>
    </row>
    <row r="93" spans="1:13" ht="12.75">
      <c r="A93" s="927"/>
      <c r="B93" s="2387"/>
      <c r="C93" s="904" t="s">
        <v>26</v>
      </c>
      <c r="D93" s="1535"/>
      <c r="E93" s="1536"/>
      <c r="F93" s="1536"/>
      <c r="G93" s="1536"/>
      <c r="H93" s="1536"/>
      <c r="I93" s="1536"/>
      <c r="J93" s="1536"/>
      <c r="K93" s="1536"/>
      <c r="L93" s="1537"/>
      <c r="M93" s="2391"/>
    </row>
    <row r="94" spans="1:13" ht="12.75">
      <c r="A94" s="927"/>
      <c r="B94" s="2387"/>
      <c r="C94" s="904" t="s">
        <v>27</v>
      </c>
      <c r="D94" s="1535"/>
      <c r="E94" s="1536"/>
      <c r="F94" s="1536"/>
      <c r="G94" s="1536"/>
      <c r="H94" s="1536"/>
      <c r="I94" s="1536"/>
      <c r="J94" s="1536"/>
      <c r="K94" s="1536"/>
      <c r="L94" s="1537"/>
      <c r="M94" s="2391"/>
    </row>
    <row r="95" spans="1:13" ht="12.75">
      <c r="A95" s="927"/>
      <c r="B95" s="2387"/>
      <c r="C95" s="911" t="s">
        <v>28</v>
      </c>
      <c r="D95" s="1544"/>
      <c r="E95" s="1533">
        <v>0</v>
      </c>
      <c r="F95" s="1533">
        <v>0</v>
      </c>
      <c r="G95" s="1533"/>
      <c r="H95" s="1533">
        <v>0</v>
      </c>
      <c r="I95" s="1533"/>
      <c r="J95" s="1533">
        <v>0</v>
      </c>
      <c r="K95" s="1533">
        <v>0</v>
      </c>
      <c r="L95" s="1537"/>
      <c r="M95" s="2391"/>
    </row>
    <row r="96" spans="1:13" ht="12.75">
      <c r="A96" s="927"/>
      <c r="B96" s="2387"/>
      <c r="C96" s="904" t="s">
        <v>29</v>
      </c>
      <c r="D96" s="1535"/>
      <c r="E96" s="1536"/>
      <c r="F96" s="1536"/>
      <c r="G96" s="1536"/>
      <c r="H96" s="1536"/>
      <c r="I96" s="1536"/>
      <c r="J96" s="1536"/>
      <c r="K96" s="1536"/>
      <c r="L96" s="1537"/>
      <c r="M96" s="2391"/>
    </row>
    <row r="97" spans="1:13" ht="22.5">
      <c r="A97" s="927"/>
      <c r="B97" s="2387"/>
      <c r="C97" s="910" t="s">
        <v>30</v>
      </c>
      <c r="D97" s="1538"/>
      <c r="E97" s="1536"/>
      <c r="F97" s="1536"/>
      <c r="G97" s="1536"/>
      <c r="H97" s="1536"/>
      <c r="I97" s="1536"/>
      <c r="J97" s="1536"/>
      <c r="K97" s="1536"/>
      <c r="L97" s="1537"/>
      <c r="M97" s="2391"/>
    </row>
    <row r="98" spans="1:13" ht="12.75">
      <c r="A98" s="927"/>
      <c r="B98" s="2387"/>
      <c r="C98" s="904" t="s">
        <v>31</v>
      </c>
      <c r="D98" s="1535"/>
      <c r="E98" s="1536"/>
      <c r="F98" s="1536"/>
      <c r="G98" s="1536"/>
      <c r="H98" s="1536"/>
      <c r="I98" s="1536"/>
      <c r="J98" s="1536"/>
      <c r="K98" s="1536"/>
      <c r="L98" s="1537"/>
      <c r="M98" s="2391"/>
    </row>
    <row r="99" spans="1:13" ht="12.75">
      <c r="A99" s="927"/>
      <c r="B99" s="2387"/>
      <c r="C99" s="904" t="s">
        <v>32</v>
      </c>
      <c r="D99" s="1535"/>
      <c r="E99" s="1536"/>
      <c r="F99" s="1536"/>
      <c r="G99" s="1536"/>
      <c r="H99" s="1536"/>
      <c r="I99" s="1536"/>
      <c r="J99" s="1536"/>
      <c r="K99" s="1536"/>
      <c r="L99" s="1537"/>
      <c r="M99" s="2392"/>
    </row>
    <row r="100" spans="1:13" ht="22.5" customHeight="1">
      <c r="A100" s="927"/>
      <c r="B100" s="2372">
        <v>60013</v>
      </c>
      <c r="C100" s="1558" t="s">
        <v>503</v>
      </c>
      <c r="D100" s="1559"/>
      <c r="E100" s="1560">
        <f>SUM(E101,E124)</f>
        <v>448636450</v>
      </c>
      <c r="F100" s="1560">
        <f>SUM(F101,F124)</f>
        <v>449171874</v>
      </c>
      <c r="G100" s="1560"/>
      <c r="H100" s="1560">
        <f>SUM(H101,H124)</f>
        <v>482903871</v>
      </c>
      <c r="I100" s="1561">
        <f>H100/E100</f>
        <v>1.0763812681738187</v>
      </c>
      <c r="J100" s="1560">
        <f>SUM(J101,J124)</f>
        <v>8962660</v>
      </c>
      <c r="K100" s="1560">
        <f>SUM(K101,K124)</f>
        <v>491866531</v>
      </c>
      <c r="L100" s="1562">
        <f>K100/E100</f>
        <v>1.0963588246117764</v>
      </c>
      <c r="M100" s="2371" t="s">
        <v>609</v>
      </c>
    </row>
    <row r="101" spans="1:13" s="640" customFormat="1" ht="21.75" customHeight="1">
      <c r="A101" s="927"/>
      <c r="B101" s="2365"/>
      <c r="C101" s="901" t="s">
        <v>18</v>
      </c>
      <c r="D101" s="1532"/>
      <c r="E101" s="1533">
        <f>SUM(E102+E119+E120+E121+E122+E123)</f>
        <v>54887140</v>
      </c>
      <c r="F101" s="1533">
        <f>SUM(F102+F119+F120+F121+F122+F123)</f>
        <v>82060742</v>
      </c>
      <c r="G101" s="1533"/>
      <c r="H101" s="1533">
        <f>SUM(H102+H119+H120+H121+H122+H123)</f>
        <v>60216711</v>
      </c>
      <c r="I101" s="1563">
        <f>H101/E101</f>
        <v>1.0971005412196737</v>
      </c>
      <c r="J101" s="1533">
        <f>SUM(J102+J119+J120+J121+J122+J123)</f>
        <v>4828660</v>
      </c>
      <c r="K101" s="1533">
        <f>SUM(K102+K119+K120+K121+K122+K123)</f>
        <v>65045371</v>
      </c>
      <c r="L101" s="1564">
        <f>K101/E101</f>
        <v>1.1850748827503128</v>
      </c>
      <c r="M101" s="2367"/>
    </row>
    <row r="102" spans="1:13" ht="21.75" customHeight="1">
      <c r="A102" s="927"/>
      <c r="B102" s="2365"/>
      <c r="C102" s="904" t="s">
        <v>19</v>
      </c>
      <c r="D102" s="1535"/>
      <c r="E102" s="1536">
        <f>SUM(E103+E104)</f>
        <v>54887140</v>
      </c>
      <c r="F102" s="1536">
        <f>SUM(F103+F104)</f>
        <v>82060742</v>
      </c>
      <c r="G102" s="1536"/>
      <c r="H102" s="1536">
        <f>SUM(H103+H104)</f>
        <v>60216711</v>
      </c>
      <c r="I102" s="1565">
        <f>H102/E102</f>
        <v>1.0971005412196737</v>
      </c>
      <c r="J102" s="1536">
        <f>SUM(J103+J104)</f>
        <v>4828660</v>
      </c>
      <c r="K102" s="1536">
        <f>SUM(K103+K104)</f>
        <v>65045371</v>
      </c>
      <c r="L102" s="1566">
        <f>K102/E102</f>
        <v>1.1850748827503128</v>
      </c>
      <c r="M102" s="2367"/>
    </row>
    <row r="103" spans="1:13" ht="18.75" customHeight="1">
      <c r="A103" s="927"/>
      <c r="B103" s="2365"/>
      <c r="C103" s="404" t="s">
        <v>20</v>
      </c>
      <c r="D103" s="1535">
        <v>4170</v>
      </c>
      <c r="E103" s="1536">
        <v>0</v>
      </c>
      <c r="F103" s="1536">
        <v>53000</v>
      </c>
      <c r="G103" s="1536"/>
      <c r="H103" s="1536">
        <v>0</v>
      </c>
      <c r="I103" s="1565"/>
      <c r="J103" s="1536">
        <v>0</v>
      </c>
      <c r="K103" s="1536">
        <f>H103+J103</f>
        <v>0</v>
      </c>
      <c r="L103" s="1566"/>
      <c r="M103" s="2367"/>
    </row>
    <row r="104" spans="1:13" ht="20.25" customHeight="1">
      <c r="A104" s="927"/>
      <c r="B104" s="2365"/>
      <c r="C104" s="1934" t="s">
        <v>21</v>
      </c>
      <c r="D104" s="1538" t="s">
        <v>366</v>
      </c>
      <c r="E104" s="1536">
        <f>SUM(E105:E118)</f>
        <v>54887140</v>
      </c>
      <c r="F104" s="1536">
        <f>SUM(F105:F118)</f>
        <v>82007742</v>
      </c>
      <c r="G104" s="1536"/>
      <c r="H104" s="1536">
        <f>SUM(H105:H118)</f>
        <v>60216711</v>
      </c>
      <c r="I104" s="1565">
        <f t="shared" ref="I104:I115" si="13">H104/E104</f>
        <v>1.0971005412196737</v>
      </c>
      <c r="J104" s="1536">
        <f>SUM(J105:J118)</f>
        <v>4828660</v>
      </c>
      <c r="K104" s="1536">
        <f>SUM(K105:K118)</f>
        <v>65045371</v>
      </c>
      <c r="L104" s="1566">
        <f t="shared" ref="L104:L113" si="14">K104/E104</f>
        <v>1.1850748827503128</v>
      </c>
      <c r="M104" s="2367"/>
    </row>
    <row r="105" spans="1:13" ht="22.5" customHeight="1">
      <c r="A105" s="927"/>
      <c r="B105" s="2365"/>
      <c r="C105" s="1935"/>
      <c r="D105" s="1540">
        <v>4210</v>
      </c>
      <c r="E105" s="1541">
        <v>7460000</v>
      </c>
      <c r="F105" s="1541">
        <f>2974000+15000+9000000</f>
        <v>11989000</v>
      </c>
      <c r="G105" s="1541"/>
      <c r="H105" s="1541">
        <v>9422500</v>
      </c>
      <c r="I105" s="1567">
        <f t="shared" si="13"/>
        <v>1.2630697050938338</v>
      </c>
      <c r="J105" s="1541"/>
      <c r="K105" s="1541">
        <f t="shared" ref="K105:K118" si="15">H105+J105</f>
        <v>9422500</v>
      </c>
      <c r="L105" s="1568">
        <f t="shared" si="14"/>
        <v>1.2630697050938338</v>
      </c>
      <c r="M105" s="2367"/>
    </row>
    <row r="106" spans="1:13" ht="22.5" customHeight="1">
      <c r="A106" s="927"/>
      <c r="B106" s="2365"/>
      <c r="C106" s="1935"/>
      <c r="D106" s="1540">
        <v>4260</v>
      </c>
      <c r="E106" s="1541">
        <v>220000</v>
      </c>
      <c r="F106" s="1541">
        <v>406000</v>
      </c>
      <c r="G106" s="1541"/>
      <c r="H106" s="1541">
        <v>763000</v>
      </c>
      <c r="I106" s="1567">
        <f t="shared" si="13"/>
        <v>3.4681818181818183</v>
      </c>
      <c r="J106" s="1541"/>
      <c r="K106" s="1541">
        <f t="shared" si="15"/>
        <v>763000</v>
      </c>
      <c r="L106" s="1568">
        <f t="shared" si="14"/>
        <v>3.4681818181818183</v>
      </c>
      <c r="M106" s="2367"/>
    </row>
    <row r="107" spans="1:13" ht="22.5" customHeight="1">
      <c r="A107" s="927"/>
      <c r="B107" s="2365"/>
      <c r="C107" s="1935"/>
      <c r="D107" s="1540">
        <v>4270</v>
      </c>
      <c r="E107" s="1541">
        <v>27515900</v>
      </c>
      <c r="F107" s="1541">
        <f>6500000+2500000+16832000+606000+7455000+1495500+2447400+1380000+6500000+25135+850000</f>
        <v>46591035</v>
      </c>
      <c r="G107" s="1541"/>
      <c r="H107" s="1541">
        <v>27391500</v>
      </c>
      <c r="I107" s="1567">
        <f t="shared" si="13"/>
        <v>0.99547897760930948</v>
      </c>
      <c r="J107" s="1541">
        <f>127000+1369000+496900+1349250</f>
        <v>3342150</v>
      </c>
      <c r="K107" s="1541">
        <f t="shared" si="15"/>
        <v>30733650</v>
      </c>
      <c r="L107" s="1568">
        <f t="shared" si="14"/>
        <v>1.1169414774730246</v>
      </c>
      <c r="M107" s="2367"/>
    </row>
    <row r="108" spans="1:13" ht="22.5" customHeight="1">
      <c r="A108" s="927"/>
      <c r="B108" s="2365"/>
      <c r="C108" s="1935"/>
      <c r="D108" s="1540">
        <v>4300</v>
      </c>
      <c r="E108" s="1541">
        <v>17015000</v>
      </c>
      <c r="F108" s="1541">
        <f>7500500+2135000+1492000+8778000</f>
        <v>19905500</v>
      </c>
      <c r="G108" s="1541"/>
      <c r="H108" s="1541">
        <v>19751000</v>
      </c>
      <c r="I108" s="1567">
        <f t="shared" si="13"/>
        <v>1.1607992947399353</v>
      </c>
      <c r="J108" s="1541">
        <f>300000+1186510</f>
        <v>1486510</v>
      </c>
      <c r="K108" s="1541">
        <f t="shared" si="15"/>
        <v>21237510</v>
      </c>
      <c r="L108" s="1568">
        <f t="shared" si="14"/>
        <v>1.2481639729650309</v>
      </c>
      <c r="M108" s="2367"/>
    </row>
    <row r="109" spans="1:13" ht="22.5" customHeight="1">
      <c r="A109" s="927"/>
      <c r="B109" s="2365"/>
      <c r="C109" s="1935"/>
      <c r="D109" s="1540">
        <v>4390</v>
      </c>
      <c r="E109" s="1541">
        <v>1455000</v>
      </c>
      <c r="F109" s="1541">
        <f>1320000+140000</f>
        <v>1460000</v>
      </c>
      <c r="G109" s="1541"/>
      <c r="H109" s="1541">
        <v>1339411</v>
      </c>
      <c r="I109" s="1567">
        <f t="shared" si="13"/>
        <v>0.92055738831615119</v>
      </c>
      <c r="J109" s="1541"/>
      <c r="K109" s="1541">
        <f t="shared" si="15"/>
        <v>1339411</v>
      </c>
      <c r="L109" s="1568">
        <f t="shared" si="14"/>
        <v>0.92055738831615119</v>
      </c>
      <c r="M109" s="2367"/>
    </row>
    <row r="110" spans="1:13" ht="22.5" customHeight="1">
      <c r="A110" s="927"/>
      <c r="B110" s="2365"/>
      <c r="C110" s="1935"/>
      <c r="D110" s="1540">
        <v>4400</v>
      </c>
      <c r="E110" s="1541">
        <v>23000</v>
      </c>
      <c r="F110" s="1541">
        <v>23000</v>
      </c>
      <c r="G110" s="1541"/>
      <c r="H110" s="1541">
        <v>25000</v>
      </c>
      <c r="I110" s="1567">
        <f t="shared" si="13"/>
        <v>1.0869565217391304</v>
      </c>
      <c r="J110" s="1541"/>
      <c r="K110" s="1541">
        <f t="shared" si="15"/>
        <v>25000</v>
      </c>
      <c r="L110" s="1568">
        <f t="shared" si="14"/>
        <v>1.0869565217391304</v>
      </c>
      <c r="M110" s="2367"/>
    </row>
    <row r="111" spans="1:13" ht="22.5" customHeight="1">
      <c r="A111" s="927"/>
      <c r="B111" s="2365"/>
      <c r="C111" s="1935"/>
      <c r="D111" s="1540">
        <v>4430</v>
      </c>
      <c r="E111" s="1541">
        <v>1094000</v>
      </c>
      <c r="F111" s="1541">
        <f>654000+350000</f>
        <v>1004000</v>
      </c>
      <c r="G111" s="1541"/>
      <c r="H111" s="1541">
        <v>1090000</v>
      </c>
      <c r="I111" s="1567">
        <f t="shared" si="13"/>
        <v>0.99634369287020108</v>
      </c>
      <c r="J111" s="1541"/>
      <c r="K111" s="1541">
        <f t="shared" si="15"/>
        <v>1090000</v>
      </c>
      <c r="L111" s="1568">
        <f t="shared" si="14"/>
        <v>0.99634369287020108</v>
      </c>
      <c r="M111" s="2367"/>
    </row>
    <row r="112" spans="1:13" ht="22.5" customHeight="1">
      <c r="A112" s="927"/>
      <c r="B112" s="2365"/>
      <c r="C112" s="1935"/>
      <c r="D112" s="1540">
        <v>4480</v>
      </c>
      <c r="E112" s="1541">
        <v>2000</v>
      </c>
      <c r="F112" s="1541">
        <v>127000</v>
      </c>
      <c r="G112" s="1541"/>
      <c r="H112" s="1541">
        <v>167000</v>
      </c>
      <c r="I112" s="1567">
        <f t="shared" si="13"/>
        <v>83.5</v>
      </c>
      <c r="J112" s="1541"/>
      <c r="K112" s="1541">
        <f t="shared" si="15"/>
        <v>167000</v>
      </c>
      <c r="L112" s="1568">
        <f t="shared" si="14"/>
        <v>83.5</v>
      </c>
      <c r="M112" s="2367"/>
    </row>
    <row r="113" spans="1:20" ht="22.5" customHeight="1" thickBot="1">
      <c r="A113" s="939"/>
      <c r="B113" s="2366"/>
      <c r="C113" s="2116"/>
      <c r="D113" s="1569">
        <v>4500</v>
      </c>
      <c r="E113" s="1570">
        <v>2000</v>
      </c>
      <c r="F113" s="1570">
        <v>6140</v>
      </c>
      <c r="G113" s="1570"/>
      <c r="H113" s="1570">
        <v>9000</v>
      </c>
      <c r="I113" s="1571">
        <f t="shared" si="13"/>
        <v>4.5</v>
      </c>
      <c r="J113" s="1570"/>
      <c r="K113" s="1570">
        <f t="shared" si="15"/>
        <v>9000</v>
      </c>
      <c r="L113" s="1572">
        <f t="shared" si="14"/>
        <v>4.5</v>
      </c>
      <c r="M113" s="2368"/>
    </row>
    <row r="114" spans="1:20" s="961" customFormat="1" ht="46.5" customHeight="1">
      <c r="A114" s="944"/>
      <c r="B114" s="1573"/>
      <c r="C114" s="1583"/>
      <c r="D114" s="1575">
        <v>4510</v>
      </c>
      <c r="E114" s="1576">
        <v>0</v>
      </c>
      <c r="F114" s="1576">
        <v>300</v>
      </c>
      <c r="G114" s="1576"/>
      <c r="H114" s="1576">
        <v>300</v>
      </c>
      <c r="I114" s="1577"/>
      <c r="J114" s="1576"/>
      <c r="K114" s="1576">
        <f t="shared" si="15"/>
        <v>300</v>
      </c>
      <c r="L114" s="1578"/>
      <c r="M114" s="2411" t="s">
        <v>633</v>
      </c>
    </row>
    <row r="115" spans="1:20" ht="46.5" customHeight="1">
      <c r="A115" s="927"/>
      <c r="B115" s="957"/>
      <c r="C115" s="1718"/>
      <c r="D115" s="1540">
        <v>4520</v>
      </c>
      <c r="E115" s="1541">
        <v>70000</v>
      </c>
      <c r="F115" s="1541">
        <f>60000+106550</f>
        <v>166550</v>
      </c>
      <c r="G115" s="1541"/>
      <c r="H115" s="1541">
        <v>193000</v>
      </c>
      <c r="I115" s="1567">
        <f t="shared" si="13"/>
        <v>2.7571428571428571</v>
      </c>
      <c r="J115" s="1541"/>
      <c r="K115" s="1541">
        <f t="shared" si="15"/>
        <v>193000</v>
      </c>
      <c r="L115" s="1568">
        <f>K115/E115</f>
        <v>2.7571428571428571</v>
      </c>
      <c r="M115" s="2412"/>
    </row>
    <row r="116" spans="1:20" ht="46.5" customHeight="1">
      <c r="A116" s="927"/>
      <c r="B116" s="957"/>
      <c r="C116" s="1718"/>
      <c r="D116" s="1540">
        <v>4580</v>
      </c>
      <c r="E116" s="1541">
        <v>0</v>
      </c>
      <c r="F116" s="1541">
        <v>127797</v>
      </c>
      <c r="G116" s="1541"/>
      <c r="H116" s="1541">
        <v>0</v>
      </c>
      <c r="I116" s="1567"/>
      <c r="J116" s="1541"/>
      <c r="K116" s="1541">
        <f t="shared" si="15"/>
        <v>0</v>
      </c>
      <c r="L116" s="1568"/>
      <c r="M116" s="2412"/>
    </row>
    <row r="117" spans="1:20" ht="46.5" customHeight="1">
      <c r="A117" s="927"/>
      <c r="B117" s="957"/>
      <c r="C117" s="1718"/>
      <c r="D117" s="1540">
        <v>4590</v>
      </c>
      <c r="E117" s="1541">
        <v>10000</v>
      </c>
      <c r="F117" s="1541">
        <v>42000</v>
      </c>
      <c r="G117" s="1541"/>
      <c r="H117" s="1541">
        <v>35000</v>
      </c>
      <c r="I117" s="1567">
        <f>H117/E117</f>
        <v>3.5</v>
      </c>
      <c r="J117" s="1541"/>
      <c r="K117" s="1541">
        <f t="shared" si="15"/>
        <v>35000</v>
      </c>
      <c r="L117" s="1568">
        <f>K117/E117</f>
        <v>3.5</v>
      </c>
      <c r="M117" s="2412"/>
    </row>
    <row r="118" spans="1:20" ht="46.5" customHeight="1">
      <c r="A118" s="927"/>
      <c r="B118" s="957">
        <v>60013</v>
      </c>
      <c r="C118" s="1719"/>
      <c r="D118" s="1540">
        <v>4610</v>
      </c>
      <c r="E118" s="1541">
        <v>20240</v>
      </c>
      <c r="F118" s="1541">
        <v>159420</v>
      </c>
      <c r="G118" s="1541"/>
      <c r="H118" s="1541">
        <v>30000</v>
      </c>
      <c r="I118" s="1567">
        <f>H118/E118</f>
        <v>1.482213438735178</v>
      </c>
      <c r="J118" s="1541"/>
      <c r="K118" s="1541">
        <f t="shared" si="15"/>
        <v>30000</v>
      </c>
      <c r="L118" s="1568">
        <f>K118/E118</f>
        <v>1.482213438735178</v>
      </c>
      <c r="M118" s="2412"/>
    </row>
    <row r="119" spans="1:20" ht="49.5" customHeight="1">
      <c r="A119" s="927"/>
      <c r="B119" s="957"/>
      <c r="C119" s="904" t="s">
        <v>23</v>
      </c>
      <c r="D119" s="1535"/>
      <c r="E119" s="1536"/>
      <c r="F119" s="1536"/>
      <c r="G119" s="1536"/>
      <c r="H119" s="1536"/>
      <c r="I119" s="1567"/>
      <c r="J119" s="1536"/>
      <c r="K119" s="1536"/>
      <c r="L119" s="1566"/>
      <c r="M119" s="2412"/>
    </row>
    <row r="120" spans="1:20" ht="49.5" customHeight="1">
      <c r="A120" s="927"/>
      <c r="B120" s="957"/>
      <c r="C120" s="404" t="s">
        <v>24</v>
      </c>
      <c r="D120" s="1535"/>
      <c r="E120" s="1536"/>
      <c r="F120" s="1536"/>
      <c r="G120" s="1536"/>
      <c r="H120" s="1536"/>
      <c r="I120" s="1565"/>
      <c r="J120" s="1536"/>
      <c r="K120" s="1536"/>
      <c r="L120" s="1566"/>
      <c r="M120" s="2412"/>
    </row>
    <row r="121" spans="1:20" ht="49.5" customHeight="1">
      <c r="A121" s="927"/>
      <c r="B121" s="957"/>
      <c r="C121" s="910" t="s">
        <v>25</v>
      </c>
      <c r="D121" s="1538"/>
      <c r="E121" s="1536"/>
      <c r="F121" s="1536"/>
      <c r="G121" s="1536"/>
      <c r="H121" s="1536"/>
      <c r="I121" s="1565"/>
      <c r="J121" s="1536"/>
      <c r="K121" s="1536"/>
      <c r="L121" s="1566"/>
      <c r="M121" s="2412"/>
    </row>
    <row r="122" spans="1:20" ht="45" customHeight="1">
      <c r="A122" s="927"/>
      <c r="B122" s="957"/>
      <c r="C122" s="904" t="s">
        <v>26</v>
      </c>
      <c r="D122" s="1535"/>
      <c r="E122" s="1533"/>
      <c r="F122" s="1536"/>
      <c r="G122" s="1536"/>
      <c r="H122" s="1536"/>
      <c r="I122" s="1565"/>
      <c r="J122" s="1536"/>
      <c r="K122" s="1536"/>
      <c r="L122" s="1566"/>
      <c r="M122" s="2412"/>
    </row>
    <row r="123" spans="1:20" ht="45" customHeight="1">
      <c r="A123" s="927"/>
      <c r="B123" s="1720"/>
      <c r="C123" s="904" t="s">
        <v>27</v>
      </c>
      <c r="D123" s="1535"/>
      <c r="E123" s="1533"/>
      <c r="F123" s="1536"/>
      <c r="G123" s="1536"/>
      <c r="H123" s="1536"/>
      <c r="I123" s="1565"/>
      <c r="J123" s="1536"/>
      <c r="K123" s="1536"/>
      <c r="L123" s="1566"/>
      <c r="M123" s="2412"/>
    </row>
    <row r="124" spans="1:20" ht="55.5" customHeight="1">
      <c r="A124" s="927"/>
      <c r="C124" s="911" t="s">
        <v>28</v>
      </c>
      <c r="D124" s="1544"/>
      <c r="E124" s="1533">
        <f>SUM(E125+E148+E149)</f>
        <v>393749310</v>
      </c>
      <c r="F124" s="1533">
        <f>SUM(F125+F148+F149)</f>
        <v>367111132</v>
      </c>
      <c r="G124" s="1533"/>
      <c r="H124" s="1533">
        <f>SUM(H125+H148+H149)</f>
        <v>422687160</v>
      </c>
      <c r="I124" s="1563">
        <f>H124/E124</f>
        <v>1.0734930811688279</v>
      </c>
      <c r="J124" s="1533">
        <f>SUM(J125+J148+J149)</f>
        <v>4134000</v>
      </c>
      <c r="K124" s="1533">
        <f>SUM(K125+K148+K149)</f>
        <v>426821160</v>
      </c>
      <c r="L124" s="1564">
        <f>K124/E124</f>
        <v>1.0839921471862388</v>
      </c>
      <c r="M124" s="2412"/>
    </row>
    <row r="125" spans="1:20" ht="72" customHeight="1" thickBot="1">
      <c r="A125" s="939"/>
      <c r="B125" s="1721"/>
      <c r="C125" s="679" t="s">
        <v>29</v>
      </c>
      <c r="D125" s="940" t="s">
        <v>366</v>
      </c>
      <c r="E125" s="941">
        <f>SUM(E126:E137)</f>
        <v>393749310</v>
      </c>
      <c r="F125" s="941">
        <f>SUM(F126:F137)</f>
        <v>367111132</v>
      </c>
      <c r="G125" s="941"/>
      <c r="H125" s="941">
        <f>SUM(H126:H137)</f>
        <v>422687160</v>
      </c>
      <c r="I125" s="974">
        <f>H125/E125</f>
        <v>1.0734930811688279</v>
      </c>
      <c r="J125" s="941">
        <f>SUM(J126:J137)</f>
        <v>4134000</v>
      </c>
      <c r="K125" s="941">
        <f>SUM(K126:K137)</f>
        <v>426821160</v>
      </c>
      <c r="L125" s="1566">
        <f>K125/E125</f>
        <v>1.0839921471862388</v>
      </c>
      <c r="M125" s="2412"/>
    </row>
    <row r="126" spans="1:20" ht="48" customHeight="1">
      <c r="A126" s="927"/>
      <c r="B126" s="957"/>
      <c r="C126" s="1700"/>
      <c r="D126" s="1714">
        <v>6050</v>
      </c>
      <c r="E126" s="1715">
        <v>146266358</v>
      </c>
      <c r="F126" s="1715">
        <v>123755366</v>
      </c>
      <c r="G126" s="1715"/>
      <c r="H126" s="1715">
        <v>284651163</v>
      </c>
      <c r="I126" s="1716">
        <f>H126/E126</f>
        <v>1.9461150663230433</v>
      </c>
      <c r="J126" s="1715">
        <v>1200000</v>
      </c>
      <c r="K126" s="1715">
        <f t="shared" ref="K126:K137" si="16">H126+J126</f>
        <v>285851163</v>
      </c>
      <c r="L126" s="1568">
        <f>K126/E126</f>
        <v>1.9543192768907256</v>
      </c>
      <c r="M126" s="2412"/>
    </row>
    <row r="127" spans="1:20" ht="63" customHeight="1">
      <c r="A127" s="927"/>
      <c r="B127" s="957"/>
      <c r="C127" s="1700"/>
      <c r="D127" s="1540">
        <v>6057</v>
      </c>
      <c r="E127" s="1541">
        <v>171200556</v>
      </c>
      <c r="F127" s="1541">
        <v>153875276</v>
      </c>
      <c r="G127" s="1541"/>
      <c r="H127" s="1541">
        <v>84997854</v>
      </c>
      <c r="I127" s="1567">
        <f>H127/E127</f>
        <v>0.49648117965224364</v>
      </c>
      <c r="J127" s="1541"/>
      <c r="K127" s="1541">
        <f t="shared" si="16"/>
        <v>84997854</v>
      </c>
      <c r="L127" s="1568">
        <f>K127/E127</f>
        <v>0.49648117965224364</v>
      </c>
      <c r="M127" s="2412"/>
    </row>
    <row r="128" spans="1:20" s="961" customFormat="1" ht="150" customHeight="1">
      <c r="A128" s="927"/>
      <c r="B128" s="2373">
        <v>60013</v>
      </c>
      <c r="C128" s="1700"/>
      <c r="D128" s="1540">
        <v>6058</v>
      </c>
      <c r="E128" s="1541">
        <v>0</v>
      </c>
      <c r="F128" s="1541">
        <v>881654</v>
      </c>
      <c r="G128" s="1541"/>
      <c r="H128" s="1541">
        <v>0</v>
      </c>
      <c r="I128" s="1567"/>
      <c r="J128" s="1541"/>
      <c r="K128" s="1541">
        <f t="shared" si="16"/>
        <v>0</v>
      </c>
      <c r="L128" s="1717"/>
      <c r="M128" s="2367" t="s">
        <v>634</v>
      </c>
      <c r="N128" s="962"/>
      <c r="O128" s="962"/>
      <c r="P128" s="962"/>
      <c r="Q128" s="962"/>
      <c r="R128" s="962"/>
      <c r="S128" s="962"/>
      <c r="T128" s="962"/>
    </row>
    <row r="129" spans="1:21" ht="150" customHeight="1">
      <c r="A129" s="927"/>
      <c r="B129" s="2373"/>
      <c r="C129" s="1700"/>
      <c r="D129" s="1540">
        <v>6059</v>
      </c>
      <c r="E129" s="1541">
        <v>59987396</v>
      </c>
      <c r="F129" s="1541">
        <v>27244914</v>
      </c>
      <c r="G129" s="1541"/>
      <c r="H129" s="1541">
        <v>14999623</v>
      </c>
      <c r="I129" s="1567">
        <f>H129/E129</f>
        <v>0.25004624304745615</v>
      </c>
      <c r="J129" s="1541"/>
      <c r="K129" s="1541">
        <f t="shared" si="16"/>
        <v>14999623</v>
      </c>
      <c r="L129" s="1568">
        <f>K129/E129</f>
        <v>0.25004624304745615</v>
      </c>
      <c r="M129" s="2367"/>
      <c r="N129" s="963"/>
      <c r="O129" s="963"/>
      <c r="P129" s="963"/>
      <c r="Q129" s="963"/>
      <c r="R129" s="963"/>
      <c r="S129" s="963"/>
      <c r="T129" s="963"/>
      <c r="U129" s="963"/>
    </row>
    <row r="130" spans="1:21" ht="172.5" customHeight="1" thickBot="1">
      <c r="A130" s="939"/>
      <c r="B130" s="2366"/>
      <c r="C130" s="1582"/>
      <c r="D130" s="1569">
        <v>6060</v>
      </c>
      <c r="E130" s="1570">
        <v>7045000</v>
      </c>
      <c r="F130" s="1570">
        <v>38817175</v>
      </c>
      <c r="G130" s="1570"/>
      <c r="H130" s="1570">
        <v>19180000</v>
      </c>
      <c r="I130" s="1571">
        <f>H130/E130</f>
        <v>2.7224982256919801</v>
      </c>
      <c r="J130" s="1570">
        <v>2200000</v>
      </c>
      <c r="K130" s="1570">
        <f t="shared" si="16"/>
        <v>21380000</v>
      </c>
      <c r="L130" s="1568">
        <f>K130/E130</f>
        <v>3.0347764371894961</v>
      </c>
      <c r="M130" s="2367"/>
    </row>
    <row r="131" spans="1:21" ht="171.75" customHeight="1">
      <c r="A131" s="944"/>
      <c r="B131" s="1911"/>
      <c r="C131" s="1574"/>
      <c r="D131" s="1714">
        <v>6067</v>
      </c>
      <c r="E131" s="1715">
        <v>7650000</v>
      </c>
      <c r="F131" s="1715">
        <v>7317316</v>
      </c>
      <c r="G131" s="1715"/>
      <c r="H131" s="1715">
        <v>0</v>
      </c>
      <c r="I131" s="1716">
        <f>H131/E131</f>
        <v>0</v>
      </c>
      <c r="J131" s="1715"/>
      <c r="K131" s="1715">
        <f t="shared" si="16"/>
        <v>0</v>
      </c>
      <c r="L131" s="1568">
        <f>K131/E131</f>
        <v>0</v>
      </c>
      <c r="M131" s="2367"/>
    </row>
    <row r="132" spans="1:21" ht="150" customHeight="1">
      <c r="A132" s="927"/>
      <c r="B132" s="1720"/>
      <c r="C132" s="1700"/>
      <c r="D132" s="1714">
        <v>6069</v>
      </c>
      <c r="E132" s="1715">
        <v>1350000</v>
      </c>
      <c r="F132" s="1715">
        <v>1291292</v>
      </c>
      <c r="G132" s="1715"/>
      <c r="H132" s="1715">
        <v>0</v>
      </c>
      <c r="I132" s="1716">
        <f>H132/E132</f>
        <v>0</v>
      </c>
      <c r="J132" s="1715"/>
      <c r="K132" s="1715">
        <f t="shared" si="16"/>
        <v>0</v>
      </c>
      <c r="L132" s="1568">
        <f>K132/E132</f>
        <v>0</v>
      </c>
      <c r="M132" s="2367"/>
    </row>
    <row r="133" spans="1:21" s="951" customFormat="1" ht="150" customHeight="1">
      <c r="A133" s="927"/>
      <c r="B133" s="1720">
        <v>60013</v>
      </c>
      <c r="C133" s="1700"/>
      <c r="D133" s="1579">
        <v>6100</v>
      </c>
      <c r="E133" s="1580">
        <v>0</v>
      </c>
      <c r="F133" s="1580">
        <v>0</v>
      </c>
      <c r="G133" s="1580"/>
      <c r="H133" s="1580">
        <v>615000</v>
      </c>
      <c r="I133" s="1581"/>
      <c r="J133" s="1580"/>
      <c r="K133" s="1580">
        <f t="shared" si="16"/>
        <v>615000</v>
      </c>
      <c r="L133" s="1568"/>
      <c r="M133" s="2367"/>
    </row>
    <row r="134" spans="1:21" s="951" customFormat="1" ht="154.5" customHeight="1" thickBot="1">
      <c r="A134" s="939"/>
      <c r="B134" s="1722"/>
      <c r="C134" s="1582"/>
      <c r="D134" s="1908">
        <v>6370</v>
      </c>
      <c r="E134" s="1909">
        <v>0</v>
      </c>
      <c r="F134" s="1909">
        <v>0</v>
      </c>
      <c r="G134" s="1909"/>
      <c r="H134" s="1909">
        <v>16000000</v>
      </c>
      <c r="I134" s="1910"/>
      <c r="J134" s="1909"/>
      <c r="K134" s="1909">
        <f t="shared" si="16"/>
        <v>16000000</v>
      </c>
      <c r="L134" s="1572"/>
      <c r="M134" s="2367"/>
    </row>
    <row r="135" spans="1:21" s="951" customFormat="1" ht="228" customHeight="1">
      <c r="A135" s="944"/>
      <c r="B135" s="1911"/>
      <c r="C135" s="1574"/>
      <c r="D135" s="1711">
        <v>6208</v>
      </c>
      <c r="E135" s="1712">
        <v>0</v>
      </c>
      <c r="F135" s="1712">
        <v>12374464</v>
      </c>
      <c r="G135" s="1712"/>
      <c r="H135" s="1712">
        <v>0</v>
      </c>
      <c r="I135" s="1713"/>
      <c r="J135" s="1712"/>
      <c r="K135" s="1712">
        <f t="shared" si="16"/>
        <v>0</v>
      </c>
      <c r="L135" s="1578"/>
      <c r="M135" s="2367"/>
    </row>
    <row r="136" spans="1:21" s="951" customFormat="1" ht="210.75" customHeight="1">
      <c r="A136" s="927"/>
      <c r="B136" s="957">
        <v>60013</v>
      </c>
      <c r="C136" s="1723"/>
      <c r="D136" s="1711">
        <v>6610</v>
      </c>
      <c r="E136" s="1712">
        <v>250000</v>
      </c>
      <c r="F136" s="1712">
        <f>250000+678675</f>
        <v>928675</v>
      </c>
      <c r="G136" s="1712"/>
      <c r="H136" s="1712">
        <v>2243520</v>
      </c>
      <c r="I136" s="1713"/>
      <c r="J136" s="1712">
        <v>734000</v>
      </c>
      <c r="K136" s="1712">
        <f t="shared" si="16"/>
        <v>2977520</v>
      </c>
      <c r="L136" s="1568">
        <f>K136/E136</f>
        <v>11.910080000000001</v>
      </c>
      <c r="M136" s="2367"/>
    </row>
    <row r="137" spans="1:21" s="951" customFormat="1" ht="195" customHeight="1" thickBot="1">
      <c r="A137" s="939"/>
      <c r="B137" s="1721"/>
      <c r="C137" s="1912"/>
      <c r="D137" s="1908">
        <v>6620</v>
      </c>
      <c r="E137" s="1909">
        <v>0</v>
      </c>
      <c r="F137" s="1909">
        <v>625000</v>
      </c>
      <c r="G137" s="1909"/>
      <c r="H137" s="1909">
        <v>0</v>
      </c>
      <c r="I137" s="1910"/>
      <c r="J137" s="1909"/>
      <c r="K137" s="1909">
        <f t="shared" si="16"/>
        <v>0</v>
      </c>
      <c r="L137" s="1568"/>
      <c r="M137" s="2367"/>
    </row>
    <row r="138" spans="1:21" s="951" customFormat="1" ht="240" customHeight="1">
      <c r="A138" s="944"/>
      <c r="B138" s="2396">
        <v>60013</v>
      </c>
      <c r="C138" s="1913" t="s">
        <v>30</v>
      </c>
      <c r="D138" s="1914" t="s">
        <v>366</v>
      </c>
      <c r="E138" s="1915">
        <f>SUM(E139:E147)</f>
        <v>254949539</v>
      </c>
      <c r="F138" s="1915">
        <f>SUM(F139:F147)</f>
        <v>250600272</v>
      </c>
      <c r="G138" s="1915"/>
      <c r="H138" s="1915">
        <f>SUM(H139:H147)</f>
        <v>132806672</v>
      </c>
      <c r="I138" s="1916">
        <f>H138/E138</f>
        <v>0.52091356007511747</v>
      </c>
      <c r="J138" s="1915">
        <f>SUM(J139:J147)</f>
        <v>0</v>
      </c>
      <c r="K138" s="1915">
        <f>SUM(K139:K147)</f>
        <v>132806672</v>
      </c>
      <c r="L138" s="1566">
        <f>K138/E138</f>
        <v>0.52091356007511747</v>
      </c>
      <c r="M138" s="2367"/>
    </row>
    <row r="139" spans="1:21" s="951" customFormat="1" ht="212.25" customHeight="1">
      <c r="A139" s="927"/>
      <c r="B139" s="2373"/>
      <c r="C139" s="1725"/>
      <c r="D139" s="1579">
        <v>6050</v>
      </c>
      <c r="E139" s="1580">
        <v>13761587</v>
      </c>
      <c r="F139" s="1580">
        <f>27329490+902848+200000+8110843</f>
        <v>36543181</v>
      </c>
      <c r="G139" s="1580"/>
      <c r="H139" s="1580">
        <v>32809195</v>
      </c>
      <c r="I139" s="1581">
        <f>H139/E139</f>
        <v>2.3841142013635492</v>
      </c>
      <c r="J139" s="1580"/>
      <c r="K139" s="1580">
        <f t="shared" ref="K139:K147" si="17">H139+J139</f>
        <v>32809195</v>
      </c>
      <c r="L139" s="1568">
        <f>K139/E139</f>
        <v>2.3841142013635492</v>
      </c>
      <c r="M139" s="2367"/>
    </row>
    <row r="140" spans="1:21" s="951" customFormat="1" ht="170.1" customHeight="1" thickBot="1">
      <c r="A140" s="939"/>
      <c r="B140" s="2366"/>
      <c r="C140" s="1726"/>
      <c r="D140" s="1908">
        <v>6057</v>
      </c>
      <c r="E140" s="1909">
        <v>171200556</v>
      </c>
      <c r="F140" s="1909">
        <v>153875276</v>
      </c>
      <c r="G140" s="1909"/>
      <c r="H140" s="1909">
        <v>84997854</v>
      </c>
      <c r="I140" s="1910">
        <f>H140/E140</f>
        <v>0.49648117965224364</v>
      </c>
      <c r="J140" s="1909"/>
      <c r="K140" s="1909">
        <f t="shared" si="17"/>
        <v>84997854</v>
      </c>
      <c r="L140" s="1568">
        <f>K140/E140</f>
        <v>0.49648117965224364</v>
      </c>
      <c r="M140" s="2367"/>
    </row>
    <row r="141" spans="1:21" s="951" customFormat="1" ht="170.1" customHeight="1" thickBot="1">
      <c r="A141" s="944"/>
      <c r="B141" s="2396">
        <v>60013</v>
      </c>
      <c r="C141" s="1913"/>
      <c r="D141" s="1711">
        <v>6058</v>
      </c>
      <c r="E141" s="1712">
        <v>0</v>
      </c>
      <c r="F141" s="1712">
        <f>11720+105534+764400</f>
        <v>881654</v>
      </c>
      <c r="G141" s="1712"/>
      <c r="H141" s="1702">
        <v>0</v>
      </c>
      <c r="I141" s="1713"/>
      <c r="J141" s="1712"/>
      <c r="K141" s="1712">
        <f t="shared" si="17"/>
        <v>0</v>
      </c>
      <c r="L141" s="1572"/>
      <c r="M141" s="2367"/>
    </row>
    <row r="142" spans="1:21" s="951" customFormat="1" ht="151.5" customHeight="1" thickBot="1">
      <c r="A142" s="927"/>
      <c r="B142" s="2373"/>
      <c r="C142" s="1725"/>
      <c r="D142" s="1579">
        <v>6059</v>
      </c>
      <c r="E142" s="1580">
        <v>59987396</v>
      </c>
      <c r="F142" s="1580">
        <f>23036145+4118319+2069+3447+84934</f>
        <v>27244914</v>
      </c>
      <c r="G142" s="1580"/>
      <c r="H142" s="1895">
        <v>14999623</v>
      </c>
      <c r="I142" s="1581">
        <f>H140/E142</f>
        <v>1.4169285494572894</v>
      </c>
      <c r="J142" s="1580"/>
      <c r="K142" s="1580">
        <f t="shared" si="17"/>
        <v>14999623</v>
      </c>
      <c r="L142" s="1586">
        <f>K142/E142</f>
        <v>0.25004624304745615</v>
      </c>
      <c r="M142" s="2367"/>
    </row>
    <row r="143" spans="1:21" s="951" customFormat="1" ht="84" customHeight="1">
      <c r="A143" s="927"/>
      <c r="B143" s="2373"/>
      <c r="C143" s="1725"/>
      <c r="D143" s="1711">
        <v>6060</v>
      </c>
      <c r="E143" s="1712">
        <v>1000000</v>
      </c>
      <c r="F143" s="1712">
        <v>11072175</v>
      </c>
      <c r="G143" s="1712"/>
      <c r="H143" s="1712">
        <v>0</v>
      </c>
      <c r="I143" s="1713">
        <f>H141/E143</f>
        <v>0</v>
      </c>
      <c r="J143" s="1712"/>
      <c r="K143" s="1712">
        <f t="shared" si="17"/>
        <v>0</v>
      </c>
      <c r="L143" s="1717">
        <f>K143/E143</f>
        <v>0</v>
      </c>
      <c r="M143" s="2367"/>
      <c r="N143" s="964"/>
    </row>
    <row r="144" spans="1:21" s="951" customFormat="1" ht="158.25" customHeight="1">
      <c r="A144" s="927"/>
      <c r="B144" s="2373"/>
      <c r="C144" s="1725"/>
      <c r="D144" s="1711">
        <v>6067</v>
      </c>
      <c r="E144" s="1712">
        <v>7650000</v>
      </c>
      <c r="F144" s="1712">
        <v>7317316</v>
      </c>
      <c r="G144" s="1712"/>
      <c r="H144" s="1712">
        <v>0</v>
      </c>
      <c r="I144" s="1713">
        <f>H142/E144</f>
        <v>1.9607350326797386</v>
      </c>
      <c r="J144" s="1712"/>
      <c r="K144" s="1712">
        <f t="shared" si="17"/>
        <v>0</v>
      </c>
      <c r="L144" s="1566">
        <f>K144/E144</f>
        <v>0</v>
      </c>
      <c r="M144" s="2367"/>
      <c r="N144" s="964"/>
    </row>
    <row r="145" spans="1:13" s="951" customFormat="1" ht="200.1" hidden="1" customHeight="1">
      <c r="A145" s="927"/>
      <c r="B145" s="2373"/>
      <c r="C145" s="1725"/>
      <c r="D145" s="1579">
        <v>6068</v>
      </c>
      <c r="E145" s="1580"/>
      <c r="F145" s="1580"/>
      <c r="G145" s="1580"/>
      <c r="H145" s="1580"/>
      <c r="I145" s="1581"/>
      <c r="J145" s="1580"/>
      <c r="K145" s="1580">
        <f t="shared" si="17"/>
        <v>0</v>
      </c>
      <c r="L145" s="1566"/>
      <c r="M145" s="2367"/>
    </row>
    <row r="146" spans="1:13" s="951" customFormat="1" ht="32.25" customHeight="1">
      <c r="A146" s="927"/>
      <c r="B146" s="2373"/>
      <c r="C146" s="1725"/>
      <c r="D146" s="1579">
        <v>6069</v>
      </c>
      <c r="E146" s="1580">
        <v>1350000</v>
      </c>
      <c r="F146" s="1580">
        <v>1291292</v>
      </c>
      <c r="G146" s="1580"/>
      <c r="H146" s="1580">
        <v>0</v>
      </c>
      <c r="I146" s="1581">
        <f>H143/E146</f>
        <v>0</v>
      </c>
      <c r="J146" s="1580"/>
      <c r="K146" s="1580">
        <f t="shared" si="17"/>
        <v>0</v>
      </c>
      <c r="L146" s="1566">
        <f>K146/E146</f>
        <v>0</v>
      </c>
      <c r="M146" s="2367"/>
    </row>
    <row r="147" spans="1:13" s="951" customFormat="1" ht="34.5" customHeight="1">
      <c r="A147" s="927"/>
      <c r="B147" s="2373"/>
      <c r="C147" s="1725"/>
      <c r="D147" s="1579">
        <v>6208</v>
      </c>
      <c r="E147" s="1580">
        <v>0</v>
      </c>
      <c r="F147" s="1580">
        <v>12374464</v>
      </c>
      <c r="G147" s="1580"/>
      <c r="H147" s="1580">
        <v>0</v>
      </c>
      <c r="I147" s="1581"/>
      <c r="J147" s="1580"/>
      <c r="K147" s="1580">
        <f t="shared" si="17"/>
        <v>0</v>
      </c>
      <c r="L147" s="1566"/>
      <c r="M147" s="2367"/>
    </row>
    <row r="148" spans="1:13" s="951" customFormat="1" ht="72" customHeight="1" thickBot="1">
      <c r="A148" s="2363"/>
      <c r="B148" s="2373">
        <v>60013</v>
      </c>
      <c r="C148" s="1594" t="s">
        <v>31</v>
      </c>
      <c r="D148" s="1595"/>
      <c r="E148" s="1592"/>
      <c r="F148" s="1585"/>
      <c r="G148" s="1585"/>
      <c r="H148" s="1580"/>
      <c r="I148" s="1598"/>
      <c r="J148" s="1699"/>
      <c r="K148" s="1585"/>
      <c r="L148" s="1896"/>
      <c r="M148" s="2367"/>
    </row>
    <row r="149" spans="1:13" s="951" customFormat="1" ht="84" customHeight="1">
      <c r="A149" s="2381"/>
      <c r="B149" s="2374"/>
      <c r="C149" s="1897" t="s">
        <v>32</v>
      </c>
      <c r="D149" s="1898"/>
      <c r="E149" s="1899"/>
      <c r="F149" s="1900"/>
      <c r="G149" s="1900"/>
      <c r="H149" s="1900"/>
      <c r="I149" s="1901"/>
      <c r="J149" s="1902"/>
      <c r="K149" s="1900"/>
      <c r="L149" s="1903"/>
      <c r="M149" s="2383"/>
    </row>
    <row r="150" spans="1:13" ht="12.75">
      <c r="A150" s="927"/>
      <c r="B150" s="2382">
        <v>60014</v>
      </c>
      <c r="C150" s="952" t="s">
        <v>504</v>
      </c>
      <c r="D150" s="953"/>
      <c r="E150" s="954">
        <f>SUM(E151,E160)</f>
        <v>1315716</v>
      </c>
      <c r="F150" s="954">
        <f>SUM(F151,F160)</f>
        <v>4407003</v>
      </c>
      <c r="G150" s="954"/>
      <c r="H150" s="954">
        <f>SUM(H151,H160)</f>
        <v>1060926</v>
      </c>
      <c r="I150" s="1549">
        <f t="shared" ref="I150" si="18">H150/E150</f>
        <v>0.80634878651623909</v>
      </c>
      <c r="J150" s="954">
        <f>SUM(J151,J160)</f>
        <v>0</v>
      </c>
      <c r="K150" s="954">
        <f>SUM(K151,K160)</f>
        <v>1060926</v>
      </c>
      <c r="L150" s="1549">
        <f>K150/E150</f>
        <v>0.80634878651623909</v>
      </c>
      <c r="M150" s="2378" t="s">
        <v>505</v>
      </c>
    </row>
    <row r="151" spans="1:13" ht="12.75">
      <c r="A151" s="927"/>
      <c r="B151" s="2387"/>
      <c r="C151" s="901" t="s">
        <v>18</v>
      </c>
      <c r="D151" s="1532"/>
      <c r="E151" s="1533">
        <f>SUM(E152,E155:E159)</f>
        <v>0</v>
      </c>
      <c r="F151" s="1533">
        <f>SUM(F152,F155:F159)</f>
        <v>50000</v>
      </c>
      <c r="G151" s="1533"/>
      <c r="H151" s="1533">
        <f>SUM(H152,H155:H159)</f>
        <v>0</v>
      </c>
      <c r="I151" s="1533"/>
      <c r="J151" s="1533">
        <f>SUM(J152,J155:J159)</f>
        <v>0</v>
      </c>
      <c r="K151" s="1533">
        <f>SUM(K152,K155:K159)</f>
        <v>0</v>
      </c>
      <c r="L151" s="1534"/>
      <c r="M151" s="2389"/>
    </row>
    <row r="152" spans="1:13" ht="12.75">
      <c r="A152" s="927"/>
      <c r="B152" s="2387"/>
      <c r="C152" s="904" t="s">
        <v>19</v>
      </c>
      <c r="D152" s="1535"/>
      <c r="E152" s="1536">
        <v>0</v>
      </c>
      <c r="F152" s="1536"/>
      <c r="G152" s="1536"/>
      <c r="H152" s="1536"/>
      <c r="I152" s="1536"/>
      <c r="J152" s="1536"/>
      <c r="K152" s="1536"/>
      <c r="L152" s="1537"/>
      <c r="M152" s="2389"/>
    </row>
    <row r="153" spans="1:13" ht="20.45" customHeight="1">
      <c r="A153" s="927"/>
      <c r="B153" s="2387"/>
      <c r="C153" s="1527" t="s">
        <v>20</v>
      </c>
      <c r="D153" s="1535"/>
      <c r="E153" s="1536"/>
      <c r="F153" s="1536"/>
      <c r="G153" s="1536"/>
      <c r="H153" s="1536"/>
      <c r="I153" s="1536"/>
      <c r="J153" s="1536"/>
      <c r="K153" s="1536"/>
      <c r="L153" s="1537"/>
      <c r="M153" s="2389"/>
    </row>
    <row r="154" spans="1:13" ht="12.75">
      <c r="A154" s="927"/>
      <c r="B154" s="2387"/>
      <c r="C154" s="405" t="s">
        <v>21</v>
      </c>
      <c r="D154" s="1538"/>
      <c r="E154" s="1536"/>
      <c r="F154" s="1536"/>
      <c r="G154" s="1536"/>
      <c r="H154" s="1536"/>
      <c r="I154" s="1536"/>
      <c r="J154" s="1536"/>
      <c r="K154" s="1536"/>
      <c r="L154" s="1537"/>
      <c r="M154" s="2389"/>
    </row>
    <row r="155" spans="1:13" ht="12.75">
      <c r="A155" s="927"/>
      <c r="B155" s="2387"/>
      <c r="C155" s="404" t="s">
        <v>23</v>
      </c>
      <c r="D155" s="1535">
        <v>2710</v>
      </c>
      <c r="E155" s="1536">
        <v>0</v>
      </c>
      <c r="F155" s="1536">
        <v>50000</v>
      </c>
      <c r="G155" s="1536"/>
      <c r="H155" s="1536">
        <v>0</v>
      </c>
      <c r="I155" s="1536"/>
      <c r="J155" s="1536">
        <v>0</v>
      </c>
      <c r="K155" s="1536">
        <v>0</v>
      </c>
      <c r="L155" s="1537"/>
      <c r="M155" s="2389"/>
    </row>
    <row r="156" spans="1:13" ht="12.75">
      <c r="A156" s="927"/>
      <c r="B156" s="2387"/>
      <c r="C156" s="904" t="s">
        <v>24</v>
      </c>
      <c r="D156" s="1535"/>
      <c r="E156" s="1536"/>
      <c r="F156" s="1536"/>
      <c r="G156" s="1536"/>
      <c r="H156" s="1536"/>
      <c r="I156" s="1536"/>
      <c r="J156" s="1536"/>
      <c r="K156" s="1536"/>
      <c r="L156" s="1537"/>
      <c r="M156" s="2389"/>
    </row>
    <row r="157" spans="1:13" ht="22.5">
      <c r="A157" s="927"/>
      <c r="B157" s="2387"/>
      <c r="C157" s="405" t="s">
        <v>506</v>
      </c>
      <c r="D157" s="1538"/>
      <c r="E157" s="1536"/>
      <c r="F157" s="1536"/>
      <c r="G157" s="1536"/>
      <c r="H157" s="1536"/>
      <c r="I157" s="1536"/>
      <c r="J157" s="1536"/>
      <c r="K157" s="1536"/>
      <c r="L157" s="1537"/>
      <c r="M157" s="2389"/>
    </row>
    <row r="158" spans="1:13" ht="12.75">
      <c r="A158" s="927"/>
      <c r="B158" s="2387"/>
      <c r="C158" s="904" t="s">
        <v>26</v>
      </c>
      <c r="D158" s="1535"/>
      <c r="E158" s="1536"/>
      <c r="F158" s="1536"/>
      <c r="G158" s="1536"/>
      <c r="H158" s="1536"/>
      <c r="I158" s="1536"/>
      <c r="J158" s="1536"/>
      <c r="K158" s="1536"/>
      <c r="L158" s="1537"/>
      <c r="M158" s="2389"/>
    </row>
    <row r="159" spans="1:13" ht="12.75">
      <c r="A159" s="927"/>
      <c r="B159" s="2387"/>
      <c r="C159" s="904" t="s">
        <v>27</v>
      </c>
      <c r="D159" s="1535"/>
      <c r="E159" s="1536"/>
      <c r="F159" s="1536"/>
      <c r="G159" s="1536"/>
      <c r="H159" s="1536"/>
      <c r="I159" s="1536"/>
      <c r="J159" s="1536"/>
      <c r="K159" s="1536"/>
      <c r="L159" s="1537"/>
      <c r="M159" s="2389"/>
    </row>
    <row r="160" spans="1:13" ht="12.75">
      <c r="A160" s="927"/>
      <c r="B160" s="2387"/>
      <c r="C160" s="911" t="s">
        <v>28</v>
      </c>
      <c r="D160" s="1544"/>
      <c r="E160" s="1533">
        <f>SUM(E161)</f>
        <v>1315716</v>
      </c>
      <c r="F160" s="1533">
        <f>SUM(F161)</f>
        <v>4357003</v>
      </c>
      <c r="G160" s="1533"/>
      <c r="H160" s="1533">
        <f>SUM(H161)</f>
        <v>1060926</v>
      </c>
      <c r="I160" s="1534">
        <f t="shared" ref="I160:I161" si="19">H160/E160</f>
        <v>0.80634878651623909</v>
      </c>
      <c r="J160" s="1533">
        <f>SUM(J161)</f>
        <v>0</v>
      </c>
      <c r="K160" s="1533">
        <f>SUM(K161)</f>
        <v>1060926</v>
      </c>
      <c r="L160" s="1534">
        <f>K160/E160</f>
        <v>0.80634878651623909</v>
      </c>
      <c r="M160" s="2389"/>
    </row>
    <row r="161" spans="1:13" ht="12.75">
      <c r="A161" s="927"/>
      <c r="B161" s="2387"/>
      <c r="C161" s="904" t="s">
        <v>29</v>
      </c>
      <c r="D161" s="1535">
        <v>6300</v>
      </c>
      <c r="E161" s="1536">
        <v>1315716</v>
      </c>
      <c r="F161" s="1536">
        <v>4357003</v>
      </c>
      <c r="G161" s="1536"/>
      <c r="H161" s="1536">
        <v>1060926</v>
      </c>
      <c r="I161" s="1537">
        <f t="shared" si="19"/>
        <v>0.80634878651623909</v>
      </c>
      <c r="J161" s="1536">
        <v>0</v>
      </c>
      <c r="K161" s="1536">
        <f>H161+J161</f>
        <v>1060926</v>
      </c>
      <c r="L161" s="1537">
        <f>K161/E161</f>
        <v>0.80634878651623909</v>
      </c>
      <c r="M161" s="2389"/>
    </row>
    <row r="162" spans="1:13" ht="24.75" customHeight="1">
      <c r="A162" s="927"/>
      <c r="B162" s="2387"/>
      <c r="C162" s="910" t="s">
        <v>30</v>
      </c>
      <c r="D162" s="1538"/>
      <c r="E162" s="1536"/>
      <c r="F162" s="1536"/>
      <c r="G162" s="1536"/>
      <c r="H162" s="1536"/>
      <c r="I162" s="1536"/>
      <c r="J162" s="1536"/>
      <c r="K162" s="1536"/>
      <c r="L162" s="1537"/>
      <c r="M162" s="2389"/>
    </row>
    <row r="163" spans="1:13" ht="12.75">
      <c r="A163" s="927"/>
      <c r="B163" s="2387"/>
      <c r="C163" s="904" t="s">
        <v>31</v>
      </c>
      <c r="D163" s="1535"/>
      <c r="E163" s="1536"/>
      <c r="F163" s="1536"/>
      <c r="G163" s="1536"/>
      <c r="H163" s="1536"/>
      <c r="I163" s="1536"/>
      <c r="J163" s="1536"/>
      <c r="K163" s="1536"/>
      <c r="L163" s="1537"/>
      <c r="M163" s="2389"/>
    </row>
    <row r="164" spans="1:13" ht="12.75">
      <c r="A164" s="927"/>
      <c r="B164" s="2387"/>
      <c r="C164" s="904" t="s">
        <v>32</v>
      </c>
      <c r="D164" s="1535"/>
      <c r="E164" s="1536"/>
      <c r="F164" s="1536"/>
      <c r="G164" s="1536"/>
      <c r="H164" s="1536"/>
      <c r="I164" s="1536"/>
      <c r="J164" s="1536"/>
      <c r="K164" s="1536"/>
      <c r="L164" s="1537"/>
      <c r="M164" s="2390"/>
    </row>
    <row r="165" spans="1:13" ht="12.75" hidden="1">
      <c r="A165" s="965"/>
      <c r="B165" s="2387">
        <v>60015</v>
      </c>
      <c r="C165" s="1558" t="s">
        <v>507</v>
      </c>
      <c r="D165" s="1559"/>
      <c r="E165" s="1560">
        <v>0</v>
      </c>
      <c r="F165" s="1560"/>
      <c r="G165" s="1560"/>
      <c r="H165" s="1560"/>
      <c r="I165" s="1560"/>
      <c r="J165" s="1560"/>
      <c r="K165" s="1560"/>
      <c r="L165" s="1537" t="e">
        <f t="shared" ref="L165:L180" si="20">K165/E165</f>
        <v>#DIV/0!</v>
      </c>
      <c r="M165" s="2388"/>
    </row>
    <row r="166" spans="1:13" ht="12.75" hidden="1">
      <c r="A166" s="965"/>
      <c r="B166" s="2387"/>
      <c r="C166" s="901" t="s">
        <v>18</v>
      </c>
      <c r="D166" s="1532"/>
      <c r="E166" s="1533">
        <v>0</v>
      </c>
      <c r="F166" s="1533"/>
      <c r="G166" s="1533"/>
      <c r="H166" s="1533"/>
      <c r="I166" s="1533"/>
      <c r="J166" s="1533"/>
      <c r="K166" s="1533"/>
      <c r="L166" s="1537" t="e">
        <f t="shared" si="20"/>
        <v>#DIV/0!</v>
      </c>
      <c r="M166" s="2389"/>
    </row>
    <row r="167" spans="1:13" ht="12.75" hidden="1">
      <c r="A167" s="965"/>
      <c r="B167" s="2387"/>
      <c r="C167" s="904" t="s">
        <v>19</v>
      </c>
      <c r="D167" s="1535"/>
      <c r="E167" s="1536"/>
      <c r="F167" s="1536"/>
      <c r="G167" s="1536"/>
      <c r="H167" s="1536"/>
      <c r="I167" s="1536"/>
      <c r="J167" s="1536"/>
      <c r="K167" s="1536"/>
      <c r="L167" s="1537" t="e">
        <f t="shared" si="20"/>
        <v>#DIV/0!</v>
      </c>
      <c r="M167" s="2389"/>
    </row>
    <row r="168" spans="1:13" ht="20.45" hidden="1" customHeight="1">
      <c r="A168" s="965"/>
      <c r="B168" s="2387"/>
      <c r="C168" s="1527" t="s">
        <v>20</v>
      </c>
      <c r="D168" s="1535"/>
      <c r="E168" s="1536"/>
      <c r="F168" s="1536"/>
      <c r="G168" s="1536"/>
      <c r="H168" s="1536"/>
      <c r="I168" s="1536"/>
      <c r="J168" s="1536"/>
      <c r="K168" s="1536"/>
      <c r="L168" s="1537" t="e">
        <f t="shared" si="20"/>
        <v>#DIV/0!</v>
      </c>
      <c r="M168" s="2389"/>
    </row>
    <row r="169" spans="1:13" ht="12.75" hidden="1">
      <c r="A169" s="965"/>
      <c r="B169" s="2387"/>
      <c r="C169" s="405" t="s">
        <v>21</v>
      </c>
      <c r="D169" s="1538"/>
      <c r="E169" s="1536"/>
      <c r="F169" s="1536"/>
      <c r="G169" s="1536"/>
      <c r="H169" s="1536"/>
      <c r="I169" s="1536"/>
      <c r="J169" s="1536"/>
      <c r="K169" s="1536"/>
      <c r="L169" s="1537" t="e">
        <f t="shared" si="20"/>
        <v>#DIV/0!</v>
      </c>
      <c r="M169" s="2389"/>
    </row>
    <row r="170" spans="1:13" ht="12.75" hidden="1">
      <c r="A170" s="965"/>
      <c r="B170" s="2387"/>
      <c r="C170" s="404" t="s">
        <v>23</v>
      </c>
      <c r="D170" s="1535"/>
      <c r="E170" s="1536"/>
      <c r="F170" s="1536"/>
      <c r="G170" s="1536"/>
      <c r="H170" s="1536"/>
      <c r="I170" s="1536"/>
      <c r="J170" s="1536"/>
      <c r="K170" s="1536"/>
      <c r="L170" s="1537" t="e">
        <f t="shared" si="20"/>
        <v>#DIV/0!</v>
      </c>
      <c r="M170" s="2389"/>
    </row>
    <row r="171" spans="1:13" ht="12.75" hidden="1">
      <c r="A171" s="965"/>
      <c r="B171" s="2387"/>
      <c r="C171" s="904" t="s">
        <v>24</v>
      </c>
      <c r="D171" s="1535"/>
      <c r="E171" s="1536"/>
      <c r="F171" s="1536"/>
      <c r="G171" s="1536"/>
      <c r="H171" s="1536"/>
      <c r="I171" s="1536"/>
      <c r="J171" s="1536"/>
      <c r="K171" s="1536"/>
      <c r="L171" s="1537" t="e">
        <f t="shared" si="20"/>
        <v>#DIV/0!</v>
      </c>
      <c r="M171" s="2389"/>
    </row>
    <row r="172" spans="1:13" ht="22.5" hidden="1">
      <c r="A172" s="965"/>
      <c r="B172" s="2387"/>
      <c r="C172" s="405" t="s">
        <v>506</v>
      </c>
      <c r="D172" s="1538"/>
      <c r="E172" s="1536"/>
      <c r="F172" s="1536"/>
      <c r="G172" s="1536"/>
      <c r="H172" s="1536"/>
      <c r="I172" s="1536"/>
      <c r="J172" s="1536"/>
      <c r="K172" s="1536"/>
      <c r="L172" s="1537" t="e">
        <f t="shared" si="20"/>
        <v>#DIV/0!</v>
      </c>
      <c r="M172" s="2389"/>
    </row>
    <row r="173" spans="1:13" ht="12.75" hidden="1">
      <c r="A173" s="965"/>
      <c r="B173" s="2387"/>
      <c r="C173" s="904" t="s">
        <v>26</v>
      </c>
      <c r="D173" s="1535"/>
      <c r="E173" s="1536"/>
      <c r="F173" s="1536"/>
      <c r="G173" s="1536"/>
      <c r="H173" s="1536"/>
      <c r="I173" s="1536"/>
      <c r="J173" s="1536"/>
      <c r="K173" s="1536"/>
      <c r="L173" s="1537" t="e">
        <f t="shared" si="20"/>
        <v>#DIV/0!</v>
      </c>
      <c r="M173" s="2389"/>
    </row>
    <row r="174" spans="1:13" ht="12.75" hidden="1">
      <c r="A174" s="965"/>
      <c r="B174" s="2387"/>
      <c r="C174" s="904" t="s">
        <v>27</v>
      </c>
      <c r="D174" s="1535"/>
      <c r="E174" s="1536"/>
      <c r="F174" s="1536"/>
      <c r="G174" s="1536"/>
      <c r="H174" s="1536"/>
      <c r="I174" s="1536"/>
      <c r="J174" s="1536"/>
      <c r="K174" s="1536"/>
      <c r="L174" s="1537" t="e">
        <f t="shared" si="20"/>
        <v>#DIV/0!</v>
      </c>
      <c r="M174" s="2389"/>
    </row>
    <row r="175" spans="1:13" ht="12.75" hidden="1">
      <c r="A175" s="965"/>
      <c r="B175" s="2387"/>
      <c r="C175" s="911" t="s">
        <v>28</v>
      </c>
      <c r="D175" s="1544"/>
      <c r="E175" s="1533">
        <v>0</v>
      </c>
      <c r="F175" s="1533"/>
      <c r="G175" s="1533"/>
      <c r="H175" s="1533"/>
      <c r="I175" s="1533"/>
      <c r="J175" s="1533"/>
      <c r="K175" s="1533"/>
      <c r="L175" s="1537" t="e">
        <f t="shared" si="20"/>
        <v>#DIV/0!</v>
      </c>
      <c r="M175" s="2389"/>
    </row>
    <row r="176" spans="1:13" ht="12.75" hidden="1">
      <c r="A176" s="965"/>
      <c r="B176" s="2387"/>
      <c r="C176" s="904" t="s">
        <v>29</v>
      </c>
      <c r="D176" s="1535">
        <v>6300</v>
      </c>
      <c r="E176" s="1536">
        <v>0</v>
      </c>
      <c r="F176" s="1536"/>
      <c r="G176" s="1536"/>
      <c r="H176" s="1536"/>
      <c r="I176" s="1536"/>
      <c r="J176" s="1536"/>
      <c r="K176" s="1536"/>
      <c r="L176" s="1537" t="e">
        <f t="shared" si="20"/>
        <v>#DIV/0!</v>
      </c>
      <c r="M176" s="2389"/>
    </row>
    <row r="177" spans="1:13" ht="24.75" hidden="1" customHeight="1">
      <c r="A177" s="965"/>
      <c r="B177" s="2387"/>
      <c r="C177" s="910" t="s">
        <v>30</v>
      </c>
      <c r="D177" s="1538"/>
      <c r="E177" s="1536"/>
      <c r="F177" s="1536"/>
      <c r="G177" s="1536"/>
      <c r="H177" s="1536"/>
      <c r="I177" s="1536"/>
      <c r="J177" s="1536"/>
      <c r="K177" s="1536"/>
      <c r="L177" s="1537" t="e">
        <f t="shared" si="20"/>
        <v>#DIV/0!</v>
      </c>
      <c r="M177" s="2389"/>
    </row>
    <row r="178" spans="1:13" ht="12.75" hidden="1">
      <c r="A178" s="965"/>
      <c r="B178" s="2387"/>
      <c r="C178" s="904" t="s">
        <v>31</v>
      </c>
      <c r="D178" s="1535"/>
      <c r="E178" s="1536"/>
      <c r="F178" s="1536"/>
      <c r="G178" s="1536"/>
      <c r="H178" s="1536"/>
      <c r="I178" s="1536"/>
      <c r="J178" s="1536"/>
      <c r="K178" s="1536"/>
      <c r="L178" s="1537" t="e">
        <f t="shared" si="20"/>
        <v>#DIV/0!</v>
      </c>
      <c r="M178" s="2389"/>
    </row>
    <row r="179" spans="1:13" ht="12.75" hidden="1">
      <c r="A179" s="965"/>
      <c r="B179" s="2387"/>
      <c r="C179" s="904" t="s">
        <v>32</v>
      </c>
      <c r="D179" s="1535"/>
      <c r="E179" s="1536"/>
      <c r="F179" s="1536"/>
      <c r="G179" s="1536"/>
      <c r="H179" s="1536"/>
      <c r="I179" s="1536"/>
      <c r="J179" s="1536"/>
      <c r="K179" s="1536"/>
      <c r="L179" s="1537" t="e">
        <f t="shared" si="20"/>
        <v>#DIV/0!</v>
      </c>
      <c r="M179" s="2390"/>
    </row>
    <row r="180" spans="1:13" ht="12.75">
      <c r="A180" s="965"/>
      <c r="B180" s="2387">
        <v>60016</v>
      </c>
      <c r="C180" s="1587" t="s">
        <v>508</v>
      </c>
      <c r="D180" s="1588"/>
      <c r="E180" s="1530">
        <f>SUM(E181,E190)</f>
        <v>1000000</v>
      </c>
      <c r="F180" s="1530">
        <f>SUM(F181,F190)</f>
        <v>1010000</v>
      </c>
      <c r="G180" s="1530"/>
      <c r="H180" s="1530">
        <f>SUM(H181,H190)</f>
        <v>0</v>
      </c>
      <c r="I180" s="1531">
        <f t="shared" ref="I180" si="21">H180/E180</f>
        <v>0</v>
      </c>
      <c r="J180" s="1530">
        <f>SUM(J181,J190)</f>
        <v>1000000</v>
      </c>
      <c r="K180" s="1530">
        <f>SUM(K181,K190)</f>
        <v>1000000</v>
      </c>
      <c r="L180" s="1531">
        <f t="shared" si="20"/>
        <v>1</v>
      </c>
      <c r="M180" s="2375" t="s">
        <v>509</v>
      </c>
    </row>
    <row r="181" spans="1:13" ht="12.75">
      <c r="A181" s="965"/>
      <c r="B181" s="2387"/>
      <c r="C181" s="901" t="s">
        <v>18</v>
      </c>
      <c r="D181" s="1532"/>
      <c r="E181" s="1533">
        <v>0</v>
      </c>
      <c r="F181" s="1533"/>
      <c r="G181" s="1533"/>
      <c r="H181" s="1533"/>
      <c r="I181" s="1533"/>
      <c r="J181" s="1533"/>
      <c r="K181" s="1533"/>
      <c r="L181" s="1537"/>
      <c r="M181" s="2378"/>
    </row>
    <row r="182" spans="1:13" ht="12.75">
      <c r="A182" s="965"/>
      <c r="B182" s="2387"/>
      <c r="C182" s="904" t="s">
        <v>19</v>
      </c>
      <c r="D182" s="1535"/>
      <c r="E182" s="1536"/>
      <c r="F182" s="1536"/>
      <c r="G182" s="1536"/>
      <c r="H182" s="1536"/>
      <c r="I182" s="1536"/>
      <c r="J182" s="1536"/>
      <c r="K182" s="1536"/>
      <c r="L182" s="1537"/>
      <c r="M182" s="2378"/>
    </row>
    <row r="183" spans="1:13" ht="20.45" customHeight="1">
      <c r="A183" s="965"/>
      <c r="B183" s="2387"/>
      <c r="C183" s="1527" t="s">
        <v>20</v>
      </c>
      <c r="D183" s="1535"/>
      <c r="E183" s="1536"/>
      <c r="F183" s="1536"/>
      <c r="G183" s="1536"/>
      <c r="H183" s="1536"/>
      <c r="I183" s="1536"/>
      <c r="J183" s="1536"/>
      <c r="K183" s="1536"/>
      <c r="L183" s="1537"/>
      <c r="M183" s="2378"/>
    </row>
    <row r="184" spans="1:13" ht="12.75">
      <c r="A184" s="965"/>
      <c r="B184" s="2387"/>
      <c r="C184" s="405" t="s">
        <v>21</v>
      </c>
      <c r="D184" s="1538"/>
      <c r="E184" s="1536"/>
      <c r="F184" s="1536"/>
      <c r="G184" s="1536"/>
      <c r="H184" s="1536"/>
      <c r="I184" s="1536"/>
      <c r="J184" s="1536"/>
      <c r="K184" s="1536"/>
      <c r="L184" s="1537"/>
      <c r="M184" s="2378"/>
    </row>
    <row r="185" spans="1:13" ht="12.75">
      <c r="A185" s="965"/>
      <c r="B185" s="2387"/>
      <c r="C185" s="404" t="s">
        <v>23</v>
      </c>
      <c r="D185" s="1535"/>
      <c r="E185" s="1536"/>
      <c r="F185" s="1536"/>
      <c r="G185" s="1536"/>
      <c r="H185" s="1536"/>
      <c r="I185" s="1536"/>
      <c r="J185" s="1536"/>
      <c r="K185" s="1536"/>
      <c r="L185" s="1537"/>
      <c r="M185" s="2378"/>
    </row>
    <row r="186" spans="1:13" ht="12.75">
      <c r="A186" s="965"/>
      <c r="B186" s="2387"/>
      <c r="C186" s="904" t="s">
        <v>24</v>
      </c>
      <c r="D186" s="1535"/>
      <c r="E186" s="1536"/>
      <c r="F186" s="1536"/>
      <c r="G186" s="1536"/>
      <c r="H186" s="1536"/>
      <c r="I186" s="1536"/>
      <c r="J186" s="1536"/>
      <c r="K186" s="1536"/>
      <c r="L186" s="1537"/>
      <c r="M186" s="2378"/>
    </row>
    <row r="187" spans="1:13" ht="22.5">
      <c r="A187" s="965"/>
      <c r="B187" s="2387"/>
      <c r="C187" s="405" t="s">
        <v>506</v>
      </c>
      <c r="D187" s="1538"/>
      <c r="E187" s="1536"/>
      <c r="F187" s="1536"/>
      <c r="G187" s="1536"/>
      <c r="H187" s="1536"/>
      <c r="I187" s="1536"/>
      <c r="J187" s="1536"/>
      <c r="K187" s="1536"/>
      <c r="L187" s="1537"/>
      <c r="M187" s="2378"/>
    </row>
    <row r="188" spans="1:13" ht="12.75">
      <c r="A188" s="965"/>
      <c r="B188" s="2387"/>
      <c r="C188" s="904" t="s">
        <v>26</v>
      </c>
      <c r="D188" s="1535"/>
      <c r="E188" s="1536"/>
      <c r="F188" s="1536"/>
      <c r="G188" s="1536"/>
      <c r="H188" s="1536"/>
      <c r="I188" s="1536"/>
      <c r="J188" s="1536"/>
      <c r="K188" s="1536"/>
      <c r="L188" s="1537"/>
      <c r="M188" s="2378"/>
    </row>
    <row r="189" spans="1:13" ht="12.75">
      <c r="A189" s="965"/>
      <c r="B189" s="2387"/>
      <c r="C189" s="904" t="s">
        <v>27</v>
      </c>
      <c r="D189" s="1535"/>
      <c r="E189" s="1536"/>
      <c r="F189" s="1536"/>
      <c r="G189" s="1536"/>
      <c r="H189" s="1536"/>
      <c r="I189" s="1536"/>
      <c r="J189" s="1536"/>
      <c r="K189" s="1536"/>
      <c r="L189" s="1537"/>
      <c r="M189" s="2378"/>
    </row>
    <row r="190" spans="1:13" ht="12.75">
      <c r="A190" s="965"/>
      <c r="B190" s="2387"/>
      <c r="C190" s="911" t="s">
        <v>28</v>
      </c>
      <c r="D190" s="1544"/>
      <c r="E190" s="1533">
        <f>SUM(E191)</f>
        <v>1000000</v>
      </c>
      <c r="F190" s="1533">
        <f>SUM(F191)</f>
        <v>1010000</v>
      </c>
      <c r="G190" s="1533"/>
      <c r="H190" s="1533">
        <f>SUM(H191)</f>
        <v>0</v>
      </c>
      <c r="I190" s="1534">
        <f t="shared" ref="I190:I191" si="22">H190/E190</f>
        <v>0</v>
      </c>
      <c r="J190" s="1533">
        <f>SUM(J191)</f>
        <v>1000000</v>
      </c>
      <c r="K190" s="1533">
        <f>SUM(K191)</f>
        <v>1000000</v>
      </c>
      <c r="L190" s="1534">
        <f>K190/E190</f>
        <v>1</v>
      </c>
      <c r="M190" s="2378"/>
    </row>
    <row r="191" spans="1:13" ht="12.75">
      <c r="A191" s="965"/>
      <c r="B191" s="2387"/>
      <c r="C191" s="904" t="s">
        <v>29</v>
      </c>
      <c r="D191" s="1535">
        <v>6300</v>
      </c>
      <c r="E191" s="1536">
        <v>1000000</v>
      </c>
      <c r="F191" s="1536">
        <v>1010000</v>
      </c>
      <c r="G191" s="1536"/>
      <c r="H191" s="1536">
        <v>0</v>
      </c>
      <c r="I191" s="1537">
        <f t="shared" si="22"/>
        <v>0</v>
      </c>
      <c r="J191" s="1536">
        <v>1000000</v>
      </c>
      <c r="K191" s="1536">
        <f>H191+J191</f>
        <v>1000000</v>
      </c>
      <c r="L191" s="1537">
        <f>K191/E191</f>
        <v>1</v>
      </c>
      <c r="M191" s="2378"/>
    </row>
    <row r="192" spans="1:13" ht="24.75" customHeight="1">
      <c r="A192" s="965"/>
      <c r="B192" s="2387"/>
      <c r="C192" s="910" t="s">
        <v>30</v>
      </c>
      <c r="D192" s="1538"/>
      <c r="E192" s="1536"/>
      <c r="F192" s="1536"/>
      <c r="G192" s="1536"/>
      <c r="H192" s="1536"/>
      <c r="I192" s="1536"/>
      <c r="J192" s="1536"/>
      <c r="K192" s="1536"/>
      <c r="L192" s="1537"/>
      <c r="M192" s="2378"/>
    </row>
    <row r="193" spans="1:13" ht="12.75">
      <c r="A193" s="965"/>
      <c r="B193" s="2387"/>
      <c r="C193" s="904" t="s">
        <v>31</v>
      </c>
      <c r="D193" s="1535"/>
      <c r="E193" s="1536"/>
      <c r="F193" s="1536"/>
      <c r="G193" s="1536"/>
      <c r="H193" s="1536"/>
      <c r="I193" s="1536"/>
      <c r="J193" s="1536"/>
      <c r="K193" s="1536"/>
      <c r="L193" s="1537"/>
      <c r="M193" s="2378"/>
    </row>
    <row r="194" spans="1:13" ht="12" customHeight="1">
      <c r="A194" s="965"/>
      <c r="B194" s="2387"/>
      <c r="C194" s="904" t="s">
        <v>32</v>
      </c>
      <c r="D194" s="1535"/>
      <c r="E194" s="1536"/>
      <c r="F194" s="1536"/>
      <c r="G194" s="1536"/>
      <c r="H194" s="1536"/>
      <c r="I194" s="1536"/>
      <c r="J194" s="1536"/>
      <c r="K194" s="1536"/>
      <c r="L194" s="1537"/>
      <c r="M194" s="2379"/>
    </row>
    <row r="195" spans="1:13" ht="12.75" customHeight="1">
      <c r="A195" s="965"/>
      <c r="B195" s="2372">
        <v>60017</v>
      </c>
      <c r="C195" s="1587" t="s">
        <v>510</v>
      </c>
      <c r="D195" s="1588"/>
      <c r="E195" s="1530">
        <f>SUM(E196,E205)</f>
        <v>200000</v>
      </c>
      <c r="F195" s="1530">
        <f>SUM(F196,F205)</f>
        <v>407500</v>
      </c>
      <c r="G195" s="1530"/>
      <c r="H195" s="1530">
        <f>SUM(H196,H205)</f>
        <v>0</v>
      </c>
      <c r="I195" s="1531">
        <f t="shared" ref="I195" si="23">H195/E195</f>
        <v>0</v>
      </c>
      <c r="J195" s="1530">
        <f>SUM(J196,J205)</f>
        <v>0</v>
      </c>
      <c r="K195" s="1530">
        <f>SUM(K196,K205)</f>
        <v>0</v>
      </c>
      <c r="L195" s="1531">
        <f>K195/E195</f>
        <v>0</v>
      </c>
      <c r="M195" s="2384"/>
    </row>
    <row r="196" spans="1:13" ht="13.5" customHeight="1">
      <c r="A196" s="965"/>
      <c r="B196" s="2373"/>
      <c r="C196" s="901" t="s">
        <v>18</v>
      </c>
      <c r="D196" s="1532"/>
      <c r="E196" s="1533">
        <f>SUM(E197,E200:E204)</f>
        <v>0</v>
      </c>
      <c r="F196" s="1533">
        <f>SUM(F197,F200:F204)</f>
        <v>100000</v>
      </c>
      <c r="G196" s="1533"/>
      <c r="H196" s="1533">
        <f>SUM(H197,H200:H204)</f>
        <v>0</v>
      </c>
      <c r="I196" s="1533"/>
      <c r="J196" s="1533">
        <f>SUM(J197,J200:J204)</f>
        <v>0</v>
      </c>
      <c r="K196" s="1533">
        <f>SUM(K197,K200:K204)</f>
        <v>0</v>
      </c>
      <c r="L196" s="1537"/>
      <c r="M196" s="2385"/>
    </row>
    <row r="197" spans="1:13" ht="13.5" customHeight="1">
      <c r="A197" s="965"/>
      <c r="B197" s="2373"/>
      <c r="C197" s="904" t="s">
        <v>19</v>
      </c>
      <c r="D197" s="1535"/>
      <c r="E197" s="1536"/>
      <c r="F197" s="1536"/>
      <c r="G197" s="1536"/>
      <c r="H197" s="1536"/>
      <c r="I197" s="1536"/>
      <c r="J197" s="1536"/>
      <c r="K197" s="1536"/>
      <c r="L197" s="1537"/>
      <c r="M197" s="2385"/>
    </row>
    <row r="198" spans="1:13" ht="13.5" customHeight="1">
      <c r="A198" s="965"/>
      <c r="B198" s="2373"/>
      <c r="C198" s="1527" t="s">
        <v>20</v>
      </c>
      <c r="D198" s="1535"/>
      <c r="E198" s="1536"/>
      <c r="F198" s="1536"/>
      <c r="G198" s="1536"/>
      <c r="H198" s="1536"/>
      <c r="I198" s="1536"/>
      <c r="J198" s="1536"/>
      <c r="K198" s="1536"/>
      <c r="L198" s="1537"/>
      <c r="M198" s="2385"/>
    </row>
    <row r="199" spans="1:13" ht="13.5" customHeight="1">
      <c r="A199" s="965"/>
      <c r="B199" s="2373"/>
      <c r="C199" s="405" t="s">
        <v>21</v>
      </c>
      <c r="D199" s="1538"/>
      <c r="E199" s="1536"/>
      <c r="F199" s="1536"/>
      <c r="G199" s="1536"/>
      <c r="H199" s="1536"/>
      <c r="I199" s="1536"/>
      <c r="J199" s="1536"/>
      <c r="K199" s="1536"/>
      <c r="L199" s="1537"/>
      <c r="M199" s="2385"/>
    </row>
    <row r="200" spans="1:13" ht="12.75" customHeight="1">
      <c r="A200" s="965"/>
      <c r="B200" s="2373"/>
      <c r="C200" s="404" t="s">
        <v>23</v>
      </c>
      <c r="D200" s="1535">
        <v>2710</v>
      </c>
      <c r="E200" s="1536">
        <v>0</v>
      </c>
      <c r="F200" s="1536">
        <v>100000</v>
      </c>
      <c r="G200" s="1536"/>
      <c r="H200" s="1536">
        <v>0</v>
      </c>
      <c r="I200" s="1536"/>
      <c r="J200" s="1536"/>
      <c r="K200" s="1536">
        <v>0</v>
      </c>
      <c r="L200" s="1537"/>
      <c r="M200" s="2385"/>
    </row>
    <row r="201" spans="1:13" ht="12.75" customHeight="1">
      <c r="A201" s="965"/>
      <c r="B201" s="2373"/>
      <c r="C201" s="904" t="s">
        <v>24</v>
      </c>
      <c r="D201" s="1535"/>
      <c r="E201" s="1536"/>
      <c r="F201" s="1536"/>
      <c r="G201" s="1536"/>
      <c r="H201" s="1536"/>
      <c r="I201" s="1536"/>
      <c r="J201" s="1536"/>
      <c r="K201" s="1536"/>
      <c r="L201" s="1537"/>
      <c r="M201" s="2385"/>
    </row>
    <row r="202" spans="1:13" ht="25.5" customHeight="1">
      <c r="A202" s="965"/>
      <c r="B202" s="2373"/>
      <c r="C202" s="1395" t="s">
        <v>506</v>
      </c>
      <c r="D202" s="1538"/>
      <c r="E202" s="1536"/>
      <c r="F202" s="1536"/>
      <c r="G202" s="1536"/>
      <c r="H202" s="1536"/>
      <c r="I202" s="1536"/>
      <c r="J202" s="1536"/>
      <c r="K202" s="1536"/>
      <c r="L202" s="1537"/>
      <c r="M202" s="2385"/>
    </row>
    <row r="203" spans="1:13" ht="12.75" customHeight="1">
      <c r="A203" s="965"/>
      <c r="B203" s="2373"/>
      <c r="C203" s="1707" t="s">
        <v>26</v>
      </c>
      <c r="D203" s="1708"/>
      <c r="E203" s="1709"/>
      <c r="F203" s="1709"/>
      <c r="G203" s="1709"/>
      <c r="H203" s="1709"/>
      <c r="I203" s="1709"/>
      <c r="J203" s="1709"/>
      <c r="K203" s="1709"/>
      <c r="L203" s="1710"/>
      <c r="M203" s="2385"/>
    </row>
    <row r="204" spans="1:13" ht="12.75" customHeight="1">
      <c r="A204" s="965"/>
      <c r="B204" s="2373"/>
      <c r="C204" s="904" t="s">
        <v>27</v>
      </c>
      <c r="D204" s="1535"/>
      <c r="E204" s="1536"/>
      <c r="F204" s="1536"/>
      <c r="G204" s="1536"/>
      <c r="H204" s="1536"/>
      <c r="I204" s="1536"/>
      <c r="J204" s="1536"/>
      <c r="K204" s="1536"/>
      <c r="L204" s="1537"/>
      <c r="M204" s="2385"/>
    </row>
    <row r="205" spans="1:13" ht="12.75" customHeight="1">
      <c r="A205" s="965"/>
      <c r="B205" s="2373"/>
      <c r="C205" s="911" t="s">
        <v>28</v>
      </c>
      <c r="D205" s="1544"/>
      <c r="E205" s="1533">
        <f>SUM(E206)</f>
        <v>200000</v>
      </c>
      <c r="F205" s="1533">
        <f>SUM(F206)</f>
        <v>307500</v>
      </c>
      <c r="G205" s="1533"/>
      <c r="H205" s="1533">
        <f>SUM(H206)</f>
        <v>0</v>
      </c>
      <c r="I205" s="1534">
        <f t="shared" ref="I205:I206" si="24">H205/E205</f>
        <v>0</v>
      </c>
      <c r="J205" s="1533">
        <f>SUM(J206)</f>
        <v>0</v>
      </c>
      <c r="K205" s="1533">
        <f>SUM(K206)</f>
        <v>0</v>
      </c>
      <c r="L205" s="1534">
        <f>K205/E205</f>
        <v>0</v>
      </c>
      <c r="M205" s="2385"/>
    </row>
    <row r="206" spans="1:13" ht="12.75" customHeight="1">
      <c r="A206" s="965"/>
      <c r="B206" s="2373"/>
      <c r="C206" s="904" t="s">
        <v>29</v>
      </c>
      <c r="D206" s="1535">
        <v>6050</v>
      </c>
      <c r="E206" s="1536">
        <v>200000</v>
      </c>
      <c r="F206" s="1536">
        <v>307500</v>
      </c>
      <c r="G206" s="1536"/>
      <c r="H206" s="1536">
        <v>0</v>
      </c>
      <c r="I206" s="1537">
        <f t="shared" si="24"/>
        <v>0</v>
      </c>
      <c r="J206" s="1536">
        <v>0</v>
      </c>
      <c r="K206" s="1536">
        <f>H206+J206</f>
        <v>0</v>
      </c>
      <c r="L206" s="1537">
        <f>K206/E206</f>
        <v>0</v>
      </c>
      <c r="M206" s="2385"/>
    </row>
    <row r="207" spans="1:13" ht="24.75" customHeight="1">
      <c r="A207" s="965"/>
      <c r="B207" s="2373"/>
      <c r="C207" s="910" t="s">
        <v>30</v>
      </c>
      <c r="D207" s="1538"/>
      <c r="E207" s="1536"/>
      <c r="F207" s="1536"/>
      <c r="G207" s="1536"/>
      <c r="H207" s="1536"/>
      <c r="I207" s="1536"/>
      <c r="J207" s="1536"/>
      <c r="K207" s="1536"/>
      <c r="L207" s="1537"/>
      <c r="M207" s="2385"/>
    </row>
    <row r="208" spans="1:13" ht="12.75" customHeight="1">
      <c r="A208" s="965"/>
      <c r="B208" s="2373"/>
      <c r="C208" s="904" t="s">
        <v>31</v>
      </c>
      <c r="D208" s="1535"/>
      <c r="E208" s="1536"/>
      <c r="F208" s="1536"/>
      <c r="G208" s="1536"/>
      <c r="H208" s="1536"/>
      <c r="I208" s="1536"/>
      <c r="J208" s="1536"/>
      <c r="K208" s="1536"/>
      <c r="L208" s="1537"/>
      <c r="M208" s="2385"/>
    </row>
    <row r="209" spans="1:13" ht="12.75" customHeight="1">
      <c r="A209" s="1735"/>
      <c r="B209" s="2374"/>
      <c r="C209" s="904" t="s">
        <v>32</v>
      </c>
      <c r="D209" s="1535"/>
      <c r="E209" s="1536"/>
      <c r="F209" s="1536"/>
      <c r="G209" s="1536"/>
      <c r="H209" s="1536"/>
      <c r="I209" s="1536"/>
      <c r="J209" s="1536"/>
      <c r="K209" s="1536"/>
      <c r="L209" s="1537"/>
      <c r="M209" s="2386"/>
    </row>
    <row r="210" spans="1:13" s="951" customFormat="1" ht="15" customHeight="1">
      <c r="A210" s="2363"/>
      <c r="B210" s="2365">
        <v>60078</v>
      </c>
      <c r="C210" s="952" t="s">
        <v>454</v>
      </c>
      <c r="D210" s="953"/>
      <c r="E210" s="954">
        <f>SUM(E211+E220)</f>
        <v>78773155</v>
      </c>
      <c r="F210" s="954">
        <f>SUM(F211+F220)</f>
        <v>87925890</v>
      </c>
      <c r="G210" s="954"/>
      <c r="H210" s="954">
        <f>SUM(H211+H220)</f>
        <v>0</v>
      </c>
      <c r="I210" s="1589"/>
      <c r="J210" s="954">
        <f>SUM(J211+J220)</f>
        <v>0</v>
      </c>
      <c r="K210" s="954">
        <f>SUM(K211+K220)</f>
        <v>0</v>
      </c>
      <c r="L210" s="1549">
        <f>K210/E210</f>
        <v>0</v>
      </c>
      <c r="M210" s="2367"/>
    </row>
    <row r="211" spans="1:13" s="951" customFormat="1" ht="12.75">
      <c r="A211" s="2363"/>
      <c r="B211" s="2365"/>
      <c r="C211" s="1590" t="s">
        <v>18</v>
      </c>
      <c r="D211" s="1591"/>
      <c r="E211" s="1592">
        <f>SUM(E212+E215+E216+E217+E218+E219)</f>
        <v>0</v>
      </c>
      <c r="F211" s="1592">
        <f>SUM(F212+F215+F216+F217+F218+F219)</f>
        <v>0</v>
      </c>
      <c r="G211" s="1592"/>
      <c r="H211" s="1592">
        <f>SUM(H212+H215+H216+H217+H218+H219)</f>
        <v>0</v>
      </c>
      <c r="I211" s="1593"/>
      <c r="J211" s="1592">
        <f>SUM(J212+J215+J216+J217+J218+J219)</f>
        <v>0</v>
      </c>
      <c r="K211" s="1592">
        <f>SUM(K212+K215+K216+K217+K218+K219)</f>
        <v>0</v>
      </c>
      <c r="L211" s="1537"/>
      <c r="M211" s="2367"/>
    </row>
    <row r="212" spans="1:13" s="951" customFormat="1" ht="12.75">
      <c r="A212" s="2363"/>
      <c r="B212" s="2365"/>
      <c r="C212" s="1594" t="s">
        <v>19</v>
      </c>
      <c r="D212" s="1595"/>
      <c r="E212" s="1585">
        <f>SUM(E213+E214)</f>
        <v>0</v>
      </c>
      <c r="F212" s="1585">
        <f>SUM(F213+F214)</f>
        <v>0</v>
      </c>
      <c r="G212" s="1585"/>
      <c r="H212" s="1585">
        <f>SUM(H213+H214)</f>
        <v>0</v>
      </c>
      <c r="I212" s="1596"/>
      <c r="J212" s="1585">
        <f>SUM(J213+J214)</f>
        <v>0</v>
      </c>
      <c r="K212" s="1585">
        <f>SUM(K213+K214)</f>
        <v>0</v>
      </c>
      <c r="L212" s="1537"/>
      <c r="M212" s="2367"/>
    </row>
    <row r="213" spans="1:13" s="951" customFormat="1" ht="20.45" customHeight="1">
      <c r="A213" s="2363"/>
      <c r="B213" s="2365"/>
      <c r="C213" s="1597" t="s">
        <v>20</v>
      </c>
      <c r="D213" s="1595"/>
      <c r="E213" s="1592"/>
      <c r="F213" s="1585"/>
      <c r="G213" s="1585"/>
      <c r="H213" s="1585"/>
      <c r="I213" s="1598"/>
      <c r="J213" s="1585"/>
      <c r="K213" s="1585"/>
      <c r="L213" s="1537"/>
      <c r="M213" s="2367"/>
    </row>
    <row r="214" spans="1:13" s="951" customFormat="1" ht="12.75">
      <c r="A214" s="2363"/>
      <c r="B214" s="2365"/>
      <c r="C214" s="967" t="s">
        <v>21</v>
      </c>
      <c r="D214" s="1584"/>
      <c r="E214" s="1585"/>
      <c r="F214" s="1585"/>
      <c r="G214" s="1585"/>
      <c r="H214" s="1585"/>
      <c r="I214" s="1598"/>
      <c r="J214" s="1585"/>
      <c r="K214" s="1585"/>
      <c r="L214" s="1537"/>
      <c r="M214" s="2367"/>
    </row>
    <row r="215" spans="1:13" s="951" customFormat="1" ht="12.75">
      <c r="A215" s="2363"/>
      <c r="B215" s="2365"/>
      <c r="C215" s="968" t="s">
        <v>23</v>
      </c>
      <c r="D215" s="1595"/>
      <c r="E215" s="1585">
        <v>0</v>
      </c>
      <c r="F215" s="1585"/>
      <c r="G215" s="1585"/>
      <c r="H215" s="1585">
        <v>0</v>
      </c>
      <c r="I215" s="1598"/>
      <c r="J215" s="1585"/>
      <c r="K215" s="1585"/>
      <c r="L215" s="1537"/>
      <c r="M215" s="2367"/>
    </row>
    <row r="216" spans="1:13" s="951" customFormat="1" ht="12.75">
      <c r="A216" s="2363"/>
      <c r="B216" s="2365"/>
      <c r="C216" s="1594" t="s">
        <v>24</v>
      </c>
      <c r="D216" s="1595"/>
      <c r="E216" s="1592"/>
      <c r="F216" s="1585"/>
      <c r="G216" s="1585"/>
      <c r="H216" s="1585"/>
      <c r="I216" s="1598"/>
      <c r="J216" s="1585"/>
      <c r="K216" s="1585"/>
      <c r="L216" s="1537"/>
      <c r="M216" s="2367"/>
    </row>
    <row r="217" spans="1:13" s="951" customFormat="1" ht="22.5">
      <c r="A217" s="2363"/>
      <c r="B217" s="2365"/>
      <c r="C217" s="967" t="s">
        <v>506</v>
      </c>
      <c r="D217" s="1584"/>
      <c r="E217" s="1585"/>
      <c r="F217" s="1585"/>
      <c r="G217" s="1585"/>
      <c r="H217" s="1585"/>
      <c r="I217" s="1598"/>
      <c r="J217" s="1585"/>
      <c r="K217" s="1585"/>
      <c r="L217" s="1537"/>
      <c r="M217" s="2367"/>
    </row>
    <row r="218" spans="1:13" ht="12.75">
      <c r="A218" s="2363"/>
      <c r="B218" s="2365"/>
      <c r="C218" s="904" t="s">
        <v>26</v>
      </c>
      <c r="D218" s="1535"/>
      <c r="E218" s="1533"/>
      <c r="F218" s="1536"/>
      <c r="G218" s="1536"/>
      <c r="H218" s="1536"/>
      <c r="I218" s="1565"/>
      <c r="J218" s="1536"/>
      <c r="K218" s="1536"/>
      <c r="L218" s="1537"/>
      <c r="M218" s="2367"/>
    </row>
    <row r="219" spans="1:13" ht="12.75">
      <c r="A219" s="2363"/>
      <c r="B219" s="2365"/>
      <c r="C219" s="904" t="s">
        <v>27</v>
      </c>
      <c r="D219" s="1535"/>
      <c r="E219" s="1533"/>
      <c r="F219" s="1536"/>
      <c r="G219" s="1536"/>
      <c r="H219" s="1536"/>
      <c r="I219" s="1565"/>
      <c r="J219" s="1536"/>
      <c r="K219" s="1536"/>
      <c r="L219" s="1537"/>
      <c r="M219" s="2367"/>
    </row>
    <row r="220" spans="1:13" ht="12.75">
      <c r="A220" s="2363"/>
      <c r="B220" s="2365"/>
      <c r="C220" s="911" t="s">
        <v>28</v>
      </c>
      <c r="D220" s="1544"/>
      <c r="E220" s="1533">
        <f>SUM(E221+E223+E224)</f>
        <v>78773155</v>
      </c>
      <c r="F220" s="1533">
        <f>SUM(F221+F223+F224)</f>
        <v>87925890</v>
      </c>
      <c r="G220" s="1533"/>
      <c r="H220" s="1533">
        <f>SUM(H221+H223+H224)</f>
        <v>0</v>
      </c>
      <c r="I220" s="1599"/>
      <c r="J220" s="1533">
        <f>SUM(J221+J223+J224)</f>
        <v>0</v>
      </c>
      <c r="K220" s="1533">
        <f>SUM(K221+K222)</f>
        <v>0</v>
      </c>
      <c r="L220" s="1534">
        <f>K220/E220</f>
        <v>0</v>
      </c>
      <c r="M220" s="2367"/>
    </row>
    <row r="221" spans="1:13" ht="12.75">
      <c r="A221" s="2363"/>
      <c r="B221" s="2365"/>
      <c r="C221" s="904" t="s">
        <v>29</v>
      </c>
      <c r="D221" s="1535">
        <v>6050</v>
      </c>
      <c r="E221" s="1536">
        <v>78773155</v>
      </c>
      <c r="F221" s="1536">
        <v>87925890</v>
      </c>
      <c r="G221" s="1536"/>
      <c r="H221" s="1536">
        <v>0</v>
      </c>
      <c r="I221" s="1600"/>
      <c r="J221" s="1536"/>
      <c r="K221" s="1536">
        <f>H221+J221</f>
        <v>0</v>
      </c>
      <c r="L221" s="1537">
        <f>K221/E221</f>
        <v>0</v>
      </c>
      <c r="M221" s="2367"/>
    </row>
    <row r="222" spans="1:13" ht="24.75" customHeight="1">
      <c r="A222" s="2363"/>
      <c r="B222" s="2365"/>
      <c r="C222" s="910" t="s">
        <v>30</v>
      </c>
      <c r="D222" s="1538"/>
      <c r="E222" s="1533"/>
      <c r="F222" s="1536"/>
      <c r="G222" s="1536"/>
      <c r="H222" s="1536"/>
      <c r="I222" s="1565"/>
      <c r="J222" s="1536"/>
      <c r="K222" s="1536"/>
      <c r="L222" s="1537"/>
      <c r="M222" s="2367"/>
    </row>
    <row r="223" spans="1:13" ht="12.75">
      <c r="A223" s="2363"/>
      <c r="B223" s="2365"/>
      <c r="C223" s="904" t="s">
        <v>31</v>
      </c>
      <c r="D223" s="1535"/>
      <c r="E223" s="1533"/>
      <c r="F223" s="1536"/>
      <c r="G223" s="1536"/>
      <c r="H223" s="1536"/>
      <c r="I223" s="1565"/>
      <c r="J223" s="1536"/>
      <c r="K223" s="1536"/>
      <c r="L223" s="1537"/>
      <c r="M223" s="2367"/>
    </row>
    <row r="224" spans="1:13" ht="12.75">
      <c r="A224" s="2363"/>
      <c r="B224" s="2382"/>
      <c r="C224" s="904" t="s">
        <v>32</v>
      </c>
      <c r="D224" s="1535"/>
      <c r="E224" s="1533"/>
      <c r="F224" s="1533"/>
      <c r="G224" s="1533"/>
      <c r="H224" s="1533"/>
      <c r="I224" s="1565"/>
      <c r="J224" s="1533"/>
      <c r="K224" s="1536"/>
      <c r="L224" s="1537"/>
      <c r="M224" s="2383"/>
    </row>
    <row r="225" spans="1:13" ht="12.75">
      <c r="A225" s="2363"/>
      <c r="B225" s="2372">
        <v>60095</v>
      </c>
      <c r="C225" s="1587" t="s">
        <v>17</v>
      </c>
      <c r="D225" s="1601"/>
      <c r="E225" s="1530">
        <f>SUM(E226,E235)</f>
        <v>165000</v>
      </c>
      <c r="F225" s="1530">
        <f>SUM(F226,F235)</f>
        <v>165000</v>
      </c>
      <c r="G225" s="1530"/>
      <c r="H225" s="1530">
        <f>SUM(H226,H235)</f>
        <v>160000</v>
      </c>
      <c r="I225" s="1531">
        <f t="shared" ref="I225:I229" si="25">H225/E225</f>
        <v>0.96969696969696972</v>
      </c>
      <c r="J225" s="1530">
        <f>SUM(J226,J235)</f>
        <v>13000</v>
      </c>
      <c r="K225" s="1530">
        <f>SUM(K226,K235)</f>
        <v>173000</v>
      </c>
      <c r="L225" s="1531">
        <f>K225/E225</f>
        <v>1.0484848484848486</v>
      </c>
      <c r="M225" s="2375" t="s">
        <v>511</v>
      </c>
    </row>
    <row r="226" spans="1:13" ht="12.75">
      <c r="A226" s="2363"/>
      <c r="B226" s="2373"/>
      <c r="C226" s="901" t="s">
        <v>18</v>
      </c>
      <c r="D226" s="1535"/>
      <c r="E226" s="1533">
        <f>SUM(E227,E230:E234)</f>
        <v>165000</v>
      </c>
      <c r="F226" s="1533">
        <f>SUM(F227,F230:F234)</f>
        <v>165000</v>
      </c>
      <c r="G226" s="1533"/>
      <c r="H226" s="1533">
        <f>SUM(H227,H230:H234)</f>
        <v>160000</v>
      </c>
      <c r="I226" s="1534">
        <f t="shared" si="25"/>
        <v>0.96969696969696972</v>
      </c>
      <c r="J226" s="1533">
        <f>SUM(J227,J230:J234)</f>
        <v>13000</v>
      </c>
      <c r="K226" s="1533">
        <f>SUM(K227,K230:K234)</f>
        <v>173000</v>
      </c>
      <c r="L226" s="1534">
        <f>K226/E226</f>
        <v>1.0484848484848486</v>
      </c>
      <c r="M226" s="2376"/>
    </row>
    <row r="227" spans="1:13" ht="12.75">
      <c r="A227" s="2363"/>
      <c r="B227" s="2373"/>
      <c r="C227" s="904" t="s">
        <v>19</v>
      </c>
      <c r="D227" s="1535"/>
      <c r="E227" s="1536">
        <f>SUM(E228:E229)</f>
        <v>165000</v>
      </c>
      <c r="F227" s="1536">
        <f>SUM(F228:F229)</f>
        <v>165000</v>
      </c>
      <c r="G227" s="1536"/>
      <c r="H227" s="1536">
        <f>SUM(H228:H229)</f>
        <v>160000</v>
      </c>
      <c r="I227" s="1537">
        <f t="shared" si="25"/>
        <v>0.96969696969696972</v>
      </c>
      <c r="J227" s="1536">
        <f>SUM(J228:J229)</f>
        <v>13000</v>
      </c>
      <c r="K227" s="1536">
        <f>SUM(K228:K229)</f>
        <v>173000</v>
      </c>
      <c r="L227" s="1537">
        <f>K227/E227</f>
        <v>1.0484848484848486</v>
      </c>
      <c r="M227" s="2376"/>
    </row>
    <row r="228" spans="1:13" ht="12.75">
      <c r="A228" s="2363"/>
      <c r="B228" s="2373"/>
      <c r="C228" s="1527" t="s">
        <v>20</v>
      </c>
      <c r="D228" s="1535"/>
      <c r="E228" s="1536"/>
      <c r="F228" s="1536"/>
      <c r="G228" s="1536"/>
      <c r="H228" s="1536"/>
      <c r="I228" s="1536"/>
      <c r="J228" s="1536"/>
      <c r="K228" s="1536"/>
      <c r="L228" s="1537"/>
      <c r="M228" s="2376"/>
    </row>
    <row r="229" spans="1:13" ht="12.75">
      <c r="A229" s="2363"/>
      <c r="B229" s="2373"/>
      <c r="C229" s="1395" t="s">
        <v>21</v>
      </c>
      <c r="D229" s="1535">
        <v>4300</v>
      </c>
      <c r="E229" s="1536">
        <v>165000</v>
      </c>
      <c r="F229" s="1536">
        <v>165000</v>
      </c>
      <c r="G229" s="1536"/>
      <c r="H229" s="1536">
        <v>160000</v>
      </c>
      <c r="I229" s="1537">
        <f t="shared" si="25"/>
        <v>0.96969696969696972</v>
      </c>
      <c r="J229" s="1536">
        <v>13000</v>
      </c>
      <c r="K229" s="1536">
        <f>H229+J229</f>
        <v>173000</v>
      </c>
      <c r="L229" s="1537">
        <f>K229/E229</f>
        <v>1.0484848484848486</v>
      </c>
      <c r="M229" s="2376"/>
    </row>
    <row r="230" spans="1:13" ht="12.75">
      <c r="A230" s="2363"/>
      <c r="B230" s="2373"/>
      <c r="C230" s="169" t="s">
        <v>23</v>
      </c>
      <c r="D230" s="1535"/>
      <c r="E230" s="1536"/>
      <c r="F230" s="1536"/>
      <c r="G230" s="1536"/>
      <c r="H230" s="1536"/>
      <c r="I230" s="1536"/>
      <c r="J230" s="1536"/>
      <c r="K230" s="1536"/>
      <c r="L230" s="1537"/>
      <c r="M230" s="2376"/>
    </row>
    <row r="231" spans="1:13" ht="12.75">
      <c r="A231" s="2363"/>
      <c r="B231" s="2373"/>
      <c r="C231" s="904" t="s">
        <v>24</v>
      </c>
      <c r="D231" s="1535"/>
      <c r="E231" s="1536"/>
      <c r="F231" s="1536"/>
      <c r="G231" s="1536"/>
      <c r="H231" s="1536"/>
      <c r="I231" s="1536"/>
      <c r="J231" s="1536"/>
      <c r="K231" s="1536"/>
      <c r="L231" s="1537"/>
      <c r="M231" s="2376"/>
    </row>
    <row r="232" spans="1:13" ht="22.5">
      <c r="A232" s="2363"/>
      <c r="B232" s="2373"/>
      <c r="C232" s="174" t="s">
        <v>506</v>
      </c>
      <c r="D232" s="1535"/>
      <c r="E232" s="1536"/>
      <c r="F232" s="1536"/>
      <c r="G232" s="1536"/>
      <c r="H232" s="1536"/>
      <c r="I232" s="1536"/>
      <c r="J232" s="1536"/>
      <c r="K232" s="1536"/>
      <c r="L232" s="1537"/>
      <c r="M232" s="2376"/>
    </row>
    <row r="233" spans="1:13" ht="12.75">
      <c r="A233" s="2363"/>
      <c r="B233" s="2373"/>
      <c r="C233" s="904" t="s">
        <v>26</v>
      </c>
      <c r="D233" s="1535"/>
      <c r="E233" s="1536"/>
      <c r="F233" s="1536"/>
      <c r="G233" s="1536"/>
      <c r="H233" s="1536"/>
      <c r="I233" s="1536"/>
      <c r="J233" s="1536"/>
      <c r="K233" s="1536"/>
      <c r="L233" s="1537"/>
      <c r="M233" s="2376"/>
    </row>
    <row r="234" spans="1:13" ht="12.75">
      <c r="A234" s="2363"/>
      <c r="B234" s="2373"/>
      <c r="C234" s="904" t="s">
        <v>27</v>
      </c>
      <c r="D234" s="1535"/>
      <c r="E234" s="1536"/>
      <c r="F234" s="1536"/>
      <c r="G234" s="1536"/>
      <c r="H234" s="1536"/>
      <c r="I234" s="1536"/>
      <c r="J234" s="1536"/>
      <c r="K234" s="1536"/>
      <c r="L234" s="1537"/>
      <c r="M234" s="2376"/>
    </row>
    <row r="235" spans="1:13" ht="12.75">
      <c r="A235" s="2363"/>
      <c r="B235" s="2373"/>
      <c r="C235" s="911" t="s">
        <v>28</v>
      </c>
      <c r="D235" s="1535"/>
      <c r="E235" s="1533">
        <v>0</v>
      </c>
      <c r="F235" s="1533">
        <v>0</v>
      </c>
      <c r="G235" s="1533"/>
      <c r="H235" s="1533"/>
      <c r="I235" s="1533"/>
      <c r="J235" s="1533"/>
      <c r="K235" s="1533">
        <v>0</v>
      </c>
      <c r="L235" s="1537"/>
      <c r="M235" s="2376"/>
    </row>
    <row r="236" spans="1:13" ht="12.75">
      <c r="A236" s="2363"/>
      <c r="B236" s="2373"/>
      <c r="C236" s="904" t="s">
        <v>29</v>
      </c>
      <c r="D236" s="1535"/>
      <c r="E236" s="1536"/>
      <c r="F236" s="1536"/>
      <c r="G236" s="1536"/>
      <c r="H236" s="1536"/>
      <c r="I236" s="1536"/>
      <c r="J236" s="1536"/>
      <c r="K236" s="1536"/>
      <c r="L236" s="1537"/>
      <c r="M236" s="2376"/>
    </row>
    <row r="237" spans="1:13" ht="22.5">
      <c r="A237" s="2363"/>
      <c r="B237" s="2373"/>
      <c r="C237" s="910" t="s">
        <v>30</v>
      </c>
      <c r="D237" s="1535"/>
      <c r="E237" s="1536"/>
      <c r="F237" s="1536"/>
      <c r="G237" s="1536"/>
      <c r="H237" s="1536"/>
      <c r="I237" s="1536"/>
      <c r="J237" s="1536"/>
      <c r="K237" s="1536"/>
      <c r="L237" s="1537"/>
      <c r="M237" s="2376"/>
    </row>
    <row r="238" spans="1:13" ht="12.75">
      <c r="A238" s="2363"/>
      <c r="B238" s="2373"/>
      <c r="C238" s="904" t="s">
        <v>31</v>
      </c>
      <c r="D238" s="1535"/>
      <c r="E238" s="1536"/>
      <c r="F238" s="1536"/>
      <c r="G238" s="1536"/>
      <c r="H238" s="1536"/>
      <c r="I238" s="1536"/>
      <c r="J238" s="1536"/>
      <c r="K238" s="1536"/>
      <c r="L238" s="1537"/>
      <c r="M238" s="2376"/>
    </row>
    <row r="239" spans="1:13" ht="13.5" thickBot="1">
      <c r="A239" s="2364"/>
      <c r="B239" s="2366"/>
      <c r="C239" s="1724" t="s">
        <v>32</v>
      </c>
      <c r="D239" s="1727"/>
      <c r="E239" s="1728"/>
      <c r="F239" s="1728"/>
      <c r="G239" s="1728"/>
      <c r="H239" s="1728"/>
      <c r="I239" s="1728"/>
      <c r="J239" s="1728"/>
      <c r="K239" s="1728"/>
      <c r="L239" s="1729"/>
      <c r="M239" s="2377"/>
    </row>
    <row r="240" spans="1:13" ht="13.5" customHeight="1">
      <c r="A240" s="969" t="s">
        <v>57</v>
      </c>
      <c r="B240" s="1730"/>
      <c r="C240" s="655" t="s">
        <v>58</v>
      </c>
      <c r="D240" s="1731"/>
      <c r="E240" s="1732">
        <f t="shared" ref="E240:H241" si="26">SUM(E241)</f>
        <v>10000</v>
      </c>
      <c r="F240" s="1732">
        <f t="shared" si="26"/>
        <v>10000</v>
      </c>
      <c r="G240" s="1732"/>
      <c r="H240" s="1732">
        <f t="shared" si="26"/>
        <v>10000</v>
      </c>
      <c r="I240" s="1733">
        <f>H240/E240</f>
        <v>1</v>
      </c>
      <c r="J240" s="1732">
        <f>SUM(J241)</f>
        <v>0</v>
      </c>
      <c r="K240" s="1732">
        <f>SUM(K241)</f>
        <v>10000</v>
      </c>
      <c r="L240" s="1733">
        <f>K240/E240</f>
        <v>1</v>
      </c>
      <c r="M240" s="972" t="s">
        <v>512</v>
      </c>
    </row>
    <row r="241" spans="1:13" ht="12.75" customHeight="1">
      <c r="A241" s="2380"/>
      <c r="B241" s="2372">
        <v>63095</v>
      </c>
      <c r="C241" s="1587" t="s">
        <v>17</v>
      </c>
      <c r="D241" s="1601"/>
      <c r="E241" s="1530">
        <f t="shared" si="26"/>
        <v>10000</v>
      </c>
      <c r="F241" s="1530">
        <f t="shared" si="26"/>
        <v>10000</v>
      </c>
      <c r="G241" s="1530"/>
      <c r="H241" s="1530">
        <f t="shared" si="26"/>
        <v>10000</v>
      </c>
      <c r="I241" s="1531">
        <f t="shared" ref="I241:I245" si="27">H241/E241</f>
        <v>1</v>
      </c>
      <c r="J241" s="1530">
        <f>SUM(J242)</f>
        <v>0</v>
      </c>
      <c r="K241" s="1530">
        <f>SUM(K242)</f>
        <v>10000</v>
      </c>
      <c r="L241" s="1531">
        <f>K241/E241</f>
        <v>1</v>
      </c>
      <c r="M241" s="2375" t="s">
        <v>513</v>
      </c>
    </row>
    <row r="242" spans="1:13" ht="12.75" customHeight="1">
      <c r="A242" s="2363"/>
      <c r="B242" s="2373"/>
      <c r="C242" s="901" t="s">
        <v>18</v>
      </c>
      <c r="D242" s="1535"/>
      <c r="E242" s="1533">
        <f>SUM(E243,E246:E250)</f>
        <v>10000</v>
      </c>
      <c r="F242" s="1533">
        <f>SUM(F243,F246:F250)</f>
        <v>10000</v>
      </c>
      <c r="G242" s="1533"/>
      <c r="H242" s="1533">
        <f>SUM(H243,H246:H250)</f>
        <v>10000</v>
      </c>
      <c r="I242" s="1534">
        <f t="shared" si="27"/>
        <v>1</v>
      </c>
      <c r="J242" s="1533">
        <f>SUM(J243,J246:J250)</f>
        <v>0</v>
      </c>
      <c r="K242" s="1533">
        <f>SUM(K243,K246:K250)</f>
        <v>10000</v>
      </c>
      <c r="L242" s="1534">
        <f>K242/E242</f>
        <v>1</v>
      </c>
      <c r="M242" s="2378"/>
    </row>
    <row r="243" spans="1:13" ht="12.75" customHeight="1">
      <c r="A243" s="2363"/>
      <c r="B243" s="2373"/>
      <c r="C243" s="904" t="s">
        <v>19</v>
      </c>
      <c r="D243" s="1535"/>
      <c r="E243" s="1536">
        <f>SUM(E244:E245)</f>
        <v>10000</v>
      </c>
      <c r="F243" s="1536">
        <f>SUM(F244:F245)</f>
        <v>10000</v>
      </c>
      <c r="G243" s="1536"/>
      <c r="H243" s="1536">
        <f>SUM(H244:H245)</f>
        <v>10000</v>
      </c>
      <c r="I243" s="1537">
        <f t="shared" si="27"/>
        <v>1</v>
      </c>
      <c r="J243" s="1536">
        <f>SUM(J244:J245)</f>
        <v>0</v>
      </c>
      <c r="K243" s="1536">
        <f>SUM(K244:K245)</f>
        <v>10000</v>
      </c>
      <c r="L243" s="1537">
        <f>K243/E243</f>
        <v>1</v>
      </c>
      <c r="M243" s="2378"/>
    </row>
    <row r="244" spans="1:13" ht="12.75" customHeight="1">
      <c r="A244" s="2363"/>
      <c r="B244" s="2373"/>
      <c r="C244" s="404" t="s">
        <v>20</v>
      </c>
      <c r="D244" s="1535"/>
      <c r="E244" s="1536"/>
      <c r="F244" s="1536"/>
      <c r="G244" s="1536"/>
      <c r="H244" s="1536"/>
      <c r="I244" s="1536"/>
      <c r="J244" s="1536"/>
      <c r="K244" s="1536"/>
      <c r="L244" s="1537"/>
      <c r="M244" s="2378"/>
    </row>
    <row r="245" spans="1:13" ht="12.75" customHeight="1">
      <c r="A245" s="2363"/>
      <c r="B245" s="2373"/>
      <c r="C245" s="405" t="s">
        <v>21</v>
      </c>
      <c r="D245" s="1535">
        <v>4300</v>
      </c>
      <c r="E245" s="1536">
        <v>10000</v>
      </c>
      <c r="F245" s="1536">
        <v>10000</v>
      </c>
      <c r="G245" s="1536"/>
      <c r="H245" s="1536">
        <v>10000</v>
      </c>
      <c r="I245" s="1537">
        <f t="shared" si="27"/>
        <v>1</v>
      </c>
      <c r="J245" s="1536">
        <v>0</v>
      </c>
      <c r="K245" s="1536">
        <f>H245+J245</f>
        <v>10000</v>
      </c>
      <c r="L245" s="1537">
        <f>K245/E245</f>
        <v>1</v>
      </c>
      <c r="M245" s="2378"/>
    </row>
    <row r="246" spans="1:13" ht="12.75" customHeight="1">
      <c r="A246" s="2363"/>
      <c r="B246" s="2373"/>
      <c r="C246" s="169" t="s">
        <v>23</v>
      </c>
      <c r="D246" s="1535"/>
      <c r="E246" s="1536"/>
      <c r="F246" s="1536"/>
      <c r="G246" s="1536"/>
      <c r="H246" s="1536"/>
      <c r="I246" s="1536"/>
      <c r="J246" s="1536"/>
      <c r="K246" s="1536"/>
      <c r="L246" s="1537"/>
      <c r="M246" s="2378"/>
    </row>
    <row r="247" spans="1:13" ht="12.75" customHeight="1">
      <c r="A247" s="2363"/>
      <c r="B247" s="2373"/>
      <c r="C247" s="904" t="s">
        <v>24</v>
      </c>
      <c r="D247" s="1535"/>
      <c r="E247" s="1536"/>
      <c r="F247" s="1536"/>
      <c r="G247" s="1536"/>
      <c r="H247" s="1536"/>
      <c r="I247" s="1536"/>
      <c r="J247" s="1536"/>
      <c r="K247" s="1536"/>
      <c r="L247" s="1537"/>
      <c r="M247" s="2378"/>
    </row>
    <row r="248" spans="1:13" ht="30.75" customHeight="1">
      <c r="A248" s="2363"/>
      <c r="B248" s="2373"/>
      <c r="C248" s="1395" t="s">
        <v>25</v>
      </c>
      <c r="D248" s="1535"/>
      <c r="E248" s="1536"/>
      <c r="F248" s="1536"/>
      <c r="G248" s="1536"/>
      <c r="H248" s="1536"/>
      <c r="I248" s="1536"/>
      <c r="J248" s="1536"/>
      <c r="K248" s="1536"/>
      <c r="L248" s="1537"/>
      <c r="M248" s="2378"/>
    </row>
    <row r="249" spans="1:13" ht="12.75" customHeight="1">
      <c r="A249" s="2363"/>
      <c r="B249" s="2373"/>
      <c r="C249" s="1701" t="s">
        <v>26</v>
      </c>
      <c r="D249" s="1703"/>
      <c r="E249" s="1704"/>
      <c r="F249" s="1704"/>
      <c r="G249" s="1704"/>
      <c r="H249" s="1704"/>
      <c r="I249" s="1704"/>
      <c r="J249" s="1704"/>
      <c r="K249" s="1704"/>
      <c r="L249" s="1705"/>
      <c r="M249" s="2378"/>
    </row>
    <row r="250" spans="1:13" ht="12.75" customHeight="1">
      <c r="A250" s="2363"/>
      <c r="B250" s="2373"/>
      <c r="C250" s="904" t="s">
        <v>27</v>
      </c>
      <c r="D250" s="1535"/>
      <c r="E250" s="1536"/>
      <c r="F250" s="1536"/>
      <c r="G250" s="1536"/>
      <c r="H250" s="1536"/>
      <c r="I250" s="1536"/>
      <c r="J250" s="1536"/>
      <c r="K250" s="1536"/>
      <c r="L250" s="1537"/>
      <c r="M250" s="2378"/>
    </row>
    <row r="251" spans="1:13" ht="12.75" customHeight="1">
      <c r="A251" s="2363"/>
      <c r="B251" s="2373"/>
      <c r="C251" s="911" t="s">
        <v>28</v>
      </c>
      <c r="D251" s="1535"/>
      <c r="E251" s="1533">
        <v>0</v>
      </c>
      <c r="F251" s="1533">
        <v>0</v>
      </c>
      <c r="G251" s="1533"/>
      <c r="H251" s="1533"/>
      <c r="I251" s="1533"/>
      <c r="J251" s="1533"/>
      <c r="K251" s="1533">
        <v>0</v>
      </c>
      <c r="L251" s="1537"/>
      <c r="M251" s="2378"/>
    </row>
    <row r="252" spans="1:13" ht="16.5" customHeight="1">
      <c r="A252" s="2363"/>
      <c r="B252" s="2373"/>
      <c r="C252" s="973" t="s">
        <v>29</v>
      </c>
      <c r="D252" s="1543"/>
      <c r="E252" s="1541"/>
      <c r="F252" s="1541"/>
      <c r="G252" s="1541"/>
      <c r="H252" s="1541"/>
      <c r="I252" s="1541"/>
      <c r="J252" s="1541"/>
      <c r="K252" s="1541"/>
      <c r="L252" s="1537"/>
      <c r="M252" s="2378"/>
    </row>
    <row r="253" spans="1:13" ht="22.5">
      <c r="A253" s="2363"/>
      <c r="B253" s="2373"/>
      <c r="C253" s="405" t="s">
        <v>30</v>
      </c>
      <c r="D253" s="1535"/>
      <c r="E253" s="1536"/>
      <c r="F253" s="1536"/>
      <c r="G253" s="1536"/>
      <c r="H253" s="1536"/>
      <c r="I253" s="1536"/>
      <c r="J253" s="1536"/>
      <c r="K253" s="1536"/>
      <c r="L253" s="1537"/>
      <c r="M253" s="2378"/>
    </row>
    <row r="254" spans="1:13" ht="12.75" customHeight="1">
      <c r="A254" s="2363"/>
      <c r="B254" s="2373"/>
      <c r="C254" s="904" t="s">
        <v>31</v>
      </c>
      <c r="D254" s="1535"/>
      <c r="E254" s="1536"/>
      <c r="F254" s="1536"/>
      <c r="G254" s="1536"/>
      <c r="H254" s="1536"/>
      <c r="I254" s="1536"/>
      <c r="J254" s="1536"/>
      <c r="K254" s="1536"/>
      <c r="L254" s="1537"/>
      <c r="M254" s="2378"/>
    </row>
    <row r="255" spans="1:13" ht="13.5" customHeight="1">
      <c r="A255" s="2381"/>
      <c r="B255" s="2374"/>
      <c r="C255" s="904" t="s">
        <v>32</v>
      </c>
      <c r="D255" s="1535"/>
      <c r="E255" s="1536"/>
      <c r="F255" s="1536"/>
      <c r="G255" s="1536"/>
      <c r="H255" s="1536"/>
      <c r="I255" s="1536"/>
      <c r="J255" s="1536"/>
      <c r="K255" s="1536"/>
      <c r="L255" s="1537"/>
      <c r="M255" s="2379"/>
    </row>
    <row r="256" spans="1:13" ht="15.95" customHeight="1">
      <c r="A256" s="969" t="s">
        <v>14</v>
      </c>
      <c r="B256" s="970"/>
      <c r="C256" s="766" t="s">
        <v>15</v>
      </c>
      <c r="D256" s="1602"/>
      <c r="E256" s="1008">
        <f>E299+E257</f>
        <v>33119033</v>
      </c>
      <c r="F256" s="1008">
        <f>F299+F257</f>
        <v>32628909</v>
      </c>
      <c r="G256" s="1008"/>
      <c r="H256" s="1008">
        <f>H299+H257</f>
        <v>31889145</v>
      </c>
      <c r="I256" s="1603">
        <f t="shared" ref="I256:I286" si="28">H256/E256</f>
        <v>0.96286461624649489</v>
      </c>
      <c r="J256" s="1008">
        <f>J299+J257</f>
        <v>0</v>
      </c>
      <c r="K256" s="1008">
        <f>K299+K257</f>
        <v>31889145</v>
      </c>
      <c r="L256" s="971">
        <f>K256/E256</f>
        <v>0.96286461624649489</v>
      </c>
      <c r="M256" s="972" t="s">
        <v>512</v>
      </c>
    </row>
    <row r="257" spans="1:13" ht="15.95" customHeight="1">
      <c r="A257" s="1605"/>
      <c r="B257" s="2372">
        <v>75018</v>
      </c>
      <c r="C257" s="1558" t="s">
        <v>106</v>
      </c>
      <c r="D257" s="1559"/>
      <c r="E257" s="1560">
        <f>SUM(E258,E292)</f>
        <v>27762430</v>
      </c>
      <c r="F257" s="1560">
        <f>SUM(F258,F292)</f>
        <v>27355150</v>
      </c>
      <c r="G257" s="1560"/>
      <c r="H257" s="1560">
        <f>SUM(H258,H292)</f>
        <v>31889145</v>
      </c>
      <c r="I257" s="1561">
        <f t="shared" si="28"/>
        <v>1.1486438687103397</v>
      </c>
      <c r="J257" s="1560">
        <f>SUM(J258,J292)</f>
        <v>0</v>
      </c>
      <c r="K257" s="1560">
        <f>SUM(K258,K292)</f>
        <v>31889145</v>
      </c>
      <c r="L257" s="1562"/>
      <c r="M257" s="2371" t="s">
        <v>514</v>
      </c>
    </row>
    <row r="258" spans="1:13" ht="15.95" customHeight="1">
      <c r="A258" s="1606"/>
      <c r="B258" s="2373"/>
      <c r="C258" s="901" t="s">
        <v>18</v>
      </c>
      <c r="D258" s="1532"/>
      <c r="E258" s="1533">
        <f>SUM(E259+E287+E288+E289+E290+E291)</f>
        <v>27009430</v>
      </c>
      <c r="F258" s="1533">
        <f>SUM(F259+F287+F288+F289+F290+F291)</f>
        <v>26702150</v>
      </c>
      <c r="G258" s="1533"/>
      <c r="H258" s="1533">
        <f>SUM(H259+H287+H288+H289+H290+H291)</f>
        <v>31060845</v>
      </c>
      <c r="I258" s="1563">
        <f t="shared" si="28"/>
        <v>1.1500000185120529</v>
      </c>
      <c r="J258" s="1533">
        <f>SUM(J259+J287+J288+J289+J290+J291)</f>
        <v>0</v>
      </c>
      <c r="K258" s="1533">
        <f>SUM(K259+K287+K288+K289+K290+K291)</f>
        <v>31060845</v>
      </c>
      <c r="L258" s="1564"/>
      <c r="M258" s="2367"/>
    </row>
    <row r="259" spans="1:13" ht="15.95" customHeight="1">
      <c r="A259" s="1606"/>
      <c r="B259" s="2373"/>
      <c r="C259" s="904" t="s">
        <v>19</v>
      </c>
      <c r="D259" s="1535"/>
      <c r="E259" s="1536">
        <f>SUM(E260+E267)</f>
        <v>26704430</v>
      </c>
      <c r="F259" s="1536">
        <f>SUM(F260+F267)</f>
        <v>26397150</v>
      </c>
      <c r="G259" s="1536"/>
      <c r="H259" s="1536">
        <f>SUM(H260+H267)</f>
        <v>30635845</v>
      </c>
      <c r="I259" s="1565">
        <f t="shared" si="28"/>
        <v>1.1472195811706147</v>
      </c>
      <c r="J259" s="1536">
        <f>SUM(J260+J267)</f>
        <v>0</v>
      </c>
      <c r="K259" s="1536">
        <f>SUM(K260+K267)</f>
        <v>30635845</v>
      </c>
      <c r="L259" s="1566"/>
      <c r="M259" s="2367"/>
    </row>
    <row r="260" spans="1:13" ht="15.95" customHeight="1">
      <c r="A260" s="1606"/>
      <c r="B260" s="2373"/>
      <c r="C260" s="1938" t="s">
        <v>20</v>
      </c>
      <c r="D260" s="1535" t="s">
        <v>366</v>
      </c>
      <c r="E260" s="1536">
        <f>SUM(E261:E266)</f>
        <v>21948430</v>
      </c>
      <c r="F260" s="1536">
        <f>SUM(F261:F266)</f>
        <v>22173640</v>
      </c>
      <c r="G260" s="1536"/>
      <c r="H260" s="1536">
        <f>SUM(H261:H266)</f>
        <v>25240695</v>
      </c>
      <c r="I260" s="1565">
        <f t="shared" si="28"/>
        <v>1.1500000227806726</v>
      </c>
      <c r="J260" s="1536">
        <f>SUM(J261:J265)</f>
        <v>0</v>
      </c>
      <c r="K260" s="1536">
        <f>SUM(K261:K266)</f>
        <v>25240695</v>
      </c>
      <c r="L260" s="1566"/>
      <c r="M260" s="2367"/>
    </row>
    <row r="261" spans="1:13" ht="15.95" customHeight="1">
      <c r="A261" s="1606"/>
      <c r="B261" s="2373"/>
      <c r="C261" s="2369"/>
      <c r="D261" s="1543">
        <v>4010</v>
      </c>
      <c r="E261" s="1541">
        <v>17058538</v>
      </c>
      <c r="F261" s="1541">
        <v>17369998</v>
      </c>
      <c r="G261" s="1541"/>
      <c r="H261" s="1541">
        <v>19735785</v>
      </c>
      <c r="I261" s="1567">
        <f t="shared" si="28"/>
        <v>1.1569446924466797</v>
      </c>
      <c r="J261" s="1541"/>
      <c r="K261" s="1541">
        <f t="shared" ref="K261:K266" si="29">H261+J261</f>
        <v>19735785</v>
      </c>
      <c r="L261" s="1568"/>
      <c r="M261" s="2367"/>
    </row>
    <row r="262" spans="1:13" ht="15.95" customHeight="1">
      <c r="A262" s="1606"/>
      <c r="B262" s="2373"/>
      <c r="C262" s="2369"/>
      <c r="D262" s="1543">
        <v>4040</v>
      </c>
      <c r="E262" s="1541">
        <v>1179552</v>
      </c>
      <c r="F262" s="1541">
        <v>1093302</v>
      </c>
      <c r="G262" s="1541"/>
      <c r="H262" s="1541">
        <v>1386077</v>
      </c>
      <c r="I262" s="1567">
        <f t="shared" si="28"/>
        <v>1.1750876603998806</v>
      </c>
      <c r="J262" s="1541"/>
      <c r="K262" s="1541">
        <f t="shared" si="29"/>
        <v>1386077</v>
      </c>
      <c r="L262" s="1568"/>
      <c r="M262" s="2367"/>
    </row>
    <row r="263" spans="1:13" ht="15.95" customHeight="1">
      <c r="A263" s="1606"/>
      <c r="B263" s="2373"/>
      <c r="C263" s="2369"/>
      <c r="D263" s="1543">
        <v>4110</v>
      </c>
      <c r="E263" s="1541">
        <v>3206259</v>
      </c>
      <c r="F263" s="1541">
        <v>3206259</v>
      </c>
      <c r="G263" s="1541"/>
      <c r="H263" s="1541">
        <v>3522956</v>
      </c>
      <c r="I263" s="1567">
        <f t="shared" si="28"/>
        <v>1.0987746155254456</v>
      </c>
      <c r="J263" s="1541"/>
      <c r="K263" s="1541">
        <f t="shared" si="29"/>
        <v>3522956</v>
      </c>
      <c r="L263" s="1568"/>
      <c r="M263" s="2367"/>
    </row>
    <row r="264" spans="1:13" ht="15.95" customHeight="1">
      <c r="A264" s="1606"/>
      <c r="B264" s="2373"/>
      <c r="C264" s="2369"/>
      <c r="D264" s="1543">
        <v>4120</v>
      </c>
      <c r="E264" s="1541">
        <v>446836</v>
      </c>
      <c r="F264" s="1541">
        <v>446836</v>
      </c>
      <c r="G264" s="1541"/>
      <c r="H264" s="1541">
        <v>497765</v>
      </c>
      <c r="I264" s="1567">
        <f t="shared" si="28"/>
        <v>1.1139769400854005</v>
      </c>
      <c r="J264" s="1541"/>
      <c r="K264" s="1541">
        <f t="shared" si="29"/>
        <v>497765</v>
      </c>
      <c r="L264" s="1568"/>
      <c r="M264" s="2367"/>
    </row>
    <row r="265" spans="1:13" ht="15.95" customHeight="1">
      <c r="A265" s="1606"/>
      <c r="B265" s="2373"/>
      <c r="C265" s="2369"/>
      <c r="D265" s="1543">
        <v>4170</v>
      </c>
      <c r="E265" s="1541">
        <v>17245</v>
      </c>
      <c r="F265" s="1541">
        <v>17245</v>
      </c>
      <c r="G265" s="1541"/>
      <c r="H265" s="1541">
        <v>20000</v>
      </c>
      <c r="I265" s="1567">
        <f t="shared" si="28"/>
        <v>1.1597564511452596</v>
      </c>
      <c r="J265" s="1541"/>
      <c r="K265" s="1541">
        <f t="shared" si="29"/>
        <v>20000</v>
      </c>
      <c r="L265" s="1568"/>
      <c r="M265" s="2367"/>
    </row>
    <row r="266" spans="1:13" ht="15.95" customHeight="1">
      <c r="A266" s="1606"/>
      <c r="B266" s="2373"/>
      <c r="C266" s="1940"/>
      <c r="D266" s="1543">
        <v>4710</v>
      </c>
      <c r="E266" s="1541">
        <v>40000</v>
      </c>
      <c r="F266" s="1541">
        <v>40000</v>
      </c>
      <c r="G266" s="1541"/>
      <c r="H266" s="1541">
        <v>78112</v>
      </c>
      <c r="I266" s="1567">
        <f t="shared" si="28"/>
        <v>1.9528000000000001</v>
      </c>
      <c r="J266" s="1541"/>
      <c r="K266" s="1541">
        <f t="shared" si="29"/>
        <v>78112</v>
      </c>
      <c r="L266" s="1568"/>
      <c r="M266" s="2367"/>
    </row>
    <row r="267" spans="1:13" ht="15.95" customHeight="1">
      <c r="A267" s="1606"/>
      <c r="B267" s="2373"/>
      <c r="C267" s="1934" t="s">
        <v>21</v>
      </c>
      <c r="D267" s="1538" t="s">
        <v>366</v>
      </c>
      <c r="E267" s="1536">
        <f>SUM(E268:E286)</f>
        <v>4756000</v>
      </c>
      <c r="F267" s="1536">
        <f>SUM(F268:F286)</f>
        <v>4223510</v>
      </c>
      <c r="G267" s="1536"/>
      <c r="H267" s="1536">
        <f>SUM(H268:H286)</f>
        <v>5395150</v>
      </c>
      <c r="I267" s="1565">
        <f t="shared" si="28"/>
        <v>1.1343881412952062</v>
      </c>
      <c r="J267" s="1536">
        <f>SUM(J268:J286)</f>
        <v>0</v>
      </c>
      <c r="K267" s="1536">
        <f>SUM(K268:K286)</f>
        <v>5395150</v>
      </c>
      <c r="L267" s="1566"/>
      <c r="M267" s="2367"/>
    </row>
    <row r="268" spans="1:13" ht="15.95" customHeight="1">
      <c r="A268" s="1606"/>
      <c r="B268" s="2373"/>
      <c r="C268" s="2370"/>
      <c r="D268" s="1540">
        <v>4140</v>
      </c>
      <c r="E268" s="1541">
        <v>180000</v>
      </c>
      <c r="F268" s="1541">
        <v>162500</v>
      </c>
      <c r="G268" s="1541"/>
      <c r="H268" s="1541">
        <v>240000</v>
      </c>
      <c r="I268" s="1567">
        <f t="shared" si="28"/>
        <v>1.3333333333333333</v>
      </c>
      <c r="J268" s="1541"/>
      <c r="K268" s="1541">
        <f t="shared" ref="K268:K286" si="30">H268+J268</f>
        <v>240000</v>
      </c>
      <c r="L268" s="1568"/>
      <c r="M268" s="2367"/>
    </row>
    <row r="269" spans="1:13" ht="15.95" customHeight="1">
      <c r="A269" s="1606"/>
      <c r="B269" s="2373"/>
      <c r="C269" s="2370"/>
      <c r="D269" s="1540">
        <v>4210</v>
      </c>
      <c r="E269" s="1541">
        <v>924000</v>
      </c>
      <c r="F269" s="1541">
        <v>790000</v>
      </c>
      <c r="G269" s="1541"/>
      <c r="H269" s="1541">
        <v>921500</v>
      </c>
      <c r="I269" s="1567">
        <f t="shared" si="28"/>
        <v>0.99729437229437234</v>
      </c>
      <c r="J269" s="1541"/>
      <c r="K269" s="1541">
        <f t="shared" si="30"/>
        <v>921500</v>
      </c>
      <c r="L269" s="1568"/>
      <c r="M269" s="2367"/>
    </row>
    <row r="270" spans="1:13" ht="15.95" customHeight="1">
      <c r="A270" s="1606"/>
      <c r="B270" s="2373"/>
      <c r="C270" s="2370"/>
      <c r="D270" s="1540">
        <v>4220</v>
      </c>
      <c r="E270" s="1541">
        <v>23000</v>
      </c>
      <c r="F270" s="1541">
        <v>23000</v>
      </c>
      <c r="G270" s="1541"/>
      <c r="H270" s="1541">
        <v>32000</v>
      </c>
      <c r="I270" s="1567">
        <f t="shared" si="28"/>
        <v>1.3913043478260869</v>
      </c>
      <c r="J270" s="1541"/>
      <c r="K270" s="1541">
        <f t="shared" si="30"/>
        <v>32000</v>
      </c>
      <c r="L270" s="1568"/>
      <c r="M270" s="2367"/>
    </row>
    <row r="271" spans="1:13" ht="15.95" customHeight="1">
      <c r="A271" s="1606"/>
      <c r="B271" s="2373"/>
      <c r="C271" s="2370"/>
      <c r="D271" s="1540">
        <v>4260</v>
      </c>
      <c r="E271" s="1541">
        <v>523000</v>
      </c>
      <c r="F271" s="1541">
        <v>753000</v>
      </c>
      <c r="G271" s="1541"/>
      <c r="H271" s="1541">
        <v>935773</v>
      </c>
      <c r="I271" s="1567">
        <f t="shared" si="28"/>
        <v>1.7892409177820268</v>
      </c>
      <c r="J271" s="1541"/>
      <c r="K271" s="1541">
        <f t="shared" si="30"/>
        <v>935773</v>
      </c>
      <c r="L271" s="1568"/>
      <c r="M271" s="2367"/>
    </row>
    <row r="272" spans="1:13" ht="15.95" customHeight="1">
      <c r="A272" s="1606"/>
      <c r="B272" s="2373"/>
      <c r="C272" s="2370"/>
      <c r="D272" s="1540">
        <v>4270</v>
      </c>
      <c r="E272" s="1541">
        <v>455000</v>
      </c>
      <c r="F272" s="1541">
        <v>455000</v>
      </c>
      <c r="G272" s="1541"/>
      <c r="H272" s="1541">
        <v>746500</v>
      </c>
      <c r="I272" s="1567">
        <f t="shared" si="28"/>
        <v>1.6406593406593406</v>
      </c>
      <c r="J272" s="1541"/>
      <c r="K272" s="1541">
        <f t="shared" si="30"/>
        <v>746500</v>
      </c>
      <c r="L272" s="1568"/>
      <c r="M272" s="2367"/>
    </row>
    <row r="273" spans="1:13" ht="15.95" customHeight="1">
      <c r="A273" s="1606"/>
      <c r="B273" s="2373"/>
      <c r="C273" s="2370"/>
      <c r="D273" s="1540">
        <v>4280</v>
      </c>
      <c r="E273" s="1541">
        <v>51500</v>
      </c>
      <c r="F273" s="1541">
        <v>51500</v>
      </c>
      <c r="G273" s="1541"/>
      <c r="H273" s="1541">
        <v>63300</v>
      </c>
      <c r="I273" s="1567">
        <f t="shared" si="28"/>
        <v>1.229126213592233</v>
      </c>
      <c r="J273" s="1541"/>
      <c r="K273" s="1541">
        <f t="shared" si="30"/>
        <v>63300</v>
      </c>
      <c r="L273" s="1568"/>
      <c r="M273" s="2367"/>
    </row>
    <row r="274" spans="1:13" ht="15.95" customHeight="1">
      <c r="A274" s="1606"/>
      <c r="B274" s="2373"/>
      <c r="C274" s="2370"/>
      <c r="D274" s="1540">
        <v>4300</v>
      </c>
      <c r="E274" s="1541">
        <v>1562500</v>
      </c>
      <c r="F274" s="1541">
        <v>1178700</v>
      </c>
      <c r="G274" s="1541"/>
      <c r="H274" s="1541">
        <v>1425000</v>
      </c>
      <c r="I274" s="1567">
        <f t="shared" si="28"/>
        <v>0.91200000000000003</v>
      </c>
      <c r="J274" s="1541"/>
      <c r="K274" s="1541">
        <f t="shared" si="30"/>
        <v>1425000</v>
      </c>
      <c r="L274" s="1568"/>
      <c r="M274" s="2367"/>
    </row>
    <row r="275" spans="1:13" ht="15.95" customHeight="1">
      <c r="A275" s="1606"/>
      <c r="B275" s="2373"/>
      <c r="C275" s="2370"/>
      <c r="D275" s="1540">
        <v>4360</v>
      </c>
      <c r="E275" s="1541">
        <v>75500</v>
      </c>
      <c r="F275" s="1541">
        <v>75500</v>
      </c>
      <c r="G275" s="1541"/>
      <c r="H275" s="1541">
        <v>75500</v>
      </c>
      <c r="I275" s="1567">
        <f t="shared" si="28"/>
        <v>1</v>
      </c>
      <c r="J275" s="1541"/>
      <c r="K275" s="1541">
        <f t="shared" si="30"/>
        <v>75500</v>
      </c>
      <c r="L275" s="1568"/>
      <c r="M275" s="2367"/>
    </row>
    <row r="276" spans="1:13" ht="15.95" customHeight="1">
      <c r="A276" s="1606"/>
      <c r="B276" s="2373"/>
      <c r="C276" s="2370"/>
      <c r="D276" s="1540">
        <v>4390</v>
      </c>
      <c r="E276" s="1541">
        <v>63000</v>
      </c>
      <c r="F276" s="1541">
        <v>28000</v>
      </c>
      <c r="G276" s="1541"/>
      <c r="H276" s="1541">
        <v>30000</v>
      </c>
      <c r="I276" s="1567">
        <f t="shared" si="28"/>
        <v>0.47619047619047616</v>
      </c>
      <c r="J276" s="1541"/>
      <c r="K276" s="1541">
        <f t="shared" si="30"/>
        <v>30000</v>
      </c>
      <c r="L276" s="1568"/>
      <c r="M276" s="2367"/>
    </row>
    <row r="277" spans="1:13" ht="15.95" customHeight="1">
      <c r="A277" s="1606"/>
      <c r="B277" s="2373"/>
      <c r="C277" s="2370"/>
      <c r="D277" s="1540">
        <v>4410</v>
      </c>
      <c r="E277" s="1541">
        <v>15000</v>
      </c>
      <c r="F277" s="1541">
        <v>15000</v>
      </c>
      <c r="G277" s="1541"/>
      <c r="H277" s="1541">
        <v>20000</v>
      </c>
      <c r="I277" s="1567">
        <f t="shared" si="28"/>
        <v>1.3333333333333333</v>
      </c>
      <c r="J277" s="1541"/>
      <c r="K277" s="1541">
        <f t="shared" si="30"/>
        <v>20000</v>
      </c>
      <c r="L277" s="1568"/>
      <c r="M277" s="2367"/>
    </row>
    <row r="278" spans="1:13" ht="15.95" customHeight="1">
      <c r="A278" s="1606"/>
      <c r="B278" s="2373"/>
      <c r="C278" s="2370"/>
      <c r="D278" s="1540">
        <v>4420</v>
      </c>
      <c r="E278" s="1541">
        <v>15000</v>
      </c>
      <c r="F278" s="1541">
        <v>15000</v>
      </c>
      <c r="G278" s="1541"/>
      <c r="H278" s="1541">
        <v>20000</v>
      </c>
      <c r="I278" s="1567">
        <f t="shared" si="28"/>
        <v>1.3333333333333333</v>
      </c>
      <c r="J278" s="1541"/>
      <c r="K278" s="1541">
        <f t="shared" si="30"/>
        <v>20000</v>
      </c>
      <c r="L278" s="1568"/>
      <c r="M278" s="2367"/>
    </row>
    <row r="279" spans="1:13" ht="15.95" customHeight="1">
      <c r="A279" s="1606"/>
      <c r="B279" s="2373">
        <v>75018</v>
      </c>
      <c r="C279" s="2370"/>
      <c r="D279" s="1540">
        <v>4430</v>
      </c>
      <c r="E279" s="1541">
        <v>71000</v>
      </c>
      <c r="F279" s="1541">
        <v>81000</v>
      </c>
      <c r="G279" s="1541"/>
      <c r="H279" s="1541">
        <v>214000</v>
      </c>
      <c r="I279" s="1567">
        <f t="shared" si="28"/>
        <v>3.0140845070422535</v>
      </c>
      <c r="J279" s="1541"/>
      <c r="K279" s="1541">
        <f t="shared" si="30"/>
        <v>214000</v>
      </c>
      <c r="L279" s="1568"/>
      <c r="M279" s="2367"/>
    </row>
    <row r="280" spans="1:13" ht="15.95" customHeight="1">
      <c r="A280" s="1606"/>
      <c r="B280" s="2373"/>
      <c r="C280" s="2370"/>
      <c r="D280" s="1540">
        <v>4440</v>
      </c>
      <c r="E280" s="1541">
        <v>400000</v>
      </c>
      <c r="F280" s="1541">
        <v>417500</v>
      </c>
      <c r="G280" s="1541"/>
      <c r="H280" s="1541">
        <v>455377</v>
      </c>
      <c r="I280" s="1567">
        <f t="shared" si="28"/>
        <v>1.1384425</v>
      </c>
      <c r="J280" s="1541"/>
      <c r="K280" s="1541">
        <f t="shared" si="30"/>
        <v>455377</v>
      </c>
      <c r="L280" s="1568"/>
      <c r="M280" s="2367"/>
    </row>
    <row r="281" spans="1:13" ht="15.95" customHeight="1">
      <c r="A281" s="1606"/>
      <c r="B281" s="2373"/>
      <c r="C281" s="2370"/>
      <c r="D281" s="1540">
        <v>4480</v>
      </c>
      <c r="E281" s="1541">
        <v>150000</v>
      </c>
      <c r="F281" s="1541">
        <v>31000</v>
      </c>
      <c r="G281" s="1541"/>
      <c r="H281" s="1541">
        <v>43000</v>
      </c>
      <c r="I281" s="1567">
        <f t="shared" si="28"/>
        <v>0.28666666666666668</v>
      </c>
      <c r="J281" s="1541"/>
      <c r="K281" s="1541">
        <f t="shared" si="30"/>
        <v>43000</v>
      </c>
      <c r="L281" s="1568"/>
      <c r="M281" s="2367"/>
    </row>
    <row r="282" spans="1:13" ht="15.95" customHeight="1">
      <c r="A282" s="1606"/>
      <c r="B282" s="2373"/>
      <c r="C282" s="2370"/>
      <c r="D282" s="1540">
        <v>4500</v>
      </c>
      <c r="E282" s="1541">
        <v>5000</v>
      </c>
      <c r="F282" s="1541">
        <v>860</v>
      </c>
      <c r="G282" s="1541"/>
      <c r="H282" s="1541">
        <v>2000</v>
      </c>
      <c r="I282" s="1567">
        <f t="shared" si="28"/>
        <v>0.4</v>
      </c>
      <c r="J282" s="1541"/>
      <c r="K282" s="1541">
        <f t="shared" si="30"/>
        <v>2000</v>
      </c>
      <c r="L282" s="1568"/>
      <c r="M282" s="2367"/>
    </row>
    <row r="283" spans="1:13" ht="15.95" customHeight="1">
      <c r="A283" s="1606"/>
      <c r="B283" s="2373"/>
      <c r="C283" s="2370"/>
      <c r="D283" s="1540">
        <v>4510</v>
      </c>
      <c r="E283" s="1541">
        <v>0</v>
      </c>
      <c r="F283" s="1541">
        <v>0</v>
      </c>
      <c r="G283" s="1541"/>
      <c r="H283" s="1541">
        <v>500</v>
      </c>
      <c r="I283" s="1567"/>
      <c r="J283" s="1541"/>
      <c r="K283" s="1541">
        <f t="shared" si="30"/>
        <v>500</v>
      </c>
      <c r="L283" s="1568"/>
      <c r="M283" s="2367"/>
    </row>
    <row r="284" spans="1:13" ht="15.95" customHeight="1">
      <c r="A284" s="1606"/>
      <c r="B284" s="2373"/>
      <c r="C284" s="2370"/>
      <c r="D284" s="1540">
        <v>4520</v>
      </c>
      <c r="E284" s="1541">
        <v>162500</v>
      </c>
      <c r="F284" s="1541">
        <v>65950</v>
      </c>
      <c r="G284" s="1541"/>
      <c r="H284" s="1541">
        <v>70200</v>
      </c>
      <c r="I284" s="1567">
        <f t="shared" si="28"/>
        <v>0.432</v>
      </c>
      <c r="J284" s="1541"/>
      <c r="K284" s="1541">
        <f t="shared" si="30"/>
        <v>70200</v>
      </c>
      <c r="L284" s="1568"/>
      <c r="M284" s="2367"/>
    </row>
    <row r="285" spans="1:13" ht="15.95" customHeight="1">
      <c r="A285" s="1606"/>
      <c r="B285" s="2373"/>
      <c r="C285" s="2370"/>
      <c r="D285" s="1540">
        <v>4610</v>
      </c>
      <c r="E285" s="1541">
        <v>0</v>
      </c>
      <c r="F285" s="1541">
        <v>0</v>
      </c>
      <c r="G285" s="1541"/>
      <c r="H285" s="1541">
        <v>500</v>
      </c>
      <c r="I285" s="1567"/>
      <c r="J285" s="1541"/>
      <c r="K285" s="1541">
        <f t="shared" si="30"/>
        <v>500</v>
      </c>
      <c r="L285" s="1568"/>
      <c r="M285" s="2367"/>
    </row>
    <row r="286" spans="1:13" ht="15.95" customHeight="1">
      <c r="A286" s="1606"/>
      <c r="B286" s="2373"/>
      <c r="C286" s="2370"/>
      <c r="D286" s="1540">
        <v>4700</v>
      </c>
      <c r="E286" s="1541">
        <v>80000</v>
      </c>
      <c r="F286" s="1541">
        <v>80000</v>
      </c>
      <c r="G286" s="1541"/>
      <c r="H286" s="1541">
        <v>100000</v>
      </c>
      <c r="I286" s="1567">
        <f t="shared" si="28"/>
        <v>1.25</v>
      </c>
      <c r="J286" s="1541"/>
      <c r="K286" s="1541">
        <f t="shared" si="30"/>
        <v>100000</v>
      </c>
      <c r="L286" s="1568"/>
      <c r="M286" s="2367"/>
    </row>
    <row r="287" spans="1:13" ht="15.95" customHeight="1">
      <c r="A287" s="1606"/>
      <c r="B287" s="2373"/>
      <c r="C287" s="904" t="s">
        <v>23</v>
      </c>
      <c r="D287" s="1535"/>
      <c r="E287" s="1536"/>
      <c r="F287" s="1536"/>
      <c r="G287" s="1536"/>
      <c r="H287" s="1536"/>
      <c r="I287" s="1567"/>
      <c r="J287" s="1536"/>
      <c r="K287" s="1536"/>
      <c r="L287" s="1566"/>
      <c r="M287" s="2367"/>
    </row>
    <row r="288" spans="1:13" ht="15.95" customHeight="1">
      <c r="A288" s="1606"/>
      <c r="B288" s="2373"/>
      <c r="C288" s="404" t="s">
        <v>24</v>
      </c>
      <c r="D288" s="1535">
        <v>3020</v>
      </c>
      <c r="E288" s="1536">
        <v>305000</v>
      </c>
      <c r="F288" s="1536">
        <v>305000</v>
      </c>
      <c r="G288" s="1536"/>
      <c r="H288" s="1536">
        <v>425000</v>
      </c>
      <c r="I288" s="1565">
        <f>H288/E288</f>
        <v>1.3934426229508197</v>
      </c>
      <c r="J288" s="1536"/>
      <c r="K288" s="1536">
        <f>H288+J288</f>
        <v>425000</v>
      </c>
      <c r="L288" s="1566"/>
      <c r="M288" s="2367"/>
    </row>
    <row r="289" spans="1:13" ht="23.25" customHeight="1">
      <c r="A289" s="1606"/>
      <c r="B289" s="2373"/>
      <c r="C289" s="910" t="s">
        <v>25</v>
      </c>
      <c r="D289" s="1538"/>
      <c r="E289" s="1536"/>
      <c r="F289" s="1536"/>
      <c r="G289" s="1536"/>
      <c r="H289" s="1536"/>
      <c r="I289" s="1565"/>
      <c r="J289" s="1536"/>
      <c r="K289" s="1536"/>
      <c r="L289" s="1566"/>
      <c r="M289" s="2367"/>
    </row>
    <row r="290" spans="1:13" ht="15" customHeight="1">
      <c r="A290" s="1606"/>
      <c r="B290" s="2373"/>
      <c r="C290" s="904" t="s">
        <v>26</v>
      </c>
      <c r="D290" s="1535"/>
      <c r="E290" s="1533"/>
      <c r="F290" s="1536"/>
      <c r="G290" s="1536"/>
      <c r="H290" s="1536"/>
      <c r="I290" s="1565"/>
      <c r="J290" s="1536"/>
      <c r="K290" s="1536"/>
      <c r="L290" s="1566"/>
      <c r="M290" s="2367"/>
    </row>
    <row r="291" spans="1:13" ht="15" customHeight="1">
      <c r="A291" s="1606"/>
      <c r="B291" s="2373"/>
      <c r="C291" s="904" t="s">
        <v>27</v>
      </c>
      <c r="D291" s="1535"/>
      <c r="E291" s="1533"/>
      <c r="F291" s="1536"/>
      <c r="G291" s="1536"/>
      <c r="H291" s="1536"/>
      <c r="I291" s="1565"/>
      <c r="J291" s="1536"/>
      <c r="K291" s="1536"/>
      <c r="L291" s="1566"/>
      <c r="M291" s="2367"/>
    </row>
    <row r="292" spans="1:13" ht="15.95" customHeight="1">
      <c r="A292" s="1606"/>
      <c r="B292" s="2373"/>
      <c r="C292" s="1904" t="s">
        <v>28</v>
      </c>
      <c r="D292" s="1734"/>
      <c r="E292" s="1905">
        <f>SUM(E294:E295)</f>
        <v>753000</v>
      </c>
      <c r="F292" s="1905">
        <f>SUM(F293+F297+F298)</f>
        <v>653000</v>
      </c>
      <c r="G292" s="1905"/>
      <c r="H292" s="1905">
        <f>SUM(H293+H297+H298)</f>
        <v>828300</v>
      </c>
      <c r="I292" s="1906">
        <f>H292/E292</f>
        <v>1.1000000000000001</v>
      </c>
      <c r="J292" s="1905">
        <f>SUM(J293+J297+J298)</f>
        <v>0</v>
      </c>
      <c r="K292" s="1905">
        <f>SUM(K293+K297+K298)</f>
        <v>828300</v>
      </c>
      <c r="L292" s="1907"/>
      <c r="M292" s="1604"/>
    </row>
    <row r="293" spans="1:13" ht="15.95" customHeight="1">
      <c r="A293" s="1606"/>
      <c r="B293" s="2373"/>
      <c r="C293" s="1938" t="s">
        <v>29</v>
      </c>
      <c r="D293" s="929" t="s">
        <v>366</v>
      </c>
      <c r="E293" s="857">
        <f>SUM(E294:E295)</f>
        <v>753000</v>
      </c>
      <c r="F293" s="857">
        <f>SUM(F294:F295)</f>
        <v>653000</v>
      </c>
      <c r="G293" s="857"/>
      <c r="H293" s="857">
        <f>SUM(H294:H295)</f>
        <v>828300</v>
      </c>
      <c r="I293" s="853">
        <f>H293/E293</f>
        <v>1.1000000000000001</v>
      </c>
      <c r="J293" s="857">
        <f>SUM(J294:J295)</f>
        <v>0</v>
      </c>
      <c r="K293" s="857">
        <f>SUM(K294:K295)</f>
        <v>828300</v>
      </c>
      <c r="L293" s="958"/>
      <c r="M293" s="1604"/>
    </row>
    <row r="294" spans="1:13" ht="15.95" customHeight="1">
      <c r="A294" s="1606"/>
      <c r="B294" s="2373"/>
      <c r="C294" s="1939"/>
      <c r="D294" s="933">
        <v>6050</v>
      </c>
      <c r="E294" s="860">
        <v>653000</v>
      </c>
      <c r="F294" s="860">
        <v>553000</v>
      </c>
      <c r="G294" s="860"/>
      <c r="H294" s="860">
        <v>728300</v>
      </c>
      <c r="I294" s="862">
        <f>H294/E294</f>
        <v>1.1153139356814701</v>
      </c>
      <c r="J294" s="860"/>
      <c r="K294" s="860">
        <f>H294+J294</f>
        <v>728300</v>
      </c>
      <c r="L294" s="959"/>
      <c r="M294" s="1604"/>
    </row>
    <row r="295" spans="1:13" ht="15.95" customHeight="1">
      <c r="A295" s="1606"/>
      <c r="B295" s="2373"/>
      <c r="C295" s="1939"/>
      <c r="D295" s="933">
        <v>6060</v>
      </c>
      <c r="E295" s="860">
        <v>100000</v>
      </c>
      <c r="F295" s="860">
        <v>100000</v>
      </c>
      <c r="G295" s="860"/>
      <c r="H295" s="860">
        <v>100000</v>
      </c>
      <c r="I295" s="862">
        <f>H295/E295</f>
        <v>1</v>
      </c>
      <c r="J295" s="860"/>
      <c r="K295" s="860">
        <f>H295+J295</f>
        <v>100000</v>
      </c>
      <c r="L295" s="959"/>
      <c r="M295" s="1604"/>
    </row>
    <row r="296" spans="1:13" ht="26.25" customHeight="1">
      <c r="A296" s="1606"/>
      <c r="B296" s="2373"/>
      <c r="C296" s="405" t="s">
        <v>30</v>
      </c>
      <c r="D296" s="1538"/>
      <c r="E296" s="1536"/>
      <c r="F296" s="1536"/>
      <c r="G296" s="1536"/>
      <c r="H296" s="1536"/>
      <c r="I296" s="1567"/>
      <c r="J296" s="1536"/>
      <c r="K296" s="1536"/>
      <c r="L296" s="1566"/>
      <c r="M296" s="1604"/>
    </row>
    <row r="297" spans="1:13" ht="15" customHeight="1">
      <c r="A297" s="1606"/>
      <c r="B297" s="2373"/>
      <c r="C297" s="904" t="s">
        <v>31</v>
      </c>
      <c r="D297" s="1535"/>
      <c r="E297" s="1533"/>
      <c r="F297" s="1536"/>
      <c r="G297" s="1536"/>
      <c r="H297" s="1541"/>
      <c r="I297" s="1565"/>
      <c r="J297" s="1608"/>
      <c r="K297" s="1536"/>
      <c r="L297" s="1566"/>
      <c r="M297" s="1604"/>
    </row>
    <row r="298" spans="1:13" ht="15.95" customHeight="1">
      <c r="A298" s="1606"/>
      <c r="B298" s="2374"/>
      <c r="C298" s="910" t="s">
        <v>32</v>
      </c>
      <c r="D298" s="1535"/>
      <c r="E298" s="1533"/>
      <c r="F298" s="1536"/>
      <c r="G298" s="1536"/>
      <c r="H298" s="1536"/>
      <c r="I298" s="1565"/>
      <c r="J298" s="1608"/>
      <c r="K298" s="1536"/>
      <c r="L298" s="1609"/>
      <c r="M298" s="1610"/>
    </row>
    <row r="299" spans="1:13" ht="12.75">
      <c r="A299" s="2363"/>
      <c r="B299" s="2365">
        <v>75095</v>
      </c>
      <c r="C299" s="952" t="s">
        <v>17</v>
      </c>
      <c r="D299" s="1607"/>
      <c r="E299" s="954">
        <f>E300+E313</f>
        <v>5356603</v>
      </c>
      <c r="F299" s="954">
        <f t="shared" ref="F299:H299" si="31">F300+F313</f>
        <v>5273759</v>
      </c>
      <c r="G299" s="954"/>
      <c r="H299" s="954">
        <f t="shared" si="31"/>
        <v>0</v>
      </c>
      <c r="I299" s="1589">
        <f>H299/E299</f>
        <v>0</v>
      </c>
      <c r="J299" s="954">
        <f>J300+J313</f>
        <v>0</v>
      </c>
      <c r="K299" s="954">
        <f>K300+K313</f>
        <v>0</v>
      </c>
      <c r="L299" s="1549">
        <f>K299/E299</f>
        <v>0</v>
      </c>
      <c r="M299" s="2367"/>
    </row>
    <row r="300" spans="1:13" ht="12.75">
      <c r="A300" s="2363"/>
      <c r="B300" s="2365"/>
      <c r="C300" s="664" t="s">
        <v>18</v>
      </c>
      <c r="D300" s="929"/>
      <c r="E300" s="852">
        <f>E301+E304+E305+E306+E311+E312</f>
        <v>37499</v>
      </c>
      <c r="F300" s="852">
        <f>F301+F304+F305+F306+F311+F312</f>
        <v>51006</v>
      </c>
      <c r="G300" s="852"/>
      <c r="H300" s="852">
        <f>H301+H304+H305+H306+H311+H312</f>
        <v>0</v>
      </c>
      <c r="I300" s="966">
        <f>H300/E300</f>
        <v>0</v>
      </c>
      <c r="J300" s="852">
        <f>J301+J304+J305+J306+J311+J312</f>
        <v>0</v>
      </c>
      <c r="K300" s="852">
        <f>K301+K304+K305+K306+K311+K312</f>
        <v>0</v>
      </c>
      <c r="L300" s="928">
        <f>K300/E300</f>
        <v>0</v>
      </c>
      <c r="M300" s="2367"/>
    </row>
    <row r="301" spans="1:13" ht="12.75">
      <c r="A301" s="2363"/>
      <c r="B301" s="2365"/>
      <c r="C301" s="668" t="s">
        <v>19</v>
      </c>
      <c r="D301" s="929"/>
      <c r="E301" s="857"/>
      <c r="F301" s="857"/>
      <c r="G301" s="857"/>
      <c r="H301" s="857"/>
      <c r="I301" s="853"/>
      <c r="J301" s="857"/>
      <c r="K301" s="857"/>
      <c r="L301" s="930"/>
      <c r="M301" s="2367"/>
    </row>
    <row r="302" spans="1:13" ht="12.75">
      <c r="A302" s="2363"/>
      <c r="B302" s="2365"/>
      <c r="C302" s="404" t="s">
        <v>20</v>
      </c>
      <c r="D302" s="929"/>
      <c r="E302" s="857"/>
      <c r="F302" s="857"/>
      <c r="G302" s="857"/>
      <c r="H302" s="857"/>
      <c r="I302" s="853"/>
      <c r="J302" s="857"/>
      <c r="K302" s="857"/>
      <c r="L302" s="930"/>
      <c r="M302" s="2367"/>
    </row>
    <row r="303" spans="1:13" ht="12.75">
      <c r="A303" s="2363"/>
      <c r="B303" s="2365"/>
      <c r="C303" s="405" t="s">
        <v>21</v>
      </c>
      <c r="D303" s="929"/>
      <c r="E303" s="857"/>
      <c r="F303" s="857"/>
      <c r="G303" s="857"/>
      <c r="H303" s="857"/>
      <c r="I303" s="853"/>
      <c r="J303" s="857"/>
      <c r="K303" s="857"/>
      <c r="L303" s="930"/>
      <c r="M303" s="2367"/>
    </row>
    <row r="304" spans="1:13" ht="12.75">
      <c r="A304" s="2363"/>
      <c r="B304" s="2365"/>
      <c r="C304" s="169" t="s">
        <v>23</v>
      </c>
      <c r="D304" s="929"/>
      <c r="E304" s="852"/>
      <c r="F304" s="852"/>
      <c r="G304" s="852"/>
      <c r="H304" s="857"/>
      <c r="I304" s="853"/>
      <c r="J304" s="852"/>
      <c r="K304" s="857"/>
      <c r="L304" s="930"/>
      <c r="M304" s="2367"/>
    </row>
    <row r="305" spans="1:13" ht="12.75">
      <c r="A305" s="2363"/>
      <c r="B305" s="2365"/>
      <c r="C305" s="668" t="s">
        <v>24</v>
      </c>
      <c r="D305" s="929"/>
      <c r="E305" s="852"/>
      <c r="F305" s="852"/>
      <c r="G305" s="852"/>
      <c r="H305" s="852"/>
      <c r="I305" s="853"/>
      <c r="J305" s="852"/>
      <c r="K305" s="857"/>
      <c r="L305" s="930"/>
      <c r="M305" s="2367"/>
    </row>
    <row r="306" spans="1:13" ht="15" customHeight="1">
      <c r="A306" s="2363"/>
      <c r="B306" s="2365"/>
      <c r="C306" s="1934" t="s">
        <v>25</v>
      </c>
      <c r="D306" s="929" t="s">
        <v>366</v>
      </c>
      <c r="E306" s="857">
        <f>SUM(E307:E310)</f>
        <v>37499</v>
      </c>
      <c r="F306" s="857">
        <f>SUM(F307:F310)</f>
        <v>51006</v>
      </c>
      <c r="G306" s="857"/>
      <c r="H306" s="857">
        <f>SUM(H307:H310)</f>
        <v>0</v>
      </c>
      <c r="I306" s="853">
        <f>H306/E306</f>
        <v>0</v>
      </c>
      <c r="J306" s="857">
        <f>SUM(J307:J310)</f>
        <v>0</v>
      </c>
      <c r="K306" s="857">
        <f>SUM(K307:K310)</f>
        <v>0</v>
      </c>
      <c r="L306" s="930">
        <f>K306/E306</f>
        <v>0</v>
      </c>
      <c r="M306" s="2367"/>
    </row>
    <row r="307" spans="1:13" s="977" customFormat="1" ht="12.75">
      <c r="A307" s="2363"/>
      <c r="B307" s="2365"/>
      <c r="C307" s="1935"/>
      <c r="D307" s="975">
        <v>4218</v>
      </c>
      <c r="E307" s="860">
        <v>0</v>
      </c>
      <c r="F307" s="860">
        <v>855</v>
      </c>
      <c r="G307" s="976"/>
      <c r="H307" s="977">
        <v>0</v>
      </c>
      <c r="I307" s="853"/>
      <c r="J307" s="978"/>
      <c r="K307" s="860">
        <f>H307+J307</f>
        <v>0</v>
      </c>
      <c r="L307" s="930"/>
      <c r="M307" s="2367"/>
    </row>
    <row r="308" spans="1:13" s="977" customFormat="1" ht="12.75">
      <c r="A308" s="2363"/>
      <c r="B308" s="2365"/>
      <c r="C308" s="1935"/>
      <c r="D308" s="979">
        <v>4219</v>
      </c>
      <c r="E308" s="860">
        <v>0</v>
      </c>
      <c r="F308" s="860">
        <v>151</v>
      </c>
      <c r="G308" s="860"/>
      <c r="H308" s="836">
        <v>0</v>
      </c>
      <c r="I308" s="853"/>
      <c r="J308" s="978"/>
      <c r="K308" s="860">
        <f>H308+J308</f>
        <v>0</v>
      </c>
      <c r="L308" s="930"/>
      <c r="M308" s="2367"/>
    </row>
    <row r="309" spans="1:13" s="977" customFormat="1" ht="12.75">
      <c r="A309" s="2363"/>
      <c r="B309" s="2365"/>
      <c r="C309" s="1935"/>
      <c r="D309" s="936">
        <v>4308</v>
      </c>
      <c r="E309" s="860">
        <v>28687</v>
      </c>
      <c r="F309" s="860">
        <v>37442</v>
      </c>
      <c r="G309" s="860"/>
      <c r="H309" s="836"/>
      <c r="I309" s="853">
        <f>H309/E309</f>
        <v>0</v>
      </c>
      <c r="J309" s="978"/>
      <c r="K309" s="860">
        <f>H309+J309</f>
        <v>0</v>
      </c>
      <c r="L309" s="935">
        <f>K309/E309</f>
        <v>0</v>
      </c>
      <c r="M309" s="2367"/>
    </row>
    <row r="310" spans="1:13" s="977" customFormat="1" ht="12.75">
      <c r="A310" s="2363"/>
      <c r="B310" s="2365"/>
      <c r="C310" s="2118"/>
      <c r="D310" s="936">
        <v>4309</v>
      </c>
      <c r="E310" s="860">
        <v>8812</v>
      </c>
      <c r="F310" s="860">
        <f>5950+6608</f>
        <v>12558</v>
      </c>
      <c r="G310" s="860"/>
      <c r="H310" s="836"/>
      <c r="I310" s="853">
        <f>H310/E310</f>
        <v>0</v>
      </c>
      <c r="J310" s="860"/>
      <c r="K310" s="860">
        <f>H310+J310</f>
        <v>0</v>
      </c>
      <c r="L310" s="935">
        <f>K310/E310</f>
        <v>0</v>
      </c>
      <c r="M310" s="2367"/>
    </row>
    <row r="311" spans="1:13" ht="12.75">
      <c r="A311" s="2363"/>
      <c r="B311" s="2365"/>
      <c r="C311" s="668" t="s">
        <v>26</v>
      </c>
      <c r="D311" s="929"/>
      <c r="E311" s="852"/>
      <c r="F311" s="852"/>
      <c r="G311" s="852"/>
      <c r="H311" s="852"/>
      <c r="I311" s="853"/>
      <c r="J311" s="852"/>
      <c r="K311" s="857"/>
      <c r="L311" s="930"/>
      <c r="M311" s="2367"/>
    </row>
    <row r="312" spans="1:13" ht="12.75">
      <c r="A312" s="2363"/>
      <c r="B312" s="2365"/>
      <c r="C312" s="668" t="s">
        <v>27</v>
      </c>
      <c r="D312" s="929"/>
      <c r="E312" s="852"/>
      <c r="F312" s="852"/>
      <c r="G312" s="852"/>
      <c r="H312" s="852"/>
      <c r="I312" s="853"/>
      <c r="J312" s="852"/>
      <c r="K312" s="857"/>
      <c r="L312" s="930"/>
      <c r="M312" s="2367"/>
    </row>
    <row r="313" spans="1:13" ht="12.75">
      <c r="A313" s="2363"/>
      <c r="B313" s="2365"/>
      <c r="C313" s="676" t="s">
        <v>28</v>
      </c>
      <c r="D313" s="929"/>
      <c r="E313" s="852">
        <f>E314+E326+E327</f>
        <v>5319104</v>
      </c>
      <c r="F313" s="852">
        <f>F314+F326+F327</f>
        <v>5222753</v>
      </c>
      <c r="G313" s="852"/>
      <c r="H313" s="852">
        <f>H314+H326+H327</f>
        <v>0</v>
      </c>
      <c r="I313" s="870">
        <f>H313/E313</f>
        <v>0</v>
      </c>
      <c r="J313" s="852">
        <f>J314+J326+J327</f>
        <v>0</v>
      </c>
      <c r="K313" s="852">
        <f>K314+K326+K327</f>
        <v>0</v>
      </c>
      <c r="L313" s="928">
        <f t="shared" ref="L313:L325" si="32">K313/E313</f>
        <v>0</v>
      </c>
      <c r="M313" s="2367"/>
    </row>
    <row r="314" spans="1:13" ht="16.5" customHeight="1">
      <c r="A314" s="2363"/>
      <c r="B314" s="2365"/>
      <c r="C314" s="1938" t="s">
        <v>29</v>
      </c>
      <c r="D314" s="929" t="s">
        <v>366</v>
      </c>
      <c r="E314" s="857">
        <f>SUM(E315:E319)</f>
        <v>5319104</v>
      </c>
      <c r="F314" s="857">
        <f>SUM(F315:F319)</f>
        <v>5222753</v>
      </c>
      <c r="G314" s="857"/>
      <c r="H314" s="857">
        <f>SUM(H315:H319)</f>
        <v>0</v>
      </c>
      <c r="I314" s="853">
        <f>H314/E314</f>
        <v>0</v>
      </c>
      <c r="J314" s="857">
        <f>SUM(J315:J319)</f>
        <v>0</v>
      </c>
      <c r="K314" s="857">
        <f>SUM(K315:K319)</f>
        <v>0</v>
      </c>
      <c r="L314" s="930">
        <f t="shared" si="32"/>
        <v>0</v>
      </c>
      <c r="M314" s="2367"/>
    </row>
    <row r="315" spans="1:13" s="977" customFormat="1" ht="16.5" customHeight="1">
      <c r="A315" s="2363"/>
      <c r="B315" s="2365"/>
      <c r="C315" s="1939"/>
      <c r="D315" s="936">
        <v>6050</v>
      </c>
      <c r="E315" s="860">
        <v>1224035</v>
      </c>
      <c r="F315" s="860">
        <v>0</v>
      </c>
      <c r="G315" s="860"/>
      <c r="H315" s="860">
        <v>0</v>
      </c>
      <c r="I315" s="862"/>
      <c r="J315" s="860"/>
      <c r="K315" s="860">
        <f>H315+J315</f>
        <v>0</v>
      </c>
      <c r="L315" s="935">
        <f t="shared" si="32"/>
        <v>0</v>
      </c>
      <c r="M315" s="2367"/>
    </row>
    <row r="316" spans="1:13" s="977" customFormat="1" ht="16.5" customHeight="1">
      <c r="A316" s="2363"/>
      <c r="B316" s="2365"/>
      <c r="C316" s="1939"/>
      <c r="D316" s="936">
        <v>6058</v>
      </c>
      <c r="E316" s="860">
        <v>2781576</v>
      </c>
      <c r="F316" s="860">
        <v>2934447</v>
      </c>
      <c r="G316" s="860"/>
      <c r="H316" s="860">
        <v>0</v>
      </c>
      <c r="I316" s="862">
        <f>H316/E316</f>
        <v>0</v>
      </c>
      <c r="J316" s="860"/>
      <c r="K316" s="860">
        <f>H316+J316</f>
        <v>0</v>
      </c>
      <c r="L316" s="935">
        <f t="shared" si="32"/>
        <v>0</v>
      </c>
      <c r="M316" s="2367"/>
    </row>
    <row r="317" spans="1:13" s="977" customFormat="1" ht="16.5" customHeight="1">
      <c r="A317" s="2363"/>
      <c r="B317" s="2365"/>
      <c r="C317" s="1939"/>
      <c r="D317" s="936">
        <v>6059</v>
      </c>
      <c r="E317" s="860">
        <v>901081</v>
      </c>
      <c r="F317" s="860">
        <f>522276+517843</f>
        <v>1040119</v>
      </c>
      <c r="G317" s="860"/>
      <c r="H317" s="860">
        <v>0</v>
      </c>
      <c r="I317" s="862">
        <f>H317/E317</f>
        <v>0</v>
      </c>
      <c r="J317" s="860"/>
      <c r="K317" s="860">
        <f>H317+J317</f>
        <v>0</v>
      </c>
      <c r="L317" s="935">
        <f t="shared" si="32"/>
        <v>0</v>
      </c>
      <c r="M317" s="2367"/>
    </row>
    <row r="318" spans="1:13" s="977" customFormat="1" ht="16.5" customHeight="1">
      <c r="A318" s="2363"/>
      <c r="B318" s="2365"/>
      <c r="C318" s="1939"/>
      <c r="D318" s="936">
        <v>6208</v>
      </c>
      <c r="E318" s="860">
        <v>350550</v>
      </c>
      <c r="F318" s="860">
        <v>1060959</v>
      </c>
      <c r="G318" s="860"/>
      <c r="H318" s="860">
        <v>0</v>
      </c>
      <c r="I318" s="862">
        <f>H318/E318</f>
        <v>0</v>
      </c>
      <c r="J318" s="860"/>
      <c r="K318" s="860">
        <f>H318+J318</f>
        <v>0</v>
      </c>
      <c r="L318" s="935">
        <f t="shared" si="32"/>
        <v>0</v>
      </c>
      <c r="M318" s="2367"/>
    </row>
    <row r="319" spans="1:13" s="977" customFormat="1" ht="16.5" customHeight="1">
      <c r="A319" s="2363"/>
      <c r="B319" s="2365"/>
      <c r="C319" s="2117"/>
      <c r="D319" s="936">
        <v>6209</v>
      </c>
      <c r="E319" s="860">
        <v>61862</v>
      </c>
      <c r="F319" s="860">
        <v>187228</v>
      </c>
      <c r="G319" s="860"/>
      <c r="H319" s="860">
        <v>0</v>
      </c>
      <c r="I319" s="862">
        <f>H319/E319</f>
        <v>0</v>
      </c>
      <c r="J319" s="860"/>
      <c r="K319" s="860">
        <f>H319+J319</f>
        <v>0</v>
      </c>
      <c r="L319" s="935">
        <f t="shared" si="32"/>
        <v>0</v>
      </c>
      <c r="M319" s="2367"/>
    </row>
    <row r="320" spans="1:13" ht="16.5" customHeight="1">
      <c r="A320" s="2363"/>
      <c r="B320" s="2365"/>
      <c r="C320" s="1956" t="s">
        <v>30</v>
      </c>
      <c r="D320" s="929" t="s">
        <v>22</v>
      </c>
      <c r="E320" s="857">
        <f>SUM(E321:E325)</f>
        <v>5319104</v>
      </c>
      <c r="F320" s="857">
        <f>SUM(F321:F325)</f>
        <v>5222753</v>
      </c>
      <c r="G320" s="857"/>
      <c r="H320" s="857">
        <f>SUM(H321:H325)</f>
        <v>0</v>
      </c>
      <c r="I320" s="853">
        <f>H320/E320</f>
        <v>0</v>
      </c>
      <c r="J320" s="857">
        <f>SUM(J321:J325)</f>
        <v>0</v>
      </c>
      <c r="K320" s="857">
        <f>SUM(K321:K325)</f>
        <v>0</v>
      </c>
      <c r="L320" s="930">
        <f t="shared" si="32"/>
        <v>0</v>
      </c>
      <c r="M320" s="2367"/>
    </row>
    <row r="321" spans="1:13" ht="16.5" customHeight="1">
      <c r="A321" s="2363"/>
      <c r="B321" s="2365"/>
      <c r="C321" s="1957"/>
      <c r="D321" s="936">
        <v>6050</v>
      </c>
      <c r="E321" s="860">
        <v>1224035</v>
      </c>
      <c r="F321" s="860">
        <v>0</v>
      </c>
      <c r="G321" s="860"/>
      <c r="H321" s="860">
        <v>0</v>
      </c>
      <c r="I321" s="862"/>
      <c r="J321" s="857"/>
      <c r="K321" s="857">
        <f>H321+J321</f>
        <v>0</v>
      </c>
      <c r="L321" s="935">
        <f t="shared" si="32"/>
        <v>0</v>
      </c>
      <c r="M321" s="2367"/>
    </row>
    <row r="322" spans="1:13" ht="16.5" customHeight="1">
      <c r="A322" s="2363"/>
      <c r="B322" s="2365"/>
      <c r="C322" s="1957"/>
      <c r="D322" s="936">
        <v>6058</v>
      </c>
      <c r="E322" s="860">
        <v>2781576</v>
      </c>
      <c r="F322" s="860">
        <v>2934447</v>
      </c>
      <c r="G322" s="860"/>
      <c r="H322" s="860">
        <v>0</v>
      </c>
      <c r="I322" s="862">
        <f>H322/E322</f>
        <v>0</v>
      </c>
      <c r="J322" s="857"/>
      <c r="K322" s="857">
        <f>H322+J322</f>
        <v>0</v>
      </c>
      <c r="L322" s="935">
        <f t="shared" si="32"/>
        <v>0</v>
      </c>
      <c r="M322" s="2367"/>
    </row>
    <row r="323" spans="1:13" ht="16.5" customHeight="1">
      <c r="A323" s="2363"/>
      <c r="B323" s="2365"/>
      <c r="C323" s="1957"/>
      <c r="D323" s="936">
        <v>6059</v>
      </c>
      <c r="E323" s="860">
        <v>901081</v>
      </c>
      <c r="F323" s="860">
        <v>1040119</v>
      </c>
      <c r="G323" s="860"/>
      <c r="H323" s="860">
        <v>0</v>
      </c>
      <c r="I323" s="862">
        <f>H323/E323</f>
        <v>0</v>
      </c>
      <c r="J323" s="857"/>
      <c r="K323" s="857">
        <f>H323+J323</f>
        <v>0</v>
      </c>
      <c r="L323" s="935">
        <f t="shared" si="32"/>
        <v>0</v>
      </c>
      <c r="M323" s="2367"/>
    </row>
    <row r="324" spans="1:13" ht="12.75">
      <c r="A324" s="2363"/>
      <c r="B324" s="2365"/>
      <c r="C324" s="1957"/>
      <c r="D324" s="936">
        <v>6208</v>
      </c>
      <c r="E324" s="860">
        <v>350550</v>
      </c>
      <c r="F324" s="860">
        <v>1060959</v>
      </c>
      <c r="G324" s="860"/>
      <c r="H324" s="860">
        <v>0</v>
      </c>
      <c r="I324" s="862">
        <f>H324/E324</f>
        <v>0</v>
      </c>
      <c r="J324" s="857"/>
      <c r="K324" s="857">
        <f>H324+J324</f>
        <v>0</v>
      </c>
      <c r="L324" s="935">
        <f t="shared" si="32"/>
        <v>0</v>
      </c>
      <c r="M324" s="2367"/>
    </row>
    <row r="325" spans="1:13" ht="12.75">
      <c r="A325" s="2363"/>
      <c r="B325" s="2365"/>
      <c r="C325" s="1958"/>
      <c r="D325" s="936">
        <v>6209</v>
      </c>
      <c r="E325" s="860">
        <v>61862</v>
      </c>
      <c r="F325" s="860">
        <v>187228</v>
      </c>
      <c r="G325" s="860"/>
      <c r="H325" s="860">
        <v>0</v>
      </c>
      <c r="I325" s="862">
        <f>H325/E325</f>
        <v>0</v>
      </c>
      <c r="J325" s="857"/>
      <c r="K325" s="857">
        <f>H325+J325</f>
        <v>0</v>
      </c>
      <c r="L325" s="935">
        <f t="shared" si="32"/>
        <v>0</v>
      </c>
      <c r="M325" s="2367"/>
    </row>
    <row r="326" spans="1:13" ht="12.75">
      <c r="A326" s="2363"/>
      <c r="B326" s="2365"/>
      <c r="C326" s="668" t="s">
        <v>31</v>
      </c>
      <c r="D326" s="929"/>
      <c r="E326" s="857"/>
      <c r="F326" s="857"/>
      <c r="G326" s="857"/>
      <c r="H326" s="857"/>
      <c r="I326" s="862"/>
      <c r="J326" s="857"/>
      <c r="K326" s="857"/>
      <c r="L326" s="930"/>
      <c r="M326" s="2367"/>
    </row>
    <row r="327" spans="1:13" ht="13.5" thickBot="1">
      <c r="A327" s="2364"/>
      <c r="B327" s="2366"/>
      <c r="C327" s="169" t="s">
        <v>32</v>
      </c>
      <c r="D327" s="955"/>
      <c r="E327" s="980"/>
      <c r="F327" s="980"/>
      <c r="G327" s="980"/>
      <c r="H327" s="980"/>
      <c r="I327" s="960"/>
      <c r="J327" s="980"/>
      <c r="K327" s="956"/>
      <c r="L327" s="981"/>
      <c r="M327" s="2368"/>
    </row>
    <row r="328" spans="1:13" ht="24" customHeight="1" thickBot="1">
      <c r="A328" s="2358" t="s">
        <v>33</v>
      </c>
      <c r="B328" s="2359"/>
      <c r="C328" s="2360"/>
      <c r="D328" s="982"/>
      <c r="E328" s="983">
        <f>E256+E7+E240</f>
        <v>797711866</v>
      </c>
      <c r="F328" s="983">
        <f t="shared" ref="F328:K328" si="33">F256+F7+F240</f>
        <v>887680295</v>
      </c>
      <c r="G328" s="983"/>
      <c r="H328" s="983">
        <f t="shared" si="33"/>
        <v>1119298507</v>
      </c>
      <c r="I328" s="984">
        <f t="shared" ref="I328" si="34">H328/E328</f>
        <v>1.4031363387040303</v>
      </c>
      <c r="J328" s="983">
        <f t="shared" si="33"/>
        <v>54326660</v>
      </c>
      <c r="K328" s="983">
        <f t="shared" si="33"/>
        <v>1173625167</v>
      </c>
      <c r="L328" s="985">
        <f>K328/E328</f>
        <v>1.4712394500096355</v>
      </c>
      <c r="M328" s="986"/>
    </row>
    <row r="329" spans="1:13" s="251" customFormat="1" ht="2.25" customHeight="1">
      <c r="A329" s="2361" t="s">
        <v>349</v>
      </c>
      <c r="B329" s="2362"/>
      <c r="C329" s="2362"/>
      <c r="D329" s="2362"/>
      <c r="E329" s="2362"/>
      <c r="F329" s="2362"/>
      <c r="G329" s="2362"/>
      <c r="H329" s="2362"/>
      <c r="I329" s="2362"/>
      <c r="J329" s="2362"/>
      <c r="K329" s="2362"/>
      <c r="L329" s="987"/>
      <c r="M329" s="988"/>
    </row>
  </sheetData>
  <mergeCells count="69">
    <mergeCell ref="A148:A149"/>
    <mergeCell ref="B6:C6"/>
    <mergeCell ref="B8:B33"/>
    <mergeCell ref="M8:M33"/>
    <mergeCell ref="M114:M127"/>
    <mergeCell ref="C104:C113"/>
    <mergeCell ref="B100:B113"/>
    <mergeCell ref="M100:M113"/>
    <mergeCell ref="C12:C14"/>
    <mergeCell ref="C15:C18"/>
    <mergeCell ref="C24:C27"/>
    <mergeCell ref="C28:C31"/>
    <mergeCell ref="B34:B64"/>
    <mergeCell ref="M34:M64"/>
    <mergeCell ref="C45:C53"/>
    <mergeCell ref="C54:C62"/>
    <mergeCell ref="A1:M2"/>
    <mergeCell ref="A4:A5"/>
    <mergeCell ref="B4:C5"/>
    <mergeCell ref="D4:D5"/>
    <mergeCell ref="E4:E5"/>
    <mergeCell ref="F4:F5"/>
    <mergeCell ref="H4:H5"/>
    <mergeCell ref="I4:I5"/>
    <mergeCell ref="J4:J5"/>
    <mergeCell ref="K4:K5"/>
    <mergeCell ref="L4:L5"/>
    <mergeCell ref="M4:M5"/>
    <mergeCell ref="B85:B99"/>
    <mergeCell ref="M85:M99"/>
    <mergeCell ref="M65:M79"/>
    <mergeCell ref="B65:B79"/>
    <mergeCell ref="B150:B164"/>
    <mergeCell ref="M150:M164"/>
    <mergeCell ref="B138:B140"/>
    <mergeCell ref="B141:B147"/>
    <mergeCell ref="B148:B149"/>
    <mergeCell ref="C70:C75"/>
    <mergeCell ref="B165:B179"/>
    <mergeCell ref="M165:M179"/>
    <mergeCell ref="M128:M149"/>
    <mergeCell ref="B128:B130"/>
    <mergeCell ref="B180:B194"/>
    <mergeCell ref="M180:M194"/>
    <mergeCell ref="A210:A224"/>
    <mergeCell ref="B210:B224"/>
    <mergeCell ref="M210:M224"/>
    <mergeCell ref="B195:B209"/>
    <mergeCell ref="M195:M209"/>
    <mergeCell ref="A225:A239"/>
    <mergeCell ref="B225:B239"/>
    <mergeCell ref="M225:M239"/>
    <mergeCell ref="M241:M255"/>
    <mergeCell ref="B241:B255"/>
    <mergeCell ref="A241:A255"/>
    <mergeCell ref="C260:C266"/>
    <mergeCell ref="C267:C286"/>
    <mergeCell ref="C293:C295"/>
    <mergeCell ref="M257:M291"/>
    <mergeCell ref="B257:B278"/>
    <mergeCell ref="B279:B298"/>
    <mergeCell ref="A328:C328"/>
    <mergeCell ref="A329:K329"/>
    <mergeCell ref="A299:A327"/>
    <mergeCell ref="B299:B327"/>
    <mergeCell ref="M299:M327"/>
    <mergeCell ref="C306:C310"/>
    <mergeCell ref="C314:C319"/>
    <mergeCell ref="C320:C32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0" fitToHeight="0" orientation="landscape" horizontalDpi="4294967295" verticalDpi="4294967295" r:id="rId1"/>
  <headerFooter alignWithMargins="0"/>
  <rowBreaks count="9" manualBreakCount="9">
    <brk id="33" max="12" man="1"/>
    <brk id="79" max="12" man="1"/>
    <brk id="113" max="12" man="1"/>
    <brk id="125" max="12" man="1"/>
    <brk id="147" max="12" man="1"/>
    <brk id="194" max="12" man="1"/>
    <brk id="239" max="12" man="1"/>
    <brk id="278" max="12" man="1"/>
    <brk id="319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FF"/>
    <pageSetUpPr fitToPage="1"/>
  </sheetPr>
  <dimension ref="A1:XEU559"/>
  <sheetViews>
    <sheetView view="pageBreakPreview" zoomScaleNormal="115" zoomScaleSheetLayoutView="100" workbookViewId="0">
      <pane xSplit="4" ySplit="6" topLeftCell="F536" activePane="bottomRight" state="frozen"/>
      <selection activeCell="L62" sqref="L62"/>
      <selection pane="topRight" activeCell="L62" sqref="L62"/>
      <selection pane="bottomLeft" activeCell="L62" sqref="L62"/>
      <selection pane="bottomRight" activeCell="M536" sqref="M536:M551"/>
    </sheetView>
  </sheetViews>
  <sheetFormatPr defaultColWidth="11.140625" defaultRowHeight="12.75"/>
  <cols>
    <col min="1" max="2" width="5.42578125" style="420" customWidth="1"/>
    <col min="3" max="3" width="43" style="421" customWidth="1"/>
    <col min="4" max="4" width="5.28515625" style="422" customWidth="1"/>
    <col min="5" max="5" width="10.42578125" style="640" customWidth="1"/>
    <col min="6" max="6" width="10.140625" style="640" customWidth="1"/>
    <col min="7" max="7" width="10.28515625" style="640" hidden="1" customWidth="1"/>
    <col min="8" max="8" width="11" style="640" hidden="1" customWidth="1"/>
    <col min="9" max="9" width="8.5703125" style="640" hidden="1" customWidth="1"/>
    <col min="10" max="10" width="15" style="640" hidden="1" customWidth="1"/>
    <col min="11" max="11" width="10.5703125" style="640" customWidth="1"/>
    <col min="12" max="12" width="7.42578125" style="641" hidden="1" customWidth="1"/>
    <col min="13" max="13" width="70.5703125" style="638" customWidth="1"/>
    <col min="14" max="238" width="10.28515625" style="178" customWidth="1"/>
    <col min="239" max="239" width="4.28515625" style="178" bestFit="1" customWidth="1"/>
    <col min="240" max="240" width="6.85546875" style="178" bestFit="1" customWidth="1"/>
    <col min="241" max="241" width="11" style="178" customWidth="1"/>
    <col min="242" max="242" width="11.140625" style="178" bestFit="1" customWidth="1"/>
    <col min="243" max="243" width="10.85546875" style="178" customWidth="1"/>
    <col min="244" max="244" width="11.5703125" style="178" customWidth="1"/>
    <col min="245" max="245" width="11.140625" style="178" bestFit="1" customWidth="1"/>
    <col min="246" max="246" width="11" style="178" customWidth="1"/>
    <col min="247" max="247" width="10.42578125" style="178" customWidth="1"/>
    <col min="248" max="248" width="11.28515625" style="178" customWidth="1"/>
    <col min="249" max="250" width="9.140625" style="178" bestFit="1" customWidth="1"/>
    <col min="251" max="251" width="11.140625" style="178"/>
    <col min="252" max="253" width="5.42578125" style="178" customWidth="1"/>
    <col min="254" max="254" width="41.85546875" style="178" customWidth="1"/>
    <col min="255" max="257" width="12.140625" style="178" customWidth="1"/>
    <col min="258" max="258" width="7.28515625" style="178" customWidth="1"/>
    <col min="259" max="260" width="12.140625" style="178" customWidth="1"/>
    <col min="261" max="261" width="66" style="178" customWidth="1"/>
    <col min="262" max="494" width="10.28515625" style="178" customWidth="1"/>
    <col min="495" max="495" width="4.28515625" style="178" bestFit="1" customWidth="1"/>
    <col min="496" max="496" width="6.85546875" style="178" bestFit="1" customWidth="1"/>
    <col min="497" max="497" width="11" style="178" customWidth="1"/>
    <col min="498" max="498" width="11.140625" style="178" bestFit="1" customWidth="1"/>
    <col min="499" max="499" width="10.85546875" style="178" customWidth="1"/>
    <col min="500" max="500" width="11.5703125" style="178" customWidth="1"/>
    <col min="501" max="501" width="11.140625" style="178" bestFit="1" customWidth="1"/>
    <col min="502" max="502" width="11" style="178" customWidth="1"/>
    <col min="503" max="503" width="10.42578125" style="178" customWidth="1"/>
    <col min="504" max="504" width="11.28515625" style="178" customWidth="1"/>
    <col min="505" max="506" width="9.140625" style="178" bestFit="1" customWidth="1"/>
    <col min="507" max="507" width="11.140625" style="178"/>
    <col min="508" max="509" width="5.42578125" style="178" customWidth="1"/>
    <col min="510" max="510" width="41.85546875" style="178" customWidth="1"/>
    <col min="511" max="513" width="12.140625" style="178" customWidth="1"/>
    <col min="514" max="514" width="7.28515625" style="178" customWidth="1"/>
    <col min="515" max="516" width="12.140625" style="178" customWidth="1"/>
    <col min="517" max="517" width="66" style="178" customWidth="1"/>
    <col min="518" max="750" width="10.28515625" style="178" customWidth="1"/>
    <col min="751" max="751" width="4.28515625" style="178" bestFit="1" customWidth="1"/>
    <col min="752" max="752" width="6.85546875" style="178" bestFit="1" customWidth="1"/>
    <col min="753" max="753" width="11" style="178" customWidth="1"/>
    <col min="754" max="754" width="11.140625" style="178" bestFit="1" customWidth="1"/>
    <col min="755" max="755" width="10.85546875" style="178" customWidth="1"/>
    <col min="756" max="756" width="11.5703125" style="178" customWidth="1"/>
    <col min="757" max="757" width="11.140625" style="178" bestFit="1" customWidth="1"/>
    <col min="758" max="758" width="11" style="178" customWidth="1"/>
    <col min="759" max="759" width="10.42578125" style="178" customWidth="1"/>
    <col min="760" max="760" width="11.28515625" style="178" customWidth="1"/>
    <col min="761" max="762" width="9.140625" style="178" bestFit="1" customWidth="1"/>
    <col min="763" max="763" width="11.140625" style="178"/>
    <col min="764" max="765" width="5.42578125" style="178" customWidth="1"/>
    <col min="766" max="766" width="41.85546875" style="178" customWidth="1"/>
    <col min="767" max="769" width="12.140625" style="178" customWidth="1"/>
    <col min="770" max="770" width="7.28515625" style="178" customWidth="1"/>
    <col min="771" max="772" width="12.140625" style="178" customWidth="1"/>
    <col min="773" max="773" width="66" style="178" customWidth="1"/>
    <col min="774" max="1006" width="10.28515625" style="178" customWidth="1"/>
    <col min="1007" max="1007" width="4.28515625" style="178" bestFit="1" customWidth="1"/>
    <col min="1008" max="1008" width="6.85546875" style="178" bestFit="1" customWidth="1"/>
    <col min="1009" max="1009" width="11" style="178" customWidth="1"/>
    <col min="1010" max="1010" width="11.140625" style="178" bestFit="1" customWidth="1"/>
    <col min="1011" max="1011" width="10.85546875" style="178" customWidth="1"/>
    <col min="1012" max="1012" width="11.5703125" style="178" customWidth="1"/>
    <col min="1013" max="1013" width="11.140625" style="178" bestFit="1" customWidth="1"/>
    <col min="1014" max="1014" width="11" style="178" customWidth="1"/>
    <col min="1015" max="1015" width="10.42578125" style="178" customWidth="1"/>
    <col min="1016" max="1016" width="11.28515625" style="178" customWidth="1"/>
    <col min="1017" max="1018" width="9.140625" style="178" bestFit="1" customWidth="1"/>
    <col min="1019" max="1019" width="11.140625" style="178"/>
    <col min="1020" max="1021" width="5.42578125" style="178" customWidth="1"/>
    <col min="1022" max="1022" width="41.85546875" style="178" customWidth="1"/>
    <col min="1023" max="1025" width="12.140625" style="178" customWidth="1"/>
    <col min="1026" max="1026" width="7.28515625" style="178" customWidth="1"/>
    <col min="1027" max="1028" width="12.140625" style="178" customWidth="1"/>
    <col min="1029" max="1029" width="66" style="178" customWidth="1"/>
    <col min="1030" max="1262" width="10.28515625" style="178" customWidth="1"/>
    <col min="1263" max="1263" width="4.28515625" style="178" bestFit="1" customWidth="1"/>
    <col min="1264" max="1264" width="6.85546875" style="178" bestFit="1" customWidth="1"/>
    <col min="1265" max="1265" width="11" style="178" customWidth="1"/>
    <col min="1266" max="1266" width="11.140625" style="178" bestFit="1" customWidth="1"/>
    <col min="1267" max="1267" width="10.85546875" style="178" customWidth="1"/>
    <col min="1268" max="1268" width="11.5703125" style="178" customWidth="1"/>
    <col min="1269" max="1269" width="11.140625" style="178" bestFit="1" customWidth="1"/>
    <col min="1270" max="1270" width="11" style="178" customWidth="1"/>
    <col min="1271" max="1271" width="10.42578125" style="178" customWidth="1"/>
    <col min="1272" max="1272" width="11.28515625" style="178" customWidth="1"/>
    <col min="1273" max="1274" width="9.140625" style="178" bestFit="1" customWidth="1"/>
    <col min="1275" max="1275" width="11.140625" style="178"/>
    <col min="1276" max="1277" width="5.42578125" style="178" customWidth="1"/>
    <col min="1278" max="1278" width="41.85546875" style="178" customWidth="1"/>
    <col min="1279" max="1281" width="12.140625" style="178" customWidth="1"/>
    <col min="1282" max="1282" width="7.28515625" style="178" customWidth="1"/>
    <col min="1283" max="1284" width="12.140625" style="178" customWidth="1"/>
    <col min="1285" max="1285" width="66" style="178" customWidth="1"/>
    <col min="1286" max="1518" width="10.28515625" style="178" customWidth="1"/>
    <col min="1519" max="1519" width="4.28515625" style="178" bestFit="1" customWidth="1"/>
    <col min="1520" max="1520" width="6.85546875" style="178" bestFit="1" customWidth="1"/>
    <col min="1521" max="1521" width="11" style="178" customWidth="1"/>
    <col min="1522" max="1522" width="11.140625" style="178" bestFit="1" customWidth="1"/>
    <col min="1523" max="1523" width="10.85546875" style="178" customWidth="1"/>
    <col min="1524" max="1524" width="11.5703125" style="178" customWidth="1"/>
    <col min="1525" max="1525" width="11.140625" style="178" bestFit="1" customWidth="1"/>
    <col min="1526" max="1526" width="11" style="178" customWidth="1"/>
    <col min="1527" max="1527" width="10.42578125" style="178" customWidth="1"/>
    <col min="1528" max="1528" width="11.28515625" style="178" customWidth="1"/>
    <col min="1529" max="1530" width="9.140625" style="178" bestFit="1" customWidth="1"/>
    <col min="1531" max="1531" width="11.140625" style="178"/>
    <col min="1532" max="1533" width="5.42578125" style="178" customWidth="1"/>
    <col min="1534" max="1534" width="41.85546875" style="178" customWidth="1"/>
    <col min="1535" max="1537" width="12.140625" style="178" customWidth="1"/>
    <col min="1538" max="1538" width="7.28515625" style="178" customWidth="1"/>
    <col min="1539" max="1540" width="12.140625" style="178" customWidth="1"/>
    <col min="1541" max="1541" width="66" style="178" customWidth="1"/>
    <col min="1542" max="1774" width="10.28515625" style="178" customWidth="1"/>
    <col min="1775" max="1775" width="4.28515625" style="178" bestFit="1" customWidth="1"/>
    <col min="1776" max="1776" width="6.85546875" style="178" bestFit="1" customWidth="1"/>
    <col min="1777" max="1777" width="11" style="178" customWidth="1"/>
    <col min="1778" max="1778" width="11.140625" style="178" bestFit="1" customWidth="1"/>
    <col min="1779" max="1779" width="10.85546875" style="178" customWidth="1"/>
    <col min="1780" max="1780" width="11.5703125" style="178" customWidth="1"/>
    <col min="1781" max="1781" width="11.140625" style="178" bestFit="1" customWidth="1"/>
    <col min="1782" max="1782" width="11" style="178" customWidth="1"/>
    <col min="1783" max="1783" width="10.42578125" style="178" customWidth="1"/>
    <col min="1784" max="1784" width="11.28515625" style="178" customWidth="1"/>
    <col min="1785" max="1786" width="9.140625" style="178" bestFit="1" customWidth="1"/>
    <col min="1787" max="1787" width="11.140625" style="178"/>
    <col min="1788" max="1789" width="5.42578125" style="178" customWidth="1"/>
    <col min="1790" max="1790" width="41.85546875" style="178" customWidth="1"/>
    <col min="1791" max="1793" width="12.140625" style="178" customWidth="1"/>
    <col min="1794" max="1794" width="7.28515625" style="178" customWidth="1"/>
    <col min="1795" max="1796" width="12.140625" style="178" customWidth="1"/>
    <col min="1797" max="1797" width="66" style="178" customWidth="1"/>
    <col min="1798" max="2030" width="10.28515625" style="178" customWidth="1"/>
    <col min="2031" max="2031" width="4.28515625" style="178" bestFit="1" customWidth="1"/>
    <col min="2032" max="2032" width="6.85546875" style="178" bestFit="1" customWidth="1"/>
    <col min="2033" max="2033" width="11" style="178" customWidth="1"/>
    <col min="2034" max="2034" width="11.140625" style="178" bestFit="1" customWidth="1"/>
    <col min="2035" max="2035" width="10.85546875" style="178" customWidth="1"/>
    <col min="2036" max="2036" width="11.5703125" style="178" customWidth="1"/>
    <col min="2037" max="2037" width="11.140625" style="178" bestFit="1" customWidth="1"/>
    <col min="2038" max="2038" width="11" style="178" customWidth="1"/>
    <col min="2039" max="2039" width="10.42578125" style="178" customWidth="1"/>
    <col min="2040" max="2040" width="11.28515625" style="178" customWidth="1"/>
    <col min="2041" max="2042" width="9.140625" style="178" bestFit="1" customWidth="1"/>
    <col min="2043" max="2043" width="11.140625" style="178"/>
    <col min="2044" max="2045" width="5.42578125" style="178" customWidth="1"/>
    <col min="2046" max="2046" width="41.85546875" style="178" customWidth="1"/>
    <col min="2047" max="2049" width="12.140625" style="178" customWidth="1"/>
    <col min="2050" max="2050" width="7.28515625" style="178" customWidth="1"/>
    <col min="2051" max="2052" width="12.140625" style="178" customWidth="1"/>
    <col min="2053" max="2053" width="66" style="178" customWidth="1"/>
    <col min="2054" max="2286" width="10.28515625" style="178" customWidth="1"/>
    <col min="2287" max="2287" width="4.28515625" style="178" bestFit="1" customWidth="1"/>
    <col min="2288" max="2288" width="6.85546875" style="178" bestFit="1" customWidth="1"/>
    <col min="2289" max="2289" width="11" style="178" customWidth="1"/>
    <col min="2290" max="2290" width="11.140625" style="178" bestFit="1" customWidth="1"/>
    <col min="2291" max="2291" width="10.85546875" style="178" customWidth="1"/>
    <col min="2292" max="2292" width="11.5703125" style="178" customWidth="1"/>
    <col min="2293" max="2293" width="11.140625" style="178" bestFit="1" customWidth="1"/>
    <col min="2294" max="2294" width="11" style="178" customWidth="1"/>
    <col min="2295" max="2295" width="10.42578125" style="178" customWidth="1"/>
    <col min="2296" max="2296" width="11.28515625" style="178" customWidth="1"/>
    <col min="2297" max="2298" width="9.140625" style="178" bestFit="1" customWidth="1"/>
    <col min="2299" max="2299" width="11.140625" style="178"/>
    <col min="2300" max="2301" width="5.42578125" style="178" customWidth="1"/>
    <col min="2302" max="2302" width="41.85546875" style="178" customWidth="1"/>
    <col min="2303" max="2305" width="12.140625" style="178" customWidth="1"/>
    <col min="2306" max="2306" width="7.28515625" style="178" customWidth="1"/>
    <col min="2307" max="2308" width="12.140625" style="178" customWidth="1"/>
    <col min="2309" max="2309" width="66" style="178" customWidth="1"/>
    <col min="2310" max="2542" width="10.28515625" style="178" customWidth="1"/>
    <col min="2543" max="2543" width="4.28515625" style="178" bestFit="1" customWidth="1"/>
    <col min="2544" max="2544" width="6.85546875" style="178" bestFit="1" customWidth="1"/>
    <col min="2545" max="2545" width="11" style="178" customWidth="1"/>
    <col min="2546" max="2546" width="11.140625" style="178" bestFit="1" customWidth="1"/>
    <col min="2547" max="2547" width="10.85546875" style="178" customWidth="1"/>
    <col min="2548" max="2548" width="11.5703125" style="178" customWidth="1"/>
    <col min="2549" max="2549" width="11.140625" style="178" bestFit="1" customWidth="1"/>
    <col min="2550" max="2550" width="11" style="178" customWidth="1"/>
    <col min="2551" max="2551" width="10.42578125" style="178" customWidth="1"/>
    <col min="2552" max="2552" width="11.28515625" style="178" customWidth="1"/>
    <col min="2553" max="2554" width="9.140625" style="178" bestFit="1" customWidth="1"/>
    <col min="2555" max="2555" width="11.140625" style="178"/>
    <col min="2556" max="2557" width="5.42578125" style="178" customWidth="1"/>
    <col min="2558" max="2558" width="41.85546875" style="178" customWidth="1"/>
    <col min="2559" max="2561" width="12.140625" style="178" customWidth="1"/>
    <col min="2562" max="2562" width="7.28515625" style="178" customWidth="1"/>
    <col min="2563" max="2564" width="12.140625" style="178" customWidth="1"/>
    <col min="2565" max="2565" width="66" style="178" customWidth="1"/>
    <col min="2566" max="2798" width="10.28515625" style="178" customWidth="1"/>
    <col min="2799" max="2799" width="4.28515625" style="178" bestFit="1" customWidth="1"/>
    <col min="2800" max="2800" width="6.85546875" style="178" bestFit="1" customWidth="1"/>
    <col min="2801" max="2801" width="11" style="178" customWidth="1"/>
    <col min="2802" max="2802" width="11.140625" style="178" bestFit="1" customWidth="1"/>
    <col min="2803" max="2803" width="10.85546875" style="178" customWidth="1"/>
    <col min="2804" max="2804" width="11.5703125" style="178" customWidth="1"/>
    <col min="2805" max="2805" width="11.140625" style="178" bestFit="1" customWidth="1"/>
    <col min="2806" max="2806" width="11" style="178" customWidth="1"/>
    <col min="2807" max="2807" width="10.42578125" style="178" customWidth="1"/>
    <col min="2808" max="2808" width="11.28515625" style="178" customWidth="1"/>
    <col min="2809" max="2810" width="9.140625" style="178" bestFit="1" customWidth="1"/>
    <col min="2811" max="2811" width="11.140625" style="178"/>
    <col min="2812" max="2813" width="5.42578125" style="178" customWidth="1"/>
    <col min="2814" max="2814" width="41.85546875" style="178" customWidth="1"/>
    <col min="2815" max="2817" width="12.140625" style="178" customWidth="1"/>
    <col min="2818" max="2818" width="7.28515625" style="178" customWidth="1"/>
    <col min="2819" max="2820" width="12.140625" style="178" customWidth="1"/>
    <col min="2821" max="2821" width="66" style="178" customWidth="1"/>
    <col min="2822" max="3054" width="10.28515625" style="178" customWidth="1"/>
    <col min="3055" max="3055" width="4.28515625" style="178" bestFit="1" customWidth="1"/>
    <col min="3056" max="3056" width="6.85546875" style="178" bestFit="1" customWidth="1"/>
    <col min="3057" max="3057" width="11" style="178" customWidth="1"/>
    <col min="3058" max="3058" width="11.140625" style="178" bestFit="1" customWidth="1"/>
    <col min="3059" max="3059" width="10.85546875" style="178" customWidth="1"/>
    <col min="3060" max="3060" width="11.5703125" style="178" customWidth="1"/>
    <col min="3061" max="3061" width="11.140625" style="178" bestFit="1" customWidth="1"/>
    <col min="3062" max="3062" width="11" style="178" customWidth="1"/>
    <col min="3063" max="3063" width="10.42578125" style="178" customWidth="1"/>
    <col min="3064" max="3064" width="11.28515625" style="178" customWidth="1"/>
    <col min="3065" max="3066" width="9.140625" style="178" bestFit="1" customWidth="1"/>
    <col min="3067" max="3067" width="11.140625" style="178"/>
    <col min="3068" max="3069" width="5.42578125" style="178" customWidth="1"/>
    <col min="3070" max="3070" width="41.85546875" style="178" customWidth="1"/>
    <col min="3071" max="3073" width="12.140625" style="178" customWidth="1"/>
    <col min="3074" max="3074" width="7.28515625" style="178" customWidth="1"/>
    <col min="3075" max="3076" width="12.140625" style="178" customWidth="1"/>
    <col min="3077" max="3077" width="66" style="178" customWidth="1"/>
    <col min="3078" max="3310" width="10.28515625" style="178" customWidth="1"/>
    <col min="3311" max="3311" width="4.28515625" style="178" bestFit="1" customWidth="1"/>
    <col min="3312" max="3312" width="6.85546875" style="178" bestFit="1" customWidth="1"/>
    <col min="3313" max="3313" width="11" style="178" customWidth="1"/>
    <col min="3314" max="3314" width="11.140625" style="178" bestFit="1" customWidth="1"/>
    <col min="3315" max="3315" width="10.85546875" style="178" customWidth="1"/>
    <col min="3316" max="3316" width="11.5703125" style="178" customWidth="1"/>
    <col min="3317" max="3317" width="11.140625" style="178" bestFit="1" customWidth="1"/>
    <col min="3318" max="3318" width="11" style="178" customWidth="1"/>
    <col min="3319" max="3319" width="10.42578125" style="178" customWidth="1"/>
    <col min="3320" max="3320" width="11.28515625" style="178" customWidth="1"/>
    <col min="3321" max="3322" width="9.140625" style="178" bestFit="1" customWidth="1"/>
    <col min="3323" max="3323" width="11.140625" style="178"/>
    <col min="3324" max="3325" width="5.42578125" style="178" customWidth="1"/>
    <col min="3326" max="3326" width="41.85546875" style="178" customWidth="1"/>
    <col min="3327" max="3329" width="12.140625" style="178" customWidth="1"/>
    <col min="3330" max="3330" width="7.28515625" style="178" customWidth="1"/>
    <col min="3331" max="3332" width="12.140625" style="178" customWidth="1"/>
    <col min="3333" max="3333" width="66" style="178" customWidth="1"/>
    <col min="3334" max="3566" width="10.28515625" style="178" customWidth="1"/>
    <col min="3567" max="3567" width="4.28515625" style="178" bestFit="1" customWidth="1"/>
    <col min="3568" max="3568" width="6.85546875" style="178" bestFit="1" customWidth="1"/>
    <col min="3569" max="3569" width="11" style="178" customWidth="1"/>
    <col min="3570" max="3570" width="11.140625" style="178" bestFit="1" customWidth="1"/>
    <col min="3571" max="3571" width="10.85546875" style="178" customWidth="1"/>
    <col min="3572" max="3572" width="11.5703125" style="178" customWidth="1"/>
    <col min="3573" max="3573" width="11.140625" style="178" bestFit="1" customWidth="1"/>
    <col min="3574" max="3574" width="11" style="178" customWidth="1"/>
    <col min="3575" max="3575" width="10.42578125" style="178" customWidth="1"/>
    <col min="3576" max="3576" width="11.28515625" style="178" customWidth="1"/>
    <col min="3577" max="3578" width="9.140625" style="178" bestFit="1" customWidth="1"/>
    <col min="3579" max="3579" width="11.140625" style="178"/>
    <col min="3580" max="3581" width="5.42578125" style="178" customWidth="1"/>
    <col min="3582" max="3582" width="41.85546875" style="178" customWidth="1"/>
    <col min="3583" max="3585" width="12.140625" style="178" customWidth="1"/>
    <col min="3586" max="3586" width="7.28515625" style="178" customWidth="1"/>
    <col min="3587" max="3588" width="12.140625" style="178" customWidth="1"/>
    <col min="3589" max="3589" width="66" style="178" customWidth="1"/>
    <col min="3590" max="3822" width="10.28515625" style="178" customWidth="1"/>
    <col min="3823" max="3823" width="4.28515625" style="178" bestFit="1" customWidth="1"/>
    <col min="3824" max="3824" width="6.85546875" style="178" bestFit="1" customWidth="1"/>
    <col min="3825" max="3825" width="11" style="178" customWidth="1"/>
    <col min="3826" max="3826" width="11.140625" style="178" bestFit="1" customWidth="1"/>
    <col min="3827" max="3827" width="10.85546875" style="178" customWidth="1"/>
    <col min="3828" max="3828" width="11.5703125" style="178" customWidth="1"/>
    <col min="3829" max="3829" width="11.140625" style="178" bestFit="1" customWidth="1"/>
    <col min="3830" max="3830" width="11" style="178" customWidth="1"/>
    <col min="3831" max="3831" width="10.42578125" style="178" customWidth="1"/>
    <col min="3832" max="3832" width="11.28515625" style="178" customWidth="1"/>
    <col min="3833" max="3834" width="9.140625" style="178" bestFit="1" customWidth="1"/>
    <col min="3835" max="3835" width="11.140625" style="178"/>
    <col min="3836" max="3837" width="5.42578125" style="178" customWidth="1"/>
    <col min="3838" max="3838" width="41.85546875" style="178" customWidth="1"/>
    <col min="3839" max="3841" width="12.140625" style="178" customWidth="1"/>
    <col min="3842" max="3842" width="7.28515625" style="178" customWidth="1"/>
    <col min="3843" max="3844" width="12.140625" style="178" customWidth="1"/>
    <col min="3845" max="3845" width="66" style="178" customWidth="1"/>
    <col min="3846" max="4078" width="10.28515625" style="178" customWidth="1"/>
    <col min="4079" max="4079" width="4.28515625" style="178" bestFit="1" customWidth="1"/>
    <col min="4080" max="4080" width="6.85546875" style="178" bestFit="1" customWidth="1"/>
    <col min="4081" max="4081" width="11" style="178" customWidth="1"/>
    <col min="4082" max="4082" width="11.140625" style="178" bestFit="1" customWidth="1"/>
    <col min="4083" max="4083" width="10.85546875" style="178" customWidth="1"/>
    <col min="4084" max="4084" width="11.5703125" style="178" customWidth="1"/>
    <col min="4085" max="4085" width="11.140625" style="178" bestFit="1" customWidth="1"/>
    <col min="4086" max="4086" width="11" style="178" customWidth="1"/>
    <col min="4087" max="4087" width="10.42578125" style="178" customWidth="1"/>
    <col min="4088" max="4088" width="11.28515625" style="178" customWidth="1"/>
    <col min="4089" max="4090" width="9.140625" style="178" bestFit="1" customWidth="1"/>
    <col min="4091" max="4091" width="11.140625" style="178"/>
    <col min="4092" max="4093" width="5.42578125" style="178" customWidth="1"/>
    <col min="4094" max="4094" width="41.85546875" style="178" customWidth="1"/>
    <col min="4095" max="4097" width="12.140625" style="178" customWidth="1"/>
    <col min="4098" max="4098" width="7.28515625" style="178" customWidth="1"/>
    <col min="4099" max="4100" width="12.140625" style="178" customWidth="1"/>
    <col min="4101" max="4101" width="66" style="178" customWidth="1"/>
    <col min="4102" max="4334" width="10.28515625" style="178" customWidth="1"/>
    <col min="4335" max="4335" width="4.28515625" style="178" bestFit="1" customWidth="1"/>
    <col min="4336" max="4336" width="6.85546875" style="178" bestFit="1" customWidth="1"/>
    <col min="4337" max="4337" width="11" style="178" customWidth="1"/>
    <col min="4338" max="4338" width="11.140625" style="178" bestFit="1" customWidth="1"/>
    <col min="4339" max="4339" width="10.85546875" style="178" customWidth="1"/>
    <col min="4340" max="4340" width="11.5703125" style="178" customWidth="1"/>
    <col min="4341" max="4341" width="11.140625" style="178" bestFit="1" customWidth="1"/>
    <col min="4342" max="4342" width="11" style="178" customWidth="1"/>
    <col min="4343" max="4343" width="10.42578125" style="178" customWidth="1"/>
    <col min="4344" max="4344" width="11.28515625" style="178" customWidth="1"/>
    <col min="4345" max="4346" width="9.140625" style="178" bestFit="1" customWidth="1"/>
    <col min="4347" max="4347" width="11.140625" style="178"/>
    <col min="4348" max="4349" width="5.42578125" style="178" customWidth="1"/>
    <col min="4350" max="4350" width="41.85546875" style="178" customWidth="1"/>
    <col min="4351" max="4353" width="12.140625" style="178" customWidth="1"/>
    <col min="4354" max="4354" width="7.28515625" style="178" customWidth="1"/>
    <col min="4355" max="4356" width="12.140625" style="178" customWidth="1"/>
    <col min="4357" max="4357" width="66" style="178" customWidth="1"/>
    <col min="4358" max="4590" width="10.28515625" style="178" customWidth="1"/>
    <col min="4591" max="4591" width="4.28515625" style="178" bestFit="1" customWidth="1"/>
    <col min="4592" max="4592" width="6.85546875" style="178" bestFit="1" customWidth="1"/>
    <col min="4593" max="4593" width="11" style="178" customWidth="1"/>
    <col min="4594" max="4594" width="11.140625" style="178" bestFit="1" customWidth="1"/>
    <col min="4595" max="4595" width="10.85546875" style="178" customWidth="1"/>
    <col min="4596" max="4596" width="11.5703125" style="178" customWidth="1"/>
    <col min="4597" max="4597" width="11.140625" style="178" bestFit="1" customWidth="1"/>
    <col min="4598" max="4598" width="11" style="178" customWidth="1"/>
    <col min="4599" max="4599" width="10.42578125" style="178" customWidth="1"/>
    <col min="4600" max="4600" width="11.28515625" style="178" customWidth="1"/>
    <col min="4601" max="4602" width="9.140625" style="178" bestFit="1" customWidth="1"/>
    <col min="4603" max="4603" width="11.140625" style="178"/>
    <col min="4604" max="4605" width="5.42578125" style="178" customWidth="1"/>
    <col min="4606" max="4606" width="41.85546875" style="178" customWidth="1"/>
    <col min="4607" max="4609" width="12.140625" style="178" customWidth="1"/>
    <col min="4610" max="4610" width="7.28515625" style="178" customWidth="1"/>
    <col min="4611" max="4612" width="12.140625" style="178" customWidth="1"/>
    <col min="4613" max="4613" width="66" style="178" customWidth="1"/>
    <col min="4614" max="4846" width="10.28515625" style="178" customWidth="1"/>
    <col min="4847" max="4847" width="4.28515625" style="178" bestFit="1" customWidth="1"/>
    <col min="4848" max="4848" width="6.85546875" style="178" bestFit="1" customWidth="1"/>
    <col min="4849" max="4849" width="11" style="178" customWidth="1"/>
    <col min="4850" max="4850" width="11.140625" style="178" bestFit="1" customWidth="1"/>
    <col min="4851" max="4851" width="10.85546875" style="178" customWidth="1"/>
    <col min="4852" max="4852" width="11.5703125" style="178" customWidth="1"/>
    <col min="4853" max="4853" width="11.140625" style="178" bestFit="1" customWidth="1"/>
    <col min="4854" max="4854" width="11" style="178" customWidth="1"/>
    <col min="4855" max="4855" width="10.42578125" style="178" customWidth="1"/>
    <col min="4856" max="4856" width="11.28515625" style="178" customWidth="1"/>
    <col min="4857" max="4858" width="9.140625" style="178" bestFit="1" customWidth="1"/>
    <col min="4859" max="4859" width="11.140625" style="178"/>
    <col min="4860" max="4861" width="5.42578125" style="178" customWidth="1"/>
    <col min="4862" max="4862" width="41.85546875" style="178" customWidth="1"/>
    <col min="4863" max="4865" width="12.140625" style="178" customWidth="1"/>
    <col min="4866" max="4866" width="7.28515625" style="178" customWidth="1"/>
    <col min="4867" max="4868" width="12.140625" style="178" customWidth="1"/>
    <col min="4869" max="4869" width="66" style="178" customWidth="1"/>
    <col min="4870" max="5102" width="10.28515625" style="178" customWidth="1"/>
    <col min="5103" max="5103" width="4.28515625" style="178" bestFit="1" customWidth="1"/>
    <col min="5104" max="5104" width="6.85546875" style="178" bestFit="1" customWidth="1"/>
    <col min="5105" max="5105" width="11" style="178" customWidth="1"/>
    <col min="5106" max="5106" width="11.140625" style="178" bestFit="1" customWidth="1"/>
    <col min="5107" max="5107" width="10.85546875" style="178" customWidth="1"/>
    <col min="5108" max="5108" width="11.5703125" style="178" customWidth="1"/>
    <col min="5109" max="5109" width="11.140625" style="178" bestFit="1" customWidth="1"/>
    <col min="5110" max="5110" width="11" style="178" customWidth="1"/>
    <col min="5111" max="5111" width="10.42578125" style="178" customWidth="1"/>
    <col min="5112" max="5112" width="11.28515625" style="178" customWidth="1"/>
    <col min="5113" max="5114" width="9.140625" style="178" bestFit="1" customWidth="1"/>
    <col min="5115" max="5115" width="11.140625" style="178"/>
    <col min="5116" max="5117" width="5.42578125" style="178" customWidth="1"/>
    <col min="5118" max="5118" width="41.85546875" style="178" customWidth="1"/>
    <col min="5119" max="5121" width="12.140625" style="178" customWidth="1"/>
    <col min="5122" max="5122" width="7.28515625" style="178" customWidth="1"/>
    <col min="5123" max="5124" width="12.140625" style="178" customWidth="1"/>
    <col min="5125" max="5125" width="66" style="178" customWidth="1"/>
    <col min="5126" max="5358" width="10.28515625" style="178" customWidth="1"/>
    <col min="5359" max="5359" width="4.28515625" style="178" bestFit="1" customWidth="1"/>
    <col min="5360" max="5360" width="6.85546875" style="178" bestFit="1" customWidth="1"/>
    <col min="5361" max="5361" width="11" style="178" customWidth="1"/>
    <col min="5362" max="5362" width="11.140625" style="178" bestFit="1" customWidth="1"/>
    <col min="5363" max="5363" width="10.85546875" style="178" customWidth="1"/>
    <col min="5364" max="5364" width="11.5703125" style="178" customWidth="1"/>
    <col min="5365" max="5365" width="11.140625" style="178" bestFit="1" customWidth="1"/>
    <col min="5366" max="5366" width="11" style="178" customWidth="1"/>
    <col min="5367" max="5367" width="10.42578125" style="178" customWidth="1"/>
    <col min="5368" max="5368" width="11.28515625" style="178" customWidth="1"/>
    <col min="5369" max="5370" width="9.140625" style="178" bestFit="1" customWidth="1"/>
    <col min="5371" max="5371" width="11.140625" style="178"/>
    <col min="5372" max="5373" width="5.42578125" style="178" customWidth="1"/>
    <col min="5374" max="5374" width="41.85546875" style="178" customWidth="1"/>
    <col min="5375" max="5377" width="12.140625" style="178" customWidth="1"/>
    <col min="5378" max="5378" width="7.28515625" style="178" customWidth="1"/>
    <col min="5379" max="5380" width="12.140625" style="178" customWidth="1"/>
    <col min="5381" max="5381" width="66" style="178" customWidth="1"/>
    <col min="5382" max="5614" width="10.28515625" style="178" customWidth="1"/>
    <col min="5615" max="5615" width="4.28515625" style="178" bestFit="1" customWidth="1"/>
    <col min="5616" max="5616" width="6.85546875" style="178" bestFit="1" customWidth="1"/>
    <col min="5617" max="5617" width="11" style="178" customWidth="1"/>
    <col min="5618" max="5618" width="11.140625" style="178" bestFit="1" customWidth="1"/>
    <col min="5619" max="5619" width="10.85546875" style="178" customWidth="1"/>
    <col min="5620" max="5620" width="11.5703125" style="178" customWidth="1"/>
    <col min="5621" max="5621" width="11.140625" style="178" bestFit="1" customWidth="1"/>
    <col min="5622" max="5622" width="11" style="178" customWidth="1"/>
    <col min="5623" max="5623" width="10.42578125" style="178" customWidth="1"/>
    <col min="5624" max="5624" width="11.28515625" style="178" customWidth="1"/>
    <col min="5625" max="5626" width="9.140625" style="178" bestFit="1" customWidth="1"/>
    <col min="5627" max="5627" width="11.140625" style="178"/>
    <col min="5628" max="5629" width="5.42578125" style="178" customWidth="1"/>
    <col min="5630" max="5630" width="41.85546875" style="178" customWidth="1"/>
    <col min="5631" max="5633" width="12.140625" style="178" customWidth="1"/>
    <col min="5634" max="5634" width="7.28515625" style="178" customWidth="1"/>
    <col min="5635" max="5636" width="12.140625" style="178" customWidth="1"/>
    <col min="5637" max="5637" width="66" style="178" customWidth="1"/>
    <col min="5638" max="5870" width="10.28515625" style="178" customWidth="1"/>
    <col min="5871" max="5871" width="4.28515625" style="178" bestFit="1" customWidth="1"/>
    <col min="5872" max="5872" width="6.85546875" style="178" bestFit="1" customWidth="1"/>
    <col min="5873" max="5873" width="11" style="178" customWidth="1"/>
    <col min="5874" max="5874" width="11.140625" style="178" bestFit="1" customWidth="1"/>
    <col min="5875" max="5875" width="10.85546875" style="178" customWidth="1"/>
    <col min="5876" max="5876" width="11.5703125" style="178" customWidth="1"/>
    <col min="5877" max="5877" width="11.140625" style="178" bestFit="1" customWidth="1"/>
    <col min="5878" max="5878" width="11" style="178" customWidth="1"/>
    <col min="5879" max="5879" width="10.42578125" style="178" customWidth="1"/>
    <col min="5880" max="5880" width="11.28515625" style="178" customWidth="1"/>
    <col min="5881" max="5882" width="9.140625" style="178" bestFit="1" customWidth="1"/>
    <col min="5883" max="5883" width="11.140625" style="178"/>
    <col min="5884" max="5885" width="5.42578125" style="178" customWidth="1"/>
    <col min="5886" max="5886" width="41.85546875" style="178" customWidth="1"/>
    <col min="5887" max="5889" width="12.140625" style="178" customWidth="1"/>
    <col min="5890" max="5890" width="7.28515625" style="178" customWidth="1"/>
    <col min="5891" max="5892" width="12.140625" style="178" customWidth="1"/>
    <col min="5893" max="5893" width="66" style="178" customWidth="1"/>
    <col min="5894" max="6126" width="10.28515625" style="178" customWidth="1"/>
    <col min="6127" max="6127" width="4.28515625" style="178" bestFit="1" customWidth="1"/>
    <col min="6128" max="6128" width="6.85546875" style="178" bestFit="1" customWidth="1"/>
    <col min="6129" max="6129" width="11" style="178" customWidth="1"/>
    <col min="6130" max="6130" width="11.140625" style="178" bestFit="1" customWidth="1"/>
    <col min="6131" max="6131" width="10.85546875" style="178" customWidth="1"/>
    <col min="6132" max="6132" width="11.5703125" style="178" customWidth="1"/>
    <col min="6133" max="6133" width="11.140625" style="178" bestFit="1" customWidth="1"/>
    <col min="6134" max="6134" width="11" style="178" customWidth="1"/>
    <col min="6135" max="6135" width="10.42578125" style="178" customWidth="1"/>
    <col min="6136" max="6136" width="11.28515625" style="178" customWidth="1"/>
    <col min="6137" max="6138" width="9.140625" style="178" bestFit="1" customWidth="1"/>
    <col min="6139" max="6139" width="11.140625" style="178"/>
    <col min="6140" max="6141" width="5.42578125" style="178" customWidth="1"/>
    <col min="6142" max="6142" width="41.85546875" style="178" customWidth="1"/>
    <col min="6143" max="6145" width="12.140625" style="178" customWidth="1"/>
    <col min="6146" max="6146" width="7.28515625" style="178" customWidth="1"/>
    <col min="6147" max="6148" width="12.140625" style="178" customWidth="1"/>
    <col min="6149" max="6149" width="66" style="178" customWidth="1"/>
    <col min="6150" max="6382" width="10.28515625" style="178" customWidth="1"/>
    <col min="6383" max="6383" width="4.28515625" style="178" bestFit="1" customWidth="1"/>
    <col min="6384" max="6384" width="6.85546875" style="178" bestFit="1" customWidth="1"/>
    <col min="6385" max="6385" width="11" style="178" customWidth="1"/>
    <col min="6386" max="6386" width="11.140625" style="178" bestFit="1" customWidth="1"/>
    <col min="6387" max="6387" width="10.85546875" style="178" customWidth="1"/>
    <col min="6388" max="6388" width="11.5703125" style="178" customWidth="1"/>
    <col min="6389" max="6389" width="11.140625" style="178" bestFit="1" customWidth="1"/>
    <col min="6390" max="6390" width="11" style="178" customWidth="1"/>
    <col min="6391" max="6391" width="10.42578125" style="178" customWidth="1"/>
    <col min="6392" max="6392" width="11.28515625" style="178" customWidth="1"/>
    <col min="6393" max="6394" width="9.140625" style="178" bestFit="1" customWidth="1"/>
    <col min="6395" max="6395" width="11.140625" style="178"/>
    <col min="6396" max="6397" width="5.42578125" style="178" customWidth="1"/>
    <col min="6398" max="6398" width="41.85546875" style="178" customWidth="1"/>
    <col min="6399" max="6401" width="12.140625" style="178" customWidth="1"/>
    <col min="6402" max="6402" width="7.28515625" style="178" customWidth="1"/>
    <col min="6403" max="6404" width="12.140625" style="178" customWidth="1"/>
    <col min="6405" max="6405" width="66" style="178" customWidth="1"/>
    <col min="6406" max="6638" width="10.28515625" style="178" customWidth="1"/>
    <col min="6639" max="6639" width="4.28515625" style="178" bestFit="1" customWidth="1"/>
    <col min="6640" max="6640" width="6.85546875" style="178" bestFit="1" customWidth="1"/>
    <col min="6641" max="6641" width="11" style="178" customWidth="1"/>
    <col min="6642" max="6642" width="11.140625" style="178" bestFit="1" customWidth="1"/>
    <col min="6643" max="6643" width="10.85546875" style="178" customWidth="1"/>
    <col min="6644" max="6644" width="11.5703125" style="178" customWidth="1"/>
    <col min="6645" max="6645" width="11.140625" style="178" bestFit="1" customWidth="1"/>
    <col min="6646" max="6646" width="11" style="178" customWidth="1"/>
    <col min="6647" max="6647" width="10.42578125" style="178" customWidth="1"/>
    <col min="6648" max="6648" width="11.28515625" style="178" customWidth="1"/>
    <col min="6649" max="6650" width="9.140625" style="178" bestFit="1" customWidth="1"/>
    <col min="6651" max="6651" width="11.140625" style="178"/>
    <col min="6652" max="6653" width="5.42578125" style="178" customWidth="1"/>
    <col min="6654" max="6654" width="41.85546875" style="178" customWidth="1"/>
    <col min="6655" max="6657" width="12.140625" style="178" customWidth="1"/>
    <col min="6658" max="6658" width="7.28515625" style="178" customWidth="1"/>
    <col min="6659" max="6660" width="12.140625" style="178" customWidth="1"/>
    <col min="6661" max="6661" width="66" style="178" customWidth="1"/>
    <col min="6662" max="6894" width="10.28515625" style="178" customWidth="1"/>
    <col min="6895" max="6895" width="4.28515625" style="178" bestFit="1" customWidth="1"/>
    <col min="6896" max="6896" width="6.85546875" style="178" bestFit="1" customWidth="1"/>
    <col min="6897" max="6897" width="11" style="178" customWidth="1"/>
    <col min="6898" max="6898" width="11.140625" style="178" bestFit="1" customWidth="1"/>
    <col min="6899" max="6899" width="10.85546875" style="178" customWidth="1"/>
    <col min="6900" max="6900" width="11.5703125" style="178" customWidth="1"/>
    <col min="6901" max="6901" width="11.140625" style="178" bestFit="1" customWidth="1"/>
    <col min="6902" max="6902" width="11" style="178" customWidth="1"/>
    <col min="6903" max="6903" width="10.42578125" style="178" customWidth="1"/>
    <col min="6904" max="6904" width="11.28515625" style="178" customWidth="1"/>
    <col min="6905" max="6906" width="9.140625" style="178" bestFit="1" customWidth="1"/>
    <col min="6907" max="6907" width="11.140625" style="178"/>
    <col min="6908" max="6909" width="5.42578125" style="178" customWidth="1"/>
    <col min="6910" max="6910" width="41.85546875" style="178" customWidth="1"/>
    <col min="6911" max="6913" width="12.140625" style="178" customWidth="1"/>
    <col min="6914" max="6914" width="7.28515625" style="178" customWidth="1"/>
    <col min="6915" max="6916" width="12.140625" style="178" customWidth="1"/>
    <col min="6917" max="6917" width="66" style="178" customWidth="1"/>
    <col min="6918" max="7150" width="10.28515625" style="178" customWidth="1"/>
    <col min="7151" max="7151" width="4.28515625" style="178" bestFit="1" customWidth="1"/>
    <col min="7152" max="7152" width="6.85546875" style="178" bestFit="1" customWidth="1"/>
    <col min="7153" max="7153" width="11" style="178" customWidth="1"/>
    <col min="7154" max="7154" width="11.140625" style="178" bestFit="1" customWidth="1"/>
    <col min="7155" max="7155" width="10.85546875" style="178" customWidth="1"/>
    <col min="7156" max="7156" width="11.5703125" style="178" customWidth="1"/>
    <col min="7157" max="7157" width="11.140625" style="178" bestFit="1" customWidth="1"/>
    <col min="7158" max="7158" width="11" style="178" customWidth="1"/>
    <col min="7159" max="7159" width="10.42578125" style="178" customWidth="1"/>
    <col min="7160" max="7160" width="11.28515625" style="178" customWidth="1"/>
    <col min="7161" max="7162" width="9.140625" style="178" bestFit="1" customWidth="1"/>
    <col min="7163" max="7163" width="11.140625" style="178"/>
    <col min="7164" max="7165" width="5.42578125" style="178" customWidth="1"/>
    <col min="7166" max="7166" width="41.85546875" style="178" customWidth="1"/>
    <col min="7167" max="7169" width="12.140625" style="178" customWidth="1"/>
    <col min="7170" max="7170" width="7.28515625" style="178" customWidth="1"/>
    <col min="7171" max="7172" width="12.140625" style="178" customWidth="1"/>
    <col min="7173" max="7173" width="66" style="178" customWidth="1"/>
    <col min="7174" max="7406" width="10.28515625" style="178" customWidth="1"/>
    <col min="7407" max="7407" width="4.28515625" style="178" bestFit="1" customWidth="1"/>
    <col min="7408" max="7408" width="6.85546875" style="178" bestFit="1" customWidth="1"/>
    <col min="7409" max="7409" width="11" style="178" customWidth="1"/>
    <col min="7410" max="7410" width="11.140625" style="178" bestFit="1" customWidth="1"/>
    <col min="7411" max="7411" width="10.85546875" style="178" customWidth="1"/>
    <col min="7412" max="7412" width="11.5703125" style="178" customWidth="1"/>
    <col min="7413" max="7413" width="11.140625" style="178" bestFit="1" customWidth="1"/>
    <col min="7414" max="7414" width="11" style="178" customWidth="1"/>
    <col min="7415" max="7415" width="10.42578125" style="178" customWidth="1"/>
    <col min="7416" max="7416" width="11.28515625" style="178" customWidth="1"/>
    <col min="7417" max="7418" width="9.140625" style="178" bestFit="1" customWidth="1"/>
    <col min="7419" max="7419" width="11.140625" style="178"/>
    <col min="7420" max="7421" width="5.42578125" style="178" customWidth="1"/>
    <col min="7422" max="7422" width="41.85546875" style="178" customWidth="1"/>
    <col min="7423" max="7425" width="12.140625" style="178" customWidth="1"/>
    <col min="7426" max="7426" width="7.28515625" style="178" customWidth="1"/>
    <col min="7427" max="7428" width="12.140625" style="178" customWidth="1"/>
    <col min="7429" max="7429" width="66" style="178" customWidth="1"/>
    <col min="7430" max="7662" width="10.28515625" style="178" customWidth="1"/>
    <col min="7663" max="7663" width="4.28515625" style="178" bestFit="1" customWidth="1"/>
    <col min="7664" max="7664" width="6.85546875" style="178" bestFit="1" customWidth="1"/>
    <col min="7665" max="7665" width="11" style="178" customWidth="1"/>
    <col min="7666" max="7666" width="11.140625" style="178" bestFit="1" customWidth="1"/>
    <col min="7667" max="7667" width="10.85546875" style="178" customWidth="1"/>
    <col min="7668" max="7668" width="11.5703125" style="178" customWidth="1"/>
    <col min="7669" max="7669" width="11.140625" style="178" bestFit="1" customWidth="1"/>
    <col min="7670" max="7670" width="11" style="178" customWidth="1"/>
    <col min="7671" max="7671" width="10.42578125" style="178" customWidth="1"/>
    <col min="7672" max="7672" width="11.28515625" style="178" customWidth="1"/>
    <col min="7673" max="7674" width="9.140625" style="178" bestFit="1" customWidth="1"/>
    <col min="7675" max="7675" width="11.140625" style="178"/>
    <col min="7676" max="7677" width="5.42578125" style="178" customWidth="1"/>
    <col min="7678" max="7678" width="41.85546875" style="178" customWidth="1"/>
    <col min="7679" max="7681" width="12.140625" style="178" customWidth="1"/>
    <col min="7682" max="7682" width="7.28515625" style="178" customWidth="1"/>
    <col min="7683" max="7684" width="12.140625" style="178" customWidth="1"/>
    <col min="7685" max="7685" width="66" style="178" customWidth="1"/>
    <col min="7686" max="7918" width="10.28515625" style="178" customWidth="1"/>
    <col min="7919" max="7919" width="4.28515625" style="178" bestFit="1" customWidth="1"/>
    <col min="7920" max="7920" width="6.85546875" style="178" bestFit="1" customWidth="1"/>
    <col min="7921" max="7921" width="11" style="178" customWidth="1"/>
    <col min="7922" max="7922" width="11.140625" style="178" bestFit="1" customWidth="1"/>
    <col min="7923" max="7923" width="10.85546875" style="178" customWidth="1"/>
    <col min="7924" max="7924" width="11.5703125" style="178" customWidth="1"/>
    <col min="7925" max="7925" width="11.140625" style="178" bestFit="1" customWidth="1"/>
    <col min="7926" max="7926" width="11" style="178" customWidth="1"/>
    <col min="7927" max="7927" width="10.42578125" style="178" customWidth="1"/>
    <col min="7928" max="7928" width="11.28515625" style="178" customWidth="1"/>
    <col min="7929" max="7930" width="9.140625" style="178" bestFit="1" customWidth="1"/>
    <col min="7931" max="7931" width="11.140625" style="178"/>
    <col min="7932" max="7933" width="5.42578125" style="178" customWidth="1"/>
    <col min="7934" max="7934" width="41.85546875" style="178" customWidth="1"/>
    <col min="7935" max="7937" width="12.140625" style="178" customWidth="1"/>
    <col min="7938" max="7938" width="7.28515625" style="178" customWidth="1"/>
    <col min="7939" max="7940" width="12.140625" style="178" customWidth="1"/>
    <col min="7941" max="7941" width="66" style="178" customWidth="1"/>
    <col min="7942" max="8174" width="10.28515625" style="178" customWidth="1"/>
    <col min="8175" max="8175" width="4.28515625" style="178" bestFit="1" customWidth="1"/>
    <col min="8176" max="8176" width="6.85546875" style="178" bestFit="1" customWidth="1"/>
    <col min="8177" max="8177" width="11" style="178" customWidth="1"/>
    <col min="8178" max="8178" width="11.140625" style="178" bestFit="1" customWidth="1"/>
    <col min="8179" max="8179" width="10.85546875" style="178" customWidth="1"/>
    <col min="8180" max="8180" width="11.5703125" style="178" customWidth="1"/>
    <col min="8181" max="8181" width="11.140625" style="178" bestFit="1" customWidth="1"/>
    <col min="8182" max="8182" width="11" style="178" customWidth="1"/>
    <col min="8183" max="8183" width="10.42578125" style="178" customWidth="1"/>
    <col min="8184" max="8184" width="11.28515625" style="178" customWidth="1"/>
    <col min="8185" max="8186" width="9.140625" style="178" bestFit="1" customWidth="1"/>
    <col min="8187" max="8187" width="11.140625" style="178"/>
    <col min="8188" max="8189" width="5.42578125" style="178" customWidth="1"/>
    <col min="8190" max="8190" width="41.85546875" style="178" customWidth="1"/>
    <col min="8191" max="8193" width="12.140625" style="178" customWidth="1"/>
    <col min="8194" max="8194" width="7.28515625" style="178" customWidth="1"/>
    <col min="8195" max="8196" width="12.140625" style="178" customWidth="1"/>
    <col min="8197" max="8197" width="66" style="178" customWidth="1"/>
    <col min="8198" max="8430" width="10.28515625" style="178" customWidth="1"/>
    <col min="8431" max="8431" width="4.28515625" style="178" bestFit="1" customWidth="1"/>
    <col min="8432" max="8432" width="6.85546875" style="178" bestFit="1" customWidth="1"/>
    <col min="8433" max="8433" width="11" style="178" customWidth="1"/>
    <col min="8434" max="8434" width="11.140625" style="178" bestFit="1" customWidth="1"/>
    <col min="8435" max="8435" width="10.85546875" style="178" customWidth="1"/>
    <col min="8436" max="8436" width="11.5703125" style="178" customWidth="1"/>
    <col min="8437" max="8437" width="11.140625" style="178" bestFit="1" customWidth="1"/>
    <col min="8438" max="8438" width="11" style="178" customWidth="1"/>
    <col min="8439" max="8439" width="10.42578125" style="178" customWidth="1"/>
    <col min="8440" max="8440" width="11.28515625" style="178" customWidth="1"/>
    <col min="8441" max="8442" width="9.140625" style="178" bestFit="1" customWidth="1"/>
    <col min="8443" max="8443" width="11.140625" style="178"/>
    <col min="8444" max="8445" width="5.42578125" style="178" customWidth="1"/>
    <col min="8446" max="8446" width="41.85546875" style="178" customWidth="1"/>
    <col min="8447" max="8449" width="12.140625" style="178" customWidth="1"/>
    <col min="8450" max="8450" width="7.28515625" style="178" customWidth="1"/>
    <col min="8451" max="8452" width="12.140625" style="178" customWidth="1"/>
    <col min="8453" max="8453" width="66" style="178" customWidth="1"/>
    <col min="8454" max="8686" width="10.28515625" style="178" customWidth="1"/>
    <col min="8687" max="8687" width="4.28515625" style="178" bestFit="1" customWidth="1"/>
    <col min="8688" max="8688" width="6.85546875" style="178" bestFit="1" customWidth="1"/>
    <col min="8689" max="8689" width="11" style="178" customWidth="1"/>
    <col min="8690" max="8690" width="11.140625" style="178" bestFit="1" customWidth="1"/>
    <col min="8691" max="8691" width="10.85546875" style="178" customWidth="1"/>
    <col min="8692" max="8692" width="11.5703125" style="178" customWidth="1"/>
    <col min="8693" max="8693" width="11.140625" style="178" bestFit="1" customWidth="1"/>
    <col min="8694" max="8694" width="11" style="178" customWidth="1"/>
    <col min="8695" max="8695" width="10.42578125" style="178" customWidth="1"/>
    <col min="8696" max="8696" width="11.28515625" style="178" customWidth="1"/>
    <col min="8697" max="8698" width="9.140625" style="178" bestFit="1" customWidth="1"/>
    <col min="8699" max="8699" width="11.140625" style="178"/>
    <col min="8700" max="8701" width="5.42578125" style="178" customWidth="1"/>
    <col min="8702" max="8702" width="41.85546875" style="178" customWidth="1"/>
    <col min="8703" max="8705" width="12.140625" style="178" customWidth="1"/>
    <col min="8706" max="8706" width="7.28515625" style="178" customWidth="1"/>
    <col min="8707" max="8708" width="12.140625" style="178" customWidth="1"/>
    <col min="8709" max="8709" width="66" style="178" customWidth="1"/>
    <col min="8710" max="8942" width="10.28515625" style="178" customWidth="1"/>
    <col min="8943" max="8943" width="4.28515625" style="178" bestFit="1" customWidth="1"/>
    <col min="8944" max="8944" width="6.85546875" style="178" bestFit="1" customWidth="1"/>
    <col min="8945" max="8945" width="11" style="178" customWidth="1"/>
    <col min="8946" max="8946" width="11.140625" style="178" bestFit="1" customWidth="1"/>
    <col min="8947" max="8947" width="10.85546875" style="178" customWidth="1"/>
    <col min="8948" max="8948" width="11.5703125" style="178" customWidth="1"/>
    <col min="8949" max="8949" width="11.140625" style="178" bestFit="1" customWidth="1"/>
    <col min="8950" max="8950" width="11" style="178" customWidth="1"/>
    <col min="8951" max="8951" width="10.42578125" style="178" customWidth="1"/>
    <col min="8952" max="8952" width="11.28515625" style="178" customWidth="1"/>
    <col min="8953" max="8954" width="9.140625" style="178" bestFit="1" customWidth="1"/>
    <col min="8955" max="8955" width="11.140625" style="178"/>
    <col min="8956" max="8957" width="5.42578125" style="178" customWidth="1"/>
    <col min="8958" max="8958" width="41.85546875" style="178" customWidth="1"/>
    <col min="8959" max="8961" width="12.140625" style="178" customWidth="1"/>
    <col min="8962" max="8962" width="7.28515625" style="178" customWidth="1"/>
    <col min="8963" max="8964" width="12.140625" style="178" customWidth="1"/>
    <col min="8965" max="8965" width="66" style="178" customWidth="1"/>
    <col min="8966" max="9198" width="10.28515625" style="178" customWidth="1"/>
    <col min="9199" max="9199" width="4.28515625" style="178" bestFit="1" customWidth="1"/>
    <col min="9200" max="9200" width="6.85546875" style="178" bestFit="1" customWidth="1"/>
    <col min="9201" max="9201" width="11" style="178" customWidth="1"/>
    <col min="9202" max="9202" width="11.140625" style="178" bestFit="1" customWidth="1"/>
    <col min="9203" max="9203" width="10.85546875" style="178" customWidth="1"/>
    <col min="9204" max="9204" width="11.5703125" style="178" customWidth="1"/>
    <col min="9205" max="9205" width="11.140625" style="178" bestFit="1" customWidth="1"/>
    <col min="9206" max="9206" width="11" style="178" customWidth="1"/>
    <col min="9207" max="9207" width="10.42578125" style="178" customWidth="1"/>
    <col min="9208" max="9208" width="11.28515625" style="178" customWidth="1"/>
    <col min="9209" max="9210" width="9.140625" style="178" bestFit="1" customWidth="1"/>
    <col min="9211" max="9211" width="11.140625" style="178"/>
    <col min="9212" max="9213" width="5.42578125" style="178" customWidth="1"/>
    <col min="9214" max="9214" width="41.85546875" style="178" customWidth="1"/>
    <col min="9215" max="9217" width="12.140625" style="178" customWidth="1"/>
    <col min="9218" max="9218" width="7.28515625" style="178" customWidth="1"/>
    <col min="9219" max="9220" width="12.140625" style="178" customWidth="1"/>
    <col min="9221" max="9221" width="66" style="178" customWidth="1"/>
    <col min="9222" max="9454" width="10.28515625" style="178" customWidth="1"/>
    <col min="9455" max="9455" width="4.28515625" style="178" bestFit="1" customWidth="1"/>
    <col min="9456" max="9456" width="6.85546875" style="178" bestFit="1" customWidth="1"/>
    <col min="9457" max="9457" width="11" style="178" customWidth="1"/>
    <col min="9458" max="9458" width="11.140625" style="178" bestFit="1" customWidth="1"/>
    <col min="9459" max="9459" width="10.85546875" style="178" customWidth="1"/>
    <col min="9460" max="9460" width="11.5703125" style="178" customWidth="1"/>
    <col min="9461" max="9461" width="11.140625" style="178" bestFit="1" customWidth="1"/>
    <col min="9462" max="9462" width="11" style="178" customWidth="1"/>
    <col min="9463" max="9463" width="10.42578125" style="178" customWidth="1"/>
    <col min="9464" max="9464" width="11.28515625" style="178" customWidth="1"/>
    <col min="9465" max="9466" width="9.140625" style="178" bestFit="1" customWidth="1"/>
    <col min="9467" max="9467" width="11.140625" style="178"/>
    <col min="9468" max="9469" width="5.42578125" style="178" customWidth="1"/>
    <col min="9470" max="9470" width="41.85546875" style="178" customWidth="1"/>
    <col min="9471" max="9473" width="12.140625" style="178" customWidth="1"/>
    <col min="9474" max="9474" width="7.28515625" style="178" customWidth="1"/>
    <col min="9475" max="9476" width="12.140625" style="178" customWidth="1"/>
    <col min="9477" max="9477" width="66" style="178" customWidth="1"/>
    <col min="9478" max="9710" width="10.28515625" style="178" customWidth="1"/>
    <col min="9711" max="9711" width="4.28515625" style="178" bestFit="1" customWidth="1"/>
    <col min="9712" max="9712" width="6.85546875" style="178" bestFit="1" customWidth="1"/>
    <col min="9713" max="9713" width="11" style="178" customWidth="1"/>
    <col min="9714" max="9714" width="11.140625" style="178" bestFit="1" customWidth="1"/>
    <col min="9715" max="9715" width="10.85546875" style="178" customWidth="1"/>
    <col min="9716" max="9716" width="11.5703125" style="178" customWidth="1"/>
    <col min="9717" max="9717" width="11.140625" style="178" bestFit="1" customWidth="1"/>
    <col min="9718" max="9718" width="11" style="178" customWidth="1"/>
    <col min="9719" max="9719" width="10.42578125" style="178" customWidth="1"/>
    <col min="9720" max="9720" width="11.28515625" style="178" customWidth="1"/>
    <col min="9721" max="9722" width="9.140625" style="178" bestFit="1" customWidth="1"/>
    <col min="9723" max="9723" width="11.140625" style="178"/>
    <col min="9724" max="9725" width="5.42578125" style="178" customWidth="1"/>
    <col min="9726" max="9726" width="41.85546875" style="178" customWidth="1"/>
    <col min="9727" max="9729" width="12.140625" style="178" customWidth="1"/>
    <col min="9730" max="9730" width="7.28515625" style="178" customWidth="1"/>
    <col min="9731" max="9732" width="12.140625" style="178" customWidth="1"/>
    <col min="9733" max="9733" width="66" style="178" customWidth="1"/>
    <col min="9734" max="9966" width="10.28515625" style="178" customWidth="1"/>
    <col min="9967" max="9967" width="4.28515625" style="178" bestFit="1" customWidth="1"/>
    <col min="9968" max="9968" width="6.85546875" style="178" bestFit="1" customWidth="1"/>
    <col min="9969" max="9969" width="11" style="178" customWidth="1"/>
    <col min="9970" max="9970" width="11.140625" style="178" bestFit="1" customWidth="1"/>
    <col min="9971" max="9971" width="10.85546875" style="178" customWidth="1"/>
    <col min="9972" max="9972" width="11.5703125" style="178" customWidth="1"/>
    <col min="9973" max="9973" width="11.140625" style="178" bestFit="1" customWidth="1"/>
    <col min="9974" max="9974" width="11" style="178" customWidth="1"/>
    <col min="9975" max="9975" width="10.42578125" style="178" customWidth="1"/>
    <col min="9976" max="9976" width="11.28515625" style="178" customWidth="1"/>
    <col min="9977" max="9978" width="9.140625" style="178" bestFit="1" customWidth="1"/>
    <col min="9979" max="9979" width="11.140625" style="178"/>
    <col min="9980" max="9981" width="5.42578125" style="178" customWidth="1"/>
    <col min="9982" max="9982" width="41.85546875" style="178" customWidth="1"/>
    <col min="9983" max="9985" width="12.140625" style="178" customWidth="1"/>
    <col min="9986" max="9986" width="7.28515625" style="178" customWidth="1"/>
    <col min="9987" max="9988" width="12.140625" style="178" customWidth="1"/>
    <col min="9989" max="9989" width="66" style="178" customWidth="1"/>
    <col min="9990" max="10222" width="10.28515625" style="178" customWidth="1"/>
    <col min="10223" max="10223" width="4.28515625" style="178" bestFit="1" customWidth="1"/>
    <col min="10224" max="10224" width="6.85546875" style="178" bestFit="1" customWidth="1"/>
    <col min="10225" max="10225" width="11" style="178" customWidth="1"/>
    <col min="10226" max="10226" width="11.140625" style="178" bestFit="1" customWidth="1"/>
    <col min="10227" max="10227" width="10.85546875" style="178" customWidth="1"/>
    <col min="10228" max="10228" width="11.5703125" style="178" customWidth="1"/>
    <col min="10229" max="10229" width="11.140625" style="178" bestFit="1" customWidth="1"/>
    <col min="10230" max="10230" width="11" style="178" customWidth="1"/>
    <col min="10231" max="10231" width="10.42578125" style="178" customWidth="1"/>
    <col min="10232" max="10232" width="11.28515625" style="178" customWidth="1"/>
    <col min="10233" max="10234" width="9.140625" style="178" bestFit="1" customWidth="1"/>
    <col min="10235" max="10235" width="11.140625" style="178"/>
    <col min="10236" max="10237" width="5.42578125" style="178" customWidth="1"/>
    <col min="10238" max="10238" width="41.85546875" style="178" customWidth="1"/>
    <col min="10239" max="10241" width="12.140625" style="178" customWidth="1"/>
    <col min="10242" max="10242" width="7.28515625" style="178" customWidth="1"/>
    <col min="10243" max="10244" width="12.140625" style="178" customWidth="1"/>
    <col min="10245" max="10245" width="66" style="178" customWidth="1"/>
    <col min="10246" max="10478" width="10.28515625" style="178" customWidth="1"/>
    <col min="10479" max="10479" width="4.28515625" style="178" bestFit="1" customWidth="1"/>
    <col min="10480" max="10480" width="6.85546875" style="178" bestFit="1" customWidth="1"/>
    <col min="10481" max="10481" width="11" style="178" customWidth="1"/>
    <col min="10482" max="10482" width="11.140625" style="178" bestFit="1" customWidth="1"/>
    <col min="10483" max="10483" width="10.85546875" style="178" customWidth="1"/>
    <col min="10484" max="10484" width="11.5703125" style="178" customWidth="1"/>
    <col min="10485" max="10485" width="11.140625" style="178" bestFit="1" customWidth="1"/>
    <col min="10486" max="10486" width="11" style="178" customWidth="1"/>
    <col min="10487" max="10487" width="10.42578125" style="178" customWidth="1"/>
    <col min="10488" max="10488" width="11.28515625" style="178" customWidth="1"/>
    <col min="10489" max="10490" width="9.140625" style="178" bestFit="1" customWidth="1"/>
    <col min="10491" max="10491" width="11.140625" style="178"/>
    <col min="10492" max="10493" width="5.42578125" style="178" customWidth="1"/>
    <col min="10494" max="10494" width="41.85546875" style="178" customWidth="1"/>
    <col min="10495" max="10497" width="12.140625" style="178" customWidth="1"/>
    <col min="10498" max="10498" width="7.28515625" style="178" customWidth="1"/>
    <col min="10499" max="10500" width="12.140625" style="178" customWidth="1"/>
    <col min="10501" max="10501" width="66" style="178" customWidth="1"/>
    <col min="10502" max="10734" width="10.28515625" style="178" customWidth="1"/>
    <col min="10735" max="10735" width="4.28515625" style="178" bestFit="1" customWidth="1"/>
    <col min="10736" max="10736" width="6.85546875" style="178" bestFit="1" customWidth="1"/>
    <col min="10737" max="10737" width="11" style="178" customWidth="1"/>
    <col min="10738" max="10738" width="11.140625" style="178" bestFit="1" customWidth="1"/>
    <col min="10739" max="10739" width="10.85546875" style="178" customWidth="1"/>
    <col min="10740" max="10740" width="11.5703125" style="178" customWidth="1"/>
    <col min="10741" max="10741" width="11.140625" style="178" bestFit="1" customWidth="1"/>
    <col min="10742" max="10742" width="11" style="178" customWidth="1"/>
    <col min="10743" max="10743" width="10.42578125" style="178" customWidth="1"/>
    <col min="10744" max="10744" width="11.28515625" style="178" customWidth="1"/>
    <col min="10745" max="10746" width="9.140625" style="178" bestFit="1" customWidth="1"/>
    <col min="10747" max="10747" width="11.140625" style="178"/>
    <col min="10748" max="10749" width="5.42578125" style="178" customWidth="1"/>
    <col min="10750" max="10750" width="41.85546875" style="178" customWidth="1"/>
    <col min="10751" max="10753" width="12.140625" style="178" customWidth="1"/>
    <col min="10754" max="10754" width="7.28515625" style="178" customWidth="1"/>
    <col min="10755" max="10756" width="12.140625" style="178" customWidth="1"/>
    <col min="10757" max="10757" width="66" style="178" customWidth="1"/>
    <col min="10758" max="10990" width="10.28515625" style="178" customWidth="1"/>
    <col min="10991" max="10991" width="4.28515625" style="178" bestFit="1" customWidth="1"/>
    <col min="10992" max="10992" width="6.85546875" style="178" bestFit="1" customWidth="1"/>
    <col min="10993" max="10993" width="11" style="178" customWidth="1"/>
    <col min="10994" max="10994" width="11.140625" style="178" bestFit="1" customWidth="1"/>
    <col min="10995" max="10995" width="10.85546875" style="178" customWidth="1"/>
    <col min="10996" max="10996" width="11.5703125" style="178" customWidth="1"/>
    <col min="10997" max="10997" width="11.140625" style="178" bestFit="1" customWidth="1"/>
    <col min="10998" max="10998" width="11" style="178" customWidth="1"/>
    <col min="10999" max="10999" width="10.42578125" style="178" customWidth="1"/>
    <col min="11000" max="11000" width="11.28515625" style="178" customWidth="1"/>
    <col min="11001" max="11002" width="9.140625" style="178" bestFit="1" customWidth="1"/>
    <col min="11003" max="11003" width="11.140625" style="178"/>
    <col min="11004" max="11005" width="5.42578125" style="178" customWidth="1"/>
    <col min="11006" max="11006" width="41.85546875" style="178" customWidth="1"/>
    <col min="11007" max="11009" width="12.140625" style="178" customWidth="1"/>
    <col min="11010" max="11010" width="7.28515625" style="178" customWidth="1"/>
    <col min="11011" max="11012" width="12.140625" style="178" customWidth="1"/>
    <col min="11013" max="11013" width="66" style="178" customWidth="1"/>
    <col min="11014" max="11246" width="10.28515625" style="178" customWidth="1"/>
    <col min="11247" max="11247" width="4.28515625" style="178" bestFit="1" customWidth="1"/>
    <col min="11248" max="11248" width="6.85546875" style="178" bestFit="1" customWidth="1"/>
    <col min="11249" max="11249" width="11" style="178" customWidth="1"/>
    <col min="11250" max="11250" width="11.140625" style="178" bestFit="1" customWidth="1"/>
    <col min="11251" max="11251" width="10.85546875" style="178" customWidth="1"/>
    <col min="11252" max="11252" width="11.5703125" style="178" customWidth="1"/>
    <col min="11253" max="11253" width="11.140625" style="178" bestFit="1" customWidth="1"/>
    <col min="11254" max="11254" width="11" style="178" customWidth="1"/>
    <col min="11255" max="11255" width="10.42578125" style="178" customWidth="1"/>
    <col min="11256" max="11256" width="11.28515625" style="178" customWidth="1"/>
    <col min="11257" max="11258" width="9.140625" style="178" bestFit="1" customWidth="1"/>
    <col min="11259" max="11259" width="11.140625" style="178"/>
    <col min="11260" max="11261" width="5.42578125" style="178" customWidth="1"/>
    <col min="11262" max="11262" width="41.85546875" style="178" customWidth="1"/>
    <col min="11263" max="11265" width="12.140625" style="178" customWidth="1"/>
    <col min="11266" max="11266" width="7.28515625" style="178" customWidth="1"/>
    <col min="11267" max="11268" width="12.140625" style="178" customWidth="1"/>
    <col min="11269" max="11269" width="66" style="178" customWidth="1"/>
    <col min="11270" max="11502" width="10.28515625" style="178" customWidth="1"/>
    <col min="11503" max="11503" width="4.28515625" style="178" bestFit="1" customWidth="1"/>
    <col min="11504" max="11504" width="6.85546875" style="178" bestFit="1" customWidth="1"/>
    <col min="11505" max="11505" width="11" style="178" customWidth="1"/>
    <col min="11506" max="11506" width="11.140625" style="178" bestFit="1" customWidth="1"/>
    <col min="11507" max="11507" width="10.85546875" style="178" customWidth="1"/>
    <col min="11508" max="11508" width="11.5703125" style="178" customWidth="1"/>
    <col min="11509" max="11509" width="11.140625" style="178" bestFit="1" customWidth="1"/>
    <col min="11510" max="11510" width="11" style="178" customWidth="1"/>
    <col min="11511" max="11511" width="10.42578125" style="178" customWidth="1"/>
    <col min="11512" max="11512" width="11.28515625" style="178" customWidth="1"/>
    <col min="11513" max="11514" width="9.140625" style="178" bestFit="1" customWidth="1"/>
    <col min="11515" max="11515" width="11.140625" style="178"/>
    <col min="11516" max="11517" width="5.42578125" style="178" customWidth="1"/>
    <col min="11518" max="11518" width="41.85546875" style="178" customWidth="1"/>
    <col min="11519" max="11521" width="12.140625" style="178" customWidth="1"/>
    <col min="11522" max="11522" width="7.28515625" style="178" customWidth="1"/>
    <col min="11523" max="11524" width="12.140625" style="178" customWidth="1"/>
    <col min="11525" max="11525" width="66" style="178" customWidth="1"/>
    <col min="11526" max="11758" width="10.28515625" style="178" customWidth="1"/>
    <col min="11759" max="11759" width="4.28515625" style="178" bestFit="1" customWidth="1"/>
    <col min="11760" max="11760" width="6.85546875" style="178" bestFit="1" customWidth="1"/>
    <col min="11761" max="11761" width="11" style="178" customWidth="1"/>
    <col min="11762" max="11762" width="11.140625" style="178" bestFit="1" customWidth="1"/>
    <col min="11763" max="11763" width="10.85546875" style="178" customWidth="1"/>
    <col min="11764" max="11764" width="11.5703125" style="178" customWidth="1"/>
    <col min="11765" max="11765" width="11.140625" style="178" bestFit="1" customWidth="1"/>
    <col min="11766" max="11766" width="11" style="178" customWidth="1"/>
    <col min="11767" max="11767" width="10.42578125" style="178" customWidth="1"/>
    <col min="11768" max="11768" width="11.28515625" style="178" customWidth="1"/>
    <col min="11769" max="11770" width="9.140625" style="178" bestFit="1" customWidth="1"/>
    <col min="11771" max="11771" width="11.140625" style="178"/>
    <col min="11772" max="11773" width="5.42578125" style="178" customWidth="1"/>
    <col min="11774" max="11774" width="41.85546875" style="178" customWidth="1"/>
    <col min="11775" max="11777" width="12.140625" style="178" customWidth="1"/>
    <col min="11778" max="11778" width="7.28515625" style="178" customWidth="1"/>
    <col min="11779" max="11780" width="12.140625" style="178" customWidth="1"/>
    <col min="11781" max="11781" width="66" style="178" customWidth="1"/>
    <col min="11782" max="12014" width="10.28515625" style="178" customWidth="1"/>
    <col min="12015" max="12015" width="4.28515625" style="178" bestFit="1" customWidth="1"/>
    <col min="12016" max="12016" width="6.85546875" style="178" bestFit="1" customWidth="1"/>
    <col min="12017" max="12017" width="11" style="178" customWidth="1"/>
    <col min="12018" max="12018" width="11.140625" style="178" bestFit="1" customWidth="1"/>
    <col min="12019" max="12019" width="10.85546875" style="178" customWidth="1"/>
    <col min="12020" max="12020" width="11.5703125" style="178" customWidth="1"/>
    <col min="12021" max="12021" width="11.140625" style="178" bestFit="1" customWidth="1"/>
    <col min="12022" max="12022" width="11" style="178" customWidth="1"/>
    <col min="12023" max="12023" width="10.42578125" style="178" customWidth="1"/>
    <col min="12024" max="12024" width="11.28515625" style="178" customWidth="1"/>
    <col min="12025" max="12026" width="9.140625" style="178" bestFit="1" customWidth="1"/>
    <col min="12027" max="12027" width="11.140625" style="178"/>
    <col min="12028" max="12029" width="5.42578125" style="178" customWidth="1"/>
    <col min="12030" max="12030" width="41.85546875" style="178" customWidth="1"/>
    <col min="12031" max="12033" width="12.140625" style="178" customWidth="1"/>
    <col min="12034" max="12034" width="7.28515625" style="178" customWidth="1"/>
    <col min="12035" max="12036" width="12.140625" style="178" customWidth="1"/>
    <col min="12037" max="12037" width="66" style="178" customWidth="1"/>
    <col min="12038" max="12270" width="10.28515625" style="178" customWidth="1"/>
    <col min="12271" max="12271" width="4.28515625" style="178" bestFit="1" customWidth="1"/>
    <col min="12272" max="12272" width="6.85546875" style="178" bestFit="1" customWidth="1"/>
    <col min="12273" max="12273" width="11" style="178" customWidth="1"/>
    <col min="12274" max="12274" width="11.140625" style="178" bestFit="1" customWidth="1"/>
    <col min="12275" max="12275" width="10.85546875" style="178" customWidth="1"/>
    <col min="12276" max="12276" width="11.5703125" style="178" customWidth="1"/>
    <col min="12277" max="12277" width="11.140625" style="178" bestFit="1" customWidth="1"/>
    <col min="12278" max="12278" width="11" style="178" customWidth="1"/>
    <col min="12279" max="12279" width="10.42578125" style="178" customWidth="1"/>
    <col min="12280" max="12280" width="11.28515625" style="178" customWidth="1"/>
    <col min="12281" max="12282" width="9.140625" style="178" bestFit="1" customWidth="1"/>
    <col min="12283" max="12283" width="11.140625" style="178"/>
    <col min="12284" max="12285" width="5.42578125" style="178" customWidth="1"/>
    <col min="12286" max="12286" width="41.85546875" style="178" customWidth="1"/>
    <col min="12287" max="12289" width="12.140625" style="178" customWidth="1"/>
    <col min="12290" max="12290" width="7.28515625" style="178" customWidth="1"/>
    <col min="12291" max="12292" width="12.140625" style="178" customWidth="1"/>
    <col min="12293" max="12293" width="66" style="178" customWidth="1"/>
    <col min="12294" max="12526" width="10.28515625" style="178" customWidth="1"/>
    <col min="12527" max="12527" width="4.28515625" style="178" bestFit="1" customWidth="1"/>
    <col min="12528" max="12528" width="6.85546875" style="178" bestFit="1" customWidth="1"/>
    <col min="12529" max="12529" width="11" style="178" customWidth="1"/>
    <col min="12530" max="12530" width="11.140625" style="178" bestFit="1" customWidth="1"/>
    <col min="12531" max="12531" width="10.85546875" style="178" customWidth="1"/>
    <col min="12532" max="12532" width="11.5703125" style="178" customWidth="1"/>
    <col min="12533" max="12533" width="11.140625" style="178" bestFit="1" customWidth="1"/>
    <col min="12534" max="12534" width="11" style="178" customWidth="1"/>
    <col min="12535" max="12535" width="10.42578125" style="178" customWidth="1"/>
    <col min="12536" max="12536" width="11.28515625" style="178" customWidth="1"/>
    <col min="12537" max="12538" width="9.140625" style="178" bestFit="1" customWidth="1"/>
    <col min="12539" max="12539" width="11.140625" style="178"/>
    <col min="12540" max="12541" width="5.42578125" style="178" customWidth="1"/>
    <col min="12542" max="12542" width="41.85546875" style="178" customWidth="1"/>
    <col min="12543" max="12545" width="12.140625" style="178" customWidth="1"/>
    <col min="12546" max="12546" width="7.28515625" style="178" customWidth="1"/>
    <col min="12547" max="12548" width="12.140625" style="178" customWidth="1"/>
    <col min="12549" max="12549" width="66" style="178" customWidth="1"/>
    <col min="12550" max="12782" width="10.28515625" style="178" customWidth="1"/>
    <col min="12783" max="12783" width="4.28515625" style="178" bestFit="1" customWidth="1"/>
    <col min="12784" max="12784" width="6.85546875" style="178" bestFit="1" customWidth="1"/>
    <col min="12785" max="12785" width="11" style="178" customWidth="1"/>
    <col min="12786" max="12786" width="11.140625" style="178" bestFit="1" customWidth="1"/>
    <col min="12787" max="12787" width="10.85546875" style="178" customWidth="1"/>
    <col min="12788" max="12788" width="11.5703125" style="178" customWidth="1"/>
    <col min="12789" max="12789" width="11.140625" style="178" bestFit="1" customWidth="1"/>
    <col min="12790" max="12790" width="11" style="178" customWidth="1"/>
    <col min="12791" max="12791" width="10.42578125" style="178" customWidth="1"/>
    <col min="12792" max="12792" width="11.28515625" style="178" customWidth="1"/>
    <col min="12793" max="12794" width="9.140625" style="178" bestFit="1" customWidth="1"/>
    <col min="12795" max="12795" width="11.140625" style="178"/>
    <col min="12796" max="12797" width="5.42578125" style="178" customWidth="1"/>
    <col min="12798" max="12798" width="41.85546875" style="178" customWidth="1"/>
    <col min="12799" max="12801" width="12.140625" style="178" customWidth="1"/>
    <col min="12802" max="12802" width="7.28515625" style="178" customWidth="1"/>
    <col min="12803" max="12804" width="12.140625" style="178" customWidth="1"/>
    <col min="12805" max="12805" width="66" style="178" customWidth="1"/>
    <col min="12806" max="13038" width="10.28515625" style="178" customWidth="1"/>
    <col min="13039" max="13039" width="4.28515625" style="178" bestFit="1" customWidth="1"/>
    <col min="13040" max="13040" width="6.85546875" style="178" bestFit="1" customWidth="1"/>
    <col min="13041" max="13041" width="11" style="178" customWidth="1"/>
    <col min="13042" max="13042" width="11.140625" style="178" bestFit="1" customWidth="1"/>
    <col min="13043" max="13043" width="10.85546875" style="178" customWidth="1"/>
    <col min="13044" max="13044" width="11.5703125" style="178" customWidth="1"/>
    <col min="13045" max="13045" width="11.140625" style="178" bestFit="1" customWidth="1"/>
    <col min="13046" max="13046" width="11" style="178" customWidth="1"/>
    <col min="13047" max="13047" width="10.42578125" style="178" customWidth="1"/>
    <col min="13048" max="13048" width="11.28515625" style="178" customWidth="1"/>
    <col min="13049" max="13050" width="9.140625" style="178" bestFit="1" customWidth="1"/>
    <col min="13051" max="13051" width="11.140625" style="178"/>
    <col min="13052" max="13053" width="5.42578125" style="178" customWidth="1"/>
    <col min="13054" max="13054" width="41.85546875" style="178" customWidth="1"/>
    <col min="13055" max="13057" width="12.140625" style="178" customWidth="1"/>
    <col min="13058" max="13058" width="7.28515625" style="178" customWidth="1"/>
    <col min="13059" max="13060" width="12.140625" style="178" customWidth="1"/>
    <col min="13061" max="13061" width="66" style="178" customWidth="1"/>
    <col min="13062" max="13294" width="10.28515625" style="178" customWidth="1"/>
    <col min="13295" max="13295" width="4.28515625" style="178" bestFit="1" customWidth="1"/>
    <col min="13296" max="13296" width="6.85546875" style="178" bestFit="1" customWidth="1"/>
    <col min="13297" max="13297" width="11" style="178" customWidth="1"/>
    <col min="13298" max="13298" width="11.140625" style="178" bestFit="1" customWidth="1"/>
    <col min="13299" max="13299" width="10.85546875" style="178" customWidth="1"/>
    <col min="13300" max="13300" width="11.5703125" style="178" customWidth="1"/>
    <col min="13301" max="13301" width="11.140625" style="178" bestFit="1" customWidth="1"/>
    <col min="13302" max="13302" width="11" style="178" customWidth="1"/>
    <col min="13303" max="13303" width="10.42578125" style="178" customWidth="1"/>
    <col min="13304" max="13304" width="11.28515625" style="178" customWidth="1"/>
    <col min="13305" max="13306" width="9.140625" style="178" bestFit="1" customWidth="1"/>
    <col min="13307" max="13307" width="11.140625" style="178"/>
    <col min="13308" max="13309" width="5.42578125" style="178" customWidth="1"/>
    <col min="13310" max="13310" width="41.85546875" style="178" customWidth="1"/>
    <col min="13311" max="13313" width="12.140625" style="178" customWidth="1"/>
    <col min="13314" max="13314" width="7.28515625" style="178" customWidth="1"/>
    <col min="13315" max="13316" width="12.140625" style="178" customWidth="1"/>
    <col min="13317" max="13317" width="66" style="178" customWidth="1"/>
    <col min="13318" max="13550" width="10.28515625" style="178" customWidth="1"/>
    <col min="13551" max="13551" width="4.28515625" style="178" bestFit="1" customWidth="1"/>
    <col min="13552" max="13552" width="6.85546875" style="178" bestFit="1" customWidth="1"/>
    <col min="13553" max="13553" width="11" style="178" customWidth="1"/>
    <col min="13554" max="13554" width="11.140625" style="178" bestFit="1" customWidth="1"/>
    <col min="13555" max="13555" width="10.85546875" style="178" customWidth="1"/>
    <col min="13556" max="13556" width="11.5703125" style="178" customWidth="1"/>
    <col min="13557" max="13557" width="11.140625" style="178" bestFit="1" customWidth="1"/>
    <col min="13558" max="13558" width="11" style="178" customWidth="1"/>
    <col min="13559" max="13559" width="10.42578125" style="178" customWidth="1"/>
    <col min="13560" max="13560" width="11.28515625" style="178" customWidth="1"/>
    <col min="13561" max="13562" width="9.140625" style="178" bestFit="1" customWidth="1"/>
    <col min="13563" max="13563" width="11.140625" style="178"/>
    <col min="13564" max="13565" width="5.42578125" style="178" customWidth="1"/>
    <col min="13566" max="13566" width="41.85546875" style="178" customWidth="1"/>
    <col min="13567" max="13569" width="12.140625" style="178" customWidth="1"/>
    <col min="13570" max="13570" width="7.28515625" style="178" customWidth="1"/>
    <col min="13571" max="13572" width="12.140625" style="178" customWidth="1"/>
    <col min="13573" max="13573" width="66" style="178" customWidth="1"/>
    <col min="13574" max="13806" width="10.28515625" style="178" customWidth="1"/>
    <col min="13807" max="13807" width="4.28515625" style="178" bestFit="1" customWidth="1"/>
    <col min="13808" max="13808" width="6.85546875" style="178" bestFit="1" customWidth="1"/>
    <col min="13809" max="13809" width="11" style="178" customWidth="1"/>
    <col min="13810" max="13810" width="11.140625" style="178" bestFit="1" customWidth="1"/>
    <col min="13811" max="13811" width="10.85546875" style="178" customWidth="1"/>
    <col min="13812" max="13812" width="11.5703125" style="178" customWidth="1"/>
    <col min="13813" max="13813" width="11.140625" style="178" bestFit="1" customWidth="1"/>
    <col min="13814" max="13814" width="11" style="178" customWidth="1"/>
    <col min="13815" max="13815" width="10.42578125" style="178" customWidth="1"/>
    <col min="13816" max="13816" width="11.28515625" style="178" customWidth="1"/>
    <col min="13817" max="13818" width="9.140625" style="178" bestFit="1" customWidth="1"/>
    <col min="13819" max="13819" width="11.140625" style="178"/>
    <col min="13820" max="13821" width="5.42578125" style="178" customWidth="1"/>
    <col min="13822" max="13822" width="41.85546875" style="178" customWidth="1"/>
    <col min="13823" max="13825" width="12.140625" style="178" customWidth="1"/>
    <col min="13826" max="13826" width="7.28515625" style="178" customWidth="1"/>
    <col min="13827" max="13828" width="12.140625" style="178" customWidth="1"/>
    <col min="13829" max="13829" width="66" style="178" customWidth="1"/>
    <col min="13830" max="14062" width="10.28515625" style="178" customWidth="1"/>
    <col min="14063" max="14063" width="4.28515625" style="178" bestFit="1" customWidth="1"/>
    <col min="14064" max="14064" width="6.85546875" style="178" bestFit="1" customWidth="1"/>
    <col min="14065" max="14065" width="11" style="178" customWidth="1"/>
    <col min="14066" max="14066" width="11.140625" style="178" bestFit="1" customWidth="1"/>
    <col min="14067" max="14067" width="10.85546875" style="178" customWidth="1"/>
    <col min="14068" max="14068" width="11.5703125" style="178" customWidth="1"/>
    <col min="14069" max="14069" width="11.140625" style="178" bestFit="1" customWidth="1"/>
    <col min="14070" max="14070" width="11" style="178" customWidth="1"/>
    <col min="14071" max="14071" width="10.42578125" style="178" customWidth="1"/>
    <col min="14072" max="14072" width="11.28515625" style="178" customWidth="1"/>
    <col min="14073" max="14074" width="9.140625" style="178" bestFit="1" customWidth="1"/>
    <col min="14075" max="14075" width="11.140625" style="178"/>
    <col min="14076" max="14077" width="5.42578125" style="178" customWidth="1"/>
    <col min="14078" max="14078" width="41.85546875" style="178" customWidth="1"/>
    <col min="14079" max="14081" width="12.140625" style="178" customWidth="1"/>
    <col min="14082" max="14082" width="7.28515625" style="178" customWidth="1"/>
    <col min="14083" max="14084" width="12.140625" style="178" customWidth="1"/>
    <col min="14085" max="14085" width="66" style="178" customWidth="1"/>
    <col min="14086" max="14318" width="10.28515625" style="178" customWidth="1"/>
    <col min="14319" max="14319" width="4.28515625" style="178" bestFit="1" customWidth="1"/>
    <col min="14320" max="14320" width="6.85546875" style="178" bestFit="1" customWidth="1"/>
    <col min="14321" max="14321" width="11" style="178" customWidth="1"/>
    <col min="14322" max="14322" width="11.140625" style="178" bestFit="1" customWidth="1"/>
    <col min="14323" max="14323" width="10.85546875" style="178" customWidth="1"/>
    <col min="14324" max="14324" width="11.5703125" style="178" customWidth="1"/>
    <col min="14325" max="14325" width="11.140625" style="178" bestFit="1" customWidth="1"/>
    <col min="14326" max="14326" width="11" style="178" customWidth="1"/>
    <col min="14327" max="14327" width="10.42578125" style="178" customWidth="1"/>
    <col min="14328" max="14328" width="11.28515625" style="178" customWidth="1"/>
    <col min="14329" max="14330" width="9.140625" style="178" bestFit="1" customWidth="1"/>
    <col min="14331" max="14331" width="11.140625" style="178"/>
    <col min="14332" max="14333" width="5.42578125" style="178" customWidth="1"/>
    <col min="14334" max="14334" width="41.85546875" style="178" customWidth="1"/>
    <col min="14335" max="14337" width="12.140625" style="178" customWidth="1"/>
    <col min="14338" max="14338" width="7.28515625" style="178" customWidth="1"/>
    <col min="14339" max="14340" width="12.140625" style="178" customWidth="1"/>
    <col min="14341" max="14341" width="66" style="178" customWidth="1"/>
    <col min="14342" max="14574" width="10.28515625" style="178" customWidth="1"/>
    <col min="14575" max="14575" width="4.28515625" style="178" bestFit="1" customWidth="1"/>
    <col min="14576" max="14576" width="6.85546875" style="178" bestFit="1" customWidth="1"/>
    <col min="14577" max="14577" width="11" style="178" customWidth="1"/>
    <col min="14578" max="14578" width="11.140625" style="178" bestFit="1" customWidth="1"/>
    <col min="14579" max="14579" width="10.85546875" style="178" customWidth="1"/>
    <col min="14580" max="14580" width="11.5703125" style="178" customWidth="1"/>
    <col min="14581" max="14581" width="11.140625" style="178" bestFit="1" customWidth="1"/>
    <col min="14582" max="14582" width="11" style="178" customWidth="1"/>
    <col min="14583" max="14583" width="10.42578125" style="178" customWidth="1"/>
    <col min="14584" max="14584" width="11.28515625" style="178" customWidth="1"/>
    <col min="14585" max="14586" width="9.140625" style="178" bestFit="1" customWidth="1"/>
    <col min="14587" max="14587" width="11.140625" style="178"/>
    <col min="14588" max="14589" width="5.42578125" style="178" customWidth="1"/>
    <col min="14590" max="14590" width="41.85546875" style="178" customWidth="1"/>
    <col min="14591" max="14593" width="12.140625" style="178" customWidth="1"/>
    <col min="14594" max="14594" width="7.28515625" style="178" customWidth="1"/>
    <col min="14595" max="14596" width="12.140625" style="178" customWidth="1"/>
    <col min="14597" max="14597" width="66" style="178" customWidth="1"/>
    <col min="14598" max="14830" width="10.28515625" style="178" customWidth="1"/>
    <col min="14831" max="14831" width="4.28515625" style="178" bestFit="1" customWidth="1"/>
    <col min="14832" max="14832" width="6.85546875" style="178" bestFit="1" customWidth="1"/>
    <col min="14833" max="14833" width="11" style="178" customWidth="1"/>
    <col min="14834" max="14834" width="11.140625" style="178" bestFit="1" customWidth="1"/>
    <col min="14835" max="14835" width="10.85546875" style="178" customWidth="1"/>
    <col min="14836" max="14836" width="11.5703125" style="178" customWidth="1"/>
    <col min="14837" max="14837" width="11.140625" style="178" bestFit="1" customWidth="1"/>
    <col min="14838" max="14838" width="11" style="178" customWidth="1"/>
    <col min="14839" max="14839" width="10.42578125" style="178" customWidth="1"/>
    <col min="14840" max="14840" width="11.28515625" style="178" customWidth="1"/>
    <col min="14841" max="14842" width="9.140625" style="178" bestFit="1" customWidth="1"/>
    <col min="14843" max="14843" width="11.140625" style="178"/>
    <col min="14844" max="14845" width="5.42578125" style="178" customWidth="1"/>
    <col min="14846" max="14846" width="41.85546875" style="178" customWidth="1"/>
    <col min="14847" max="14849" width="12.140625" style="178" customWidth="1"/>
    <col min="14850" max="14850" width="7.28515625" style="178" customWidth="1"/>
    <col min="14851" max="14852" width="12.140625" style="178" customWidth="1"/>
    <col min="14853" max="14853" width="66" style="178" customWidth="1"/>
    <col min="14854" max="15086" width="10.28515625" style="178" customWidth="1"/>
    <col min="15087" max="15087" width="4.28515625" style="178" bestFit="1" customWidth="1"/>
    <col min="15088" max="15088" width="6.85546875" style="178" bestFit="1" customWidth="1"/>
    <col min="15089" max="15089" width="11" style="178" customWidth="1"/>
    <col min="15090" max="15090" width="11.140625" style="178" bestFit="1" customWidth="1"/>
    <col min="15091" max="15091" width="10.85546875" style="178" customWidth="1"/>
    <col min="15092" max="15092" width="11.5703125" style="178" customWidth="1"/>
    <col min="15093" max="15093" width="11.140625" style="178" bestFit="1" customWidth="1"/>
    <col min="15094" max="15094" width="11" style="178" customWidth="1"/>
    <col min="15095" max="15095" width="10.42578125" style="178" customWidth="1"/>
    <col min="15096" max="15096" width="11.28515625" style="178" customWidth="1"/>
    <col min="15097" max="15098" width="9.140625" style="178" bestFit="1" customWidth="1"/>
    <col min="15099" max="15099" width="11.140625" style="178"/>
    <col min="15100" max="15101" width="5.42578125" style="178" customWidth="1"/>
    <col min="15102" max="15102" width="41.85546875" style="178" customWidth="1"/>
    <col min="15103" max="15105" width="12.140625" style="178" customWidth="1"/>
    <col min="15106" max="15106" width="7.28515625" style="178" customWidth="1"/>
    <col min="15107" max="15108" width="12.140625" style="178" customWidth="1"/>
    <col min="15109" max="15109" width="66" style="178" customWidth="1"/>
    <col min="15110" max="15342" width="10.28515625" style="178" customWidth="1"/>
    <col min="15343" max="15343" width="4.28515625" style="178" bestFit="1" customWidth="1"/>
    <col min="15344" max="15344" width="6.85546875" style="178" bestFit="1" customWidth="1"/>
    <col min="15345" max="15345" width="11" style="178" customWidth="1"/>
    <col min="15346" max="15346" width="11.140625" style="178" bestFit="1" customWidth="1"/>
    <col min="15347" max="15347" width="10.85546875" style="178" customWidth="1"/>
    <col min="15348" max="15348" width="11.5703125" style="178" customWidth="1"/>
    <col min="15349" max="15349" width="11.140625" style="178" bestFit="1" customWidth="1"/>
    <col min="15350" max="15350" width="11" style="178" customWidth="1"/>
    <col min="15351" max="15351" width="10.42578125" style="178" customWidth="1"/>
    <col min="15352" max="15352" width="11.28515625" style="178" customWidth="1"/>
    <col min="15353" max="15354" width="9.140625" style="178" bestFit="1" customWidth="1"/>
    <col min="15355" max="15355" width="11.140625" style="178"/>
    <col min="15356" max="15357" width="5.42578125" style="178" customWidth="1"/>
    <col min="15358" max="15358" width="41.85546875" style="178" customWidth="1"/>
    <col min="15359" max="15361" width="12.140625" style="178" customWidth="1"/>
    <col min="15362" max="15362" width="7.28515625" style="178" customWidth="1"/>
    <col min="15363" max="15364" width="12.140625" style="178" customWidth="1"/>
    <col min="15365" max="15365" width="66" style="178" customWidth="1"/>
    <col min="15366" max="15598" width="10.28515625" style="178" customWidth="1"/>
    <col min="15599" max="15599" width="4.28515625" style="178" bestFit="1" customWidth="1"/>
    <col min="15600" max="15600" width="6.85546875" style="178" bestFit="1" customWidth="1"/>
    <col min="15601" max="15601" width="11" style="178" customWidth="1"/>
    <col min="15602" max="15602" width="11.140625" style="178" bestFit="1" customWidth="1"/>
    <col min="15603" max="15603" width="10.85546875" style="178" customWidth="1"/>
    <col min="15604" max="15604" width="11.5703125" style="178" customWidth="1"/>
    <col min="15605" max="15605" width="11.140625" style="178" bestFit="1" customWidth="1"/>
    <col min="15606" max="15606" width="11" style="178" customWidth="1"/>
    <col min="15607" max="15607" width="10.42578125" style="178" customWidth="1"/>
    <col min="15608" max="15608" width="11.28515625" style="178" customWidth="1"/>
    <col min="15609" max="15610" width="9.140625" style="178" bestFit="1" customWidth="1"/>
    <col min="15611" max="15611" width="11.140625" style="178"/>
    <col min="15612" max="15613" width="5.42578125" style="178" customWidth="1"/>
    <col min="15614" max="15614" width="41.85546875" style="178" customWidth="1"/>
    <col min="15615" max="15617" width="12.140625" style="178" customWidth="1"/>
    <col min="15618" max="15618" width="7.28515625" style="178" customWidth="1"/>
    <col min="15619" max="15620" width="12.140625" style="178" customWidth="1"/>
    <col min="15621" max="15621" width="66" style="178" customWidth="1"/>
    <col min="15622" max="15854" width="10.28515625" style="178" customWidth="1"/>
    <col min="15855" max="15855" width="4.28515625" style="178" bestFit="1" customWidth="1"/>
    <col min="15856" max="15856" width="6.85546875" style="178" bestFit="1" customWidth="1"/>
    <col min="15857" max="15857" width="11" style="178" customWidth="1"/>
    <col min="15858" max="15858" width="11.140625" style="178" bestFit="1" customWidth="1"/>
    <col min="15859" max="15859" width="10.85546875" style="178" customWidth="1"/>
    <col min="15860" max="15860" width="11.5703125" style="178" customWidth="1"/>
    <col min="15861" max="15861" width="11.140625" style="178" bestFit="1" customWidth="1"/>
    <col min="15862" max="15862" width="11" style="178" customWidth="1"/>
    <col min="15863" max="15863" width="10.42578125" style="178" customWidth="1"/>
    <col min="15864" max="15864" width="11.28515625" style="178" customWidth="1"/>
    <col min="15865" max="15866" width="9.140625" style="178" bestFit="1" customWidth="1"/>
    <col min="15867" max="15867" width="11.140625" style="178"/>
    <col min="15868" max="15869" width="5.42578125" style="178" customWidth="1"/>
    <col min="15870" max="15870" width="41.85546875" style="178" customWidth="1"/>
    <col min="15871" max="15873" width="12.140625" style="178" customWidth="1"/>
    <col min="15874" max="15874" width="7.28515625" style="178" customWidth="1"/>
    <col min="15875" max="15876" width="12.140625" style="178" customWidth="1"/>
    <col min="15877" max="15877" width="66" style="178" customWidth="1"/>
    <col min="15878" max="16110" width="10.28515625" style="178" customWidth="1"/>
    <col min="16111" max="16111" width="4.28515625" style="178" bestFit="1" customWidth="1"/>
    <col min="16112" max="16112" width="6.85546875" style="178" bestFit="1" customWidth="1"/>
    <col min="16113" max="16113" width="11" style="178" customWidth="1"/>
    <col min="16114" max="16114" width="11.140625" style="178" bestFit="1" customWidth="1"/>
    <col min="16115" max="16115" width="10.85546875" style="178" customWidth="1"/>
    <col min="16116" max="16116" width="11.5703125" style="178" customWidth="1"/>
    <col min="16117" max="16117" width="11.140625" style="178" bestFit="1" customWidth="1"/>
    <col min="16118" max="16118" width="11" style="178" customWidth="1"/>
    <col min="16119" max="16119" width="10.42578125" style="178" customWidth="1"/>
    <col min="16120" max="16120" width="11.28515625" style="178" customWidth="1"/>
    <col min="16121" max="16122" width="9.140625" style="178" bestFit="1" customWidth="1"/>
    <col min="16123" max="16123" width="11.140625" style="178"/>
    <col min="16124" max="16125" width="5.42578125" style="178" customWidth="1"/>
    <col min="16126" max="16126" width="41.85546875" style="178" customWidth="1"/>
    <col min="16127" max="16129" width="12.140625" style="178" customWidth="1"/>
    <col min="16130" max="16130" width="7.28515625" style="178" customWidth="1"/>
    <col min="16131" max="16132" width="12.140625" style="178" customWidth="1"/>
    <col min="16133" max="16133" width="66" style="178" customWidth="1"/>
    <col min="16134" max="16366" width="10.28515625" style="178" customWidth="1"/>
    <col min="16367" max="16367" width="4.28515625" style="178" bestFit="1" customWidth="1"/>
    <col min="16368" max="16368" width="6.85546875" style="178" bestFit="1" customWidth="1"/>
    <col min="16369" max="16369" width="11" style="178" customWidth="1"/>
    <col min="16370" max="16370" width="11.140625" style="178" bestFit="1" customWidth="1"/>
    <col min="16371" max="16371" width="10.85546875" style="178" customWidth="1"/>
    <col min="16372" max="16372" width="11.5703125" style="178" customWidth="1"/>
    <col min="16373" max="16373" width="11.140625" style="178" bestFit="1" customWidth="1"/>
    <col min="16374" max="16374" width="11" style="178" customWidth="1"/>
    <col min="16375" max="16375" width="10.42578125" style="178" customWidth="1"/>
    <col min="16376" max="16384" width="11.28515625" style="178" customWidth="1"/>
  </cols>
  <sheetData>
    <row r="1" spans="1:17" hidden="1">
      <c r="E1" s="420"/>
      <c r="F1" s="420"/>
      <c r="G1" s="420"/>
      <c r="H1" s="420"/>
      <c r="I1" s="420"/>
      <c r="J1" s="420"/>
      <c r="K1" s="420"/>
      <c r="L1" s="423"/>
      <c r="M1" s="424" t="s">
        <v>210</v>
      </c>
    </row>
    <row r="2" spans="1:17" s="251" customFormat="1" ht="54.75" customHeight="1">
      <c r="A2" s="2221" t="s">
        <v>211</v>
      </c>
      <c r="B2" s="2221"/>
      <c r="C2" s="2221"/>
      <c r="D2" s="2221"/>
      <c r="E2" s="2221"/>
      <c r="F2" s="2221"/>
      <c r="G2" s="2221"/>
      <c r="H2" s="2221"/>
      <c r="I2" s="2221"/>
      <c r="J2" s="2221"/>
      <c r="K2" s="2221"/>
      <c r="L2" s="2221"/>
      <c r="M2" s="2221"/>
    </row>
    <row r="3" spans="1:17" s="251" customFormat="1" ht="16.5" customHeight="1" thickBot="1">
      <c r="A3" s="425"/>
      <c r="B3" s="426"/>
      <c r="C3" s="427"/>
      <c r="D3" s="428"/>
      <c r="E3" s="380"/>
      <c r="F3" s="380"/>
      <c r="G3" s="380"/>
      <c r="H3" s="380"/>
      <c r="I3" s="380"/>
      <c r="J3" s="380"/>
      <c r="K3" s="380"/>
      <c r="L3" s="429"/>
      <c r="M3" s="252" t="s">
        <v>0</v>
      </c>
    </row>
    <row r="4" spans="1:17" s="431" customFormat="1" ht="12.75" customHeight="1" thickBot="1">
      <c r="A4" s="2103" t="s">
        <v>37</v>
      </c>
      <c r="B4" s="2103" t="s">
        <v>3</v>
      </c>
      <c r="C4" s="2103"/>
      <c r="D4" s="2419" t="s">
        <v>4</v>
      </c>
      <c r="E4" s="2225" t="s">
        <v>212</v>
      </c>
      <c r="F4" s="2422" t="s">
        <v>150</v>
      </c>
      <c r="G4" s="430"/>
      <c r="H4" s="2295" t="s">
        <v>179</v>
      </c>
      <c r="I4" s="2295" t="s">
        <v>39</v>
      </c>
      <c r="J4" s="2424" t="s">
        <v>190</v>
      </c>
      <c r="K4" s="2295" t="s">
        <v>151</v>
      </c>
      <c r="L4" s="2295" t="s">
        <v>213</v>
      </c>
      <c r="M4" s="2210" t="s">
        <v>188</v>
      </c>
    </row>
    <row r="5" spans="1:17" s="431" customFormat="1" ht="47.25" customHeight="1" thickBot="1">
      <c r="A5" s="2418"/>
      <c r="B5" s="2418"/>
      <c r="C5" s="2418"/>
      <c r="D5" s="2420"/>
      <c r="E5" s="2421"/>
      <c r="F5" s="2423"/>
      <c r="G5" s="432"/>
      <c r="H5" s="2239"/>
      <c r="I5" s="2239"/>
      <c r="J5" s="2425"/>
      <c r="K5" s="2239"/>
      <c r="L5" s="2239"/>
      <c r="M5" s="2211"/>
      <c r="N5" s="2417"/>
      <c r="O5" s="2417"/>
      <c r="P5" s="2417"/>
      <c r="Q5" s="2417"/>
    </row>
    <row r="6" spans="1:17" s="437" customFormat="1" ht="12" customHeight="1" thickBot="1">
      <c r="A6" s="433" t="s">
        <v>6</v>
      </c>
      <c r="B6" s="2406" t="s">
        <v>7</v>
      </c>
      <c r="C6" s="2406"/>
      <c r="D6" s="434" t="s">
        <v>8</v>
      </c>
      <c r="E6" s="435" t="s">
        <v>9</v>
      </c>
      <c r="F6" s="434" t="s">
        <v>10</v>
      </c>
      <c r="G6" s="434"/>
      <c r="H6" s="435" t="s">
        <v>10</v>
      </c>
      <c r="I6" s="434" t="s">
        <v>12</v>
      </c>
      <c r="J6" s="435" t="s">
        <v>11</v>
      </c>
      <c r="K6" s="434" t="s">
        <v>11</v>
      </c>
      <c r="L6" s="436" t="s">
        <v>202</v>
      </c>
      <c r="M6" s="435" t="s">
        <v>12</v>
      </c>
      <c r="N6" s="2417"/>
      <c r="O6" s="2417"/>
      <c r="P6" s="2417"/>
      <c r="Q6" s="2417"/>
    </row>
    <row r="7" spans="1:17" s="251" customFormat="1" ht="13.5" hidden="1" thickBot="1">
      <c r="A7" s="438" t="s">
        <v>60</v>
      </c>
      <c r="B7" s="439"/>
      <c r="C7" s="440" t="s">
        <v>214</v>
      </c>
      <c r="D7" s="439"/>
      <c r="E7" s="395">
        <v>0</v>
      </c>
      <c r="F7" s="441"/>
      <c r="G7" s="441"/>
      <c r="H7" s="441"/>
      <c r="I7" s="441"/>
      <c r="J7" s="441"/>
      <c r="K7" s="441"/>
      <c r="L7" s="441"/>
      <c r="M7" s="442"/>
    </row>
    <row r="8" spans="1:17" s="251" customFormat="1" ht="13.5" hidden="1" thickBot="1">
      <c r="A8" s="2045"/>
      <c r="B8" s="2427" t="s">
        <v>62</v>
      </c>
      <c r="C8" s="443" t="s">
        <v>63</v>
      </c>
      <c r="D8" s="444"/>
      <c r="E8" s="445">
        <v>0</v>
      </c>
      <c r="F8" s="445"/>
      <c r="G8" s="445"/>
      <c r="H8" s="445"/>
      <c r="I8" s="445"/>
      <c r="J8" s="445"/>
      <c r="K8" s="445"/>
      <c r="L8" s="445"/>
      <c r="M8" s="2430" t="s">
        <v>215</v>
      </c>
    </row>
    <row r="9" spans="1:17" s="251" customFormat="1" ht="13.5" hidden="1" thickBot="1">
      <c r="A9" s="2046"/>
      <c r="B9" s="2427"/>
      <c r="C9" s="268" t="s">
        <v>18</v>
      </c>
      <c r="D9" s="446"/>
      <c r="E9" s="447">
        <v>0</v>
      </c>
      <c r="F9" s="447"/>
      <c r="G9" s="447"/>
      <c r="H9" s="447"/>
      <c r="I9" s="447"/>
      <c r="J9" s="447"/>
      <c r="K9" s="447"/>
      <c r="L9" s="447"/>
      <c r="M9" s="2431"/>
    </row>
    <row r="10" spans="1:17" s="251" customFormat="1" ht="13.5" hidden="1" thickBot="1">
      <c r="A10" s="2046"/>
      <c r="B10" s="2427"/>
      <c r="C10" s="448" t="s">
        <v>19</v>
      </c>
      <c r="D10" s="449"/>
      <c r="E10" s="406">
        <v>0</v>
      </c>
      <c r="F10" s="406"/>
      <c r="G10" s="406"/>
      <c r="H10" s="406"/>
      <c r="I10" s="406"/>
      <c r="J10" s="406"/>
      <c r="K10" s="406"/>
      <c r="L10" s="406"/>
      <c r="M10" s="2431"/>
    </row>
    <row r="11" spans="1:17" s="251" customFormat="1" ht="13.5" hidden="1" thickBot="1">
      <c r="A11" s="2046"/>
      <c r="B11" s="2427"/>
      <c r="C11" s="450" t="s">
        <v>20</v>
      </c>
      <c r="D11" s="449"/>
      <c r="E11" s="263"/>
      <c r="F11" s="406"/>
      <c r="G11" s="406"/>
      <c r="H11" s="406"/>
      <c r="I11" s="406"/>
      <c r="J11" s="406"/>
      <c r="K11" s="406"/>
      <c r="L11" s="406"/>
      <c r="M11" s="2431"/>
    </row>
    <row r="12" spans="1:17" s="251" customFormat="1" ht="12.75" hidden="1" customHeight="1">
      <c r="A12" s="2046"/>
      <c r="B12" s="2427"/>
      <c r="C12" s="451" t="s">
        <v>21</v>
      </c>
      <c r="D12" s="449"/>
      <c r="E12" s="406"/>
      <c r="F12" s="406"/>
      <c r="G12" s="406"/>
      <c r="H12" s="406"/>
      <c r="I12" s="406"/>
      <c r="J12" s="406"/>
      <c r="K12" s="406"/>
      <c r="L12" s="406"/>
      <c r="M12" s="2431"/>
    </row>
    <row r="13" spans="1:17" s="251" customFormat="1" ht="13.5" hidden="1" thickBot="1">
      <c r="A13" s="2046"/>
      <c r="B13" s="2427"/>
      <c r="C13" s="448" t="s">
        <v>23</v>
      </c>
      <c r="D13" s="449"/>
      <c r="E13" s="406"/>
      <c r="F13" s="406"/>
      <c r="G13" s="406"/>
      <c r="H13" s="406"/>
      <c r="I13" s="406"/>
      <c r="J13" s="406"/>
      <c r="K13" s="406"/>
      <c r="L13" s="406"/>
      <c r="M13" s="2431"/>
    </row>
    <row r="14" spans="1:17" s="251" customFormat="1" ht="13.5" hidden="1" thickBot="1">
      <c r="A14" s="2046"/>
      <c r="B14" s="2427"/>
      <c r="C14" s="448" t="s">
        <v>24</v>
      </c>
      <c r="D14" s="449"/>
      <c r="E14" s="406"/>
      <c r="F14" s="406"/>
      <c r="G14" s="406"/>
      <c r="H14" s="406"/>
      <c r="I14" s="406"/>
      <c r="J14" s="406"/>
      <c r="K14" s="406"/>
      <c r="L14" s="406"/>
      <c r="M14" s="2431"/>
    </row>
    <row r="15" spans="1:17" s="251" customFormat="1" ht="24.75" hidden="1" customHeight="1">
      <c r="A15" s="2046"/>
      <c r="B15" s="2427"/>
      <c r="C15" s="452" t="s">
        <v>25</v>
      </c>
      <c r="D15" s="449"/>
      <c r="E15" s="406"/>
      <c r="F15" s="406"/>
      <c r="G15" s="406"/>
      <c r="H15" s="406"/>
      <c r="I15" s="406"/>
      <c r="J15" s="406"/>
      <c r="K15" s="406"/>
      <c r="L15" s="406"/>
      <c r="M15" s="2431"/>
    </row>
    <row r="16" spans="1:17" s="251" customFormat="1" ht="13.5" hidden="1" thickBot="1">
      <c r="A16" s="2046"/>
      <c r="B16" s="2427"/>
      <c r="C16" s="448" t="s">
        <v>26</v>
      </c>
      <c r="D16" s="449"/>
      <c r="E16" s="406"/>
      <c r="F16" s="406"/>
      <c r="G16" s="406"/>
      <c r="H16" s="406"/>
      <c r="I16" s="406"/>
      <c r="J16" s="406"/>
      <c r="K16" s="406"/>
      <c r="L16" s="406"/>
      <c r="M16" s="2431"/>
    </row>
    <row r="17" spans="1:13" s="251" customFormat="1" ht="13.5" hidden="1" thickBot="1">
      <c r="A17" s="2046"/>
      <c r="B17" s="2427"/>
      <c r="C17" s="448" t="s">
        <v>27</v>
      </c>
      <c r="D17" s="449"/>
      <c r="E17" s="406"/>
      <c r="F17" s="406"/>
      <c r="G17" s="406"/>
      <c r="H17" s="406"/>
      <c r="I17" s="406"/>
      <c r="J17" s="406"/>
      <c r="K17" s="406"/>
      <c r="L17" s="406"/>
      <c r="M17" s="2431"/>
    </row>
    <row r="18" spans="1:13" s="251" customFormat="1" ht="13.5" hidden="1" thickBot="1">
      <c r="A18" s="2046"/>
      <c r="B18" s="2427"/>
      <c r="C18" s="453" t="s">
        <v>28</v>
      </c>
      <c r="D18" s="446"/>
      <c r="E18" s="447">
        <v>0</v>
      </c>
      <c r="F18" s="447"/>
      <c r="G18" s="447"/>
      <c r="H18" s="447"/>
      <c r="I18" s="447"/>
      <c r="J18" s="447"/>
      <c r="K18" s="447"/>
      <c r="L18" s="447"/>
      <c r="M18" s="2431"/>
    </row>
    <row r="19" spans="1:13" s="251" customFormat="1" ht="13.5" hidden="1" thickBot="1">
      <c r="A19" s="2046"/>
      <c r="B19" s="2427"/>
      <c r="C19" s="448" t="s">
        <v>29</v>
      </c>
      <c r="D19" s="449" t="s">
        <v>216</v>
      </c>
      <c r="E19" s="406"/>
      <c r="F19" s="406"/>
      <c r="G19" s="406"/>
      <c r="H19" s="406"/>
      <c r="I19" s="406"/>
      <c r="J19" s="406"/>
      <c r="K19" s="406"/>
      <c r="L19" s="406"/>
      <c r="M19" s="2431"/>
    </row>
    <row r="20" spans="1:13" s="251" customFormat="1" ht="23.25" hidden="1" customHeight="1">
      <c r="A20" s="2046"/>
      <c r="B20" s="2427"/>
      <c r="C20" s="452" t="s">
        <v>30</v>
      </c>
      <c r="D20" s="449"/>
      <c r="E20" s="406"/>
      <c r="F20" s="406"/>
      <c r="G20" s="406"/>
      <c r="H20" s="406"/>
      <c r="I20" s="406"/>
      <c r="J20" s="406"/>
      <c r="K20" s="406"/>
      <c r="L20" s="406"/>
      <c r="M20" s="2431"/>
    </row>
    <row r="21" spans="1:13" s="251" customFormat="1" ht="13.5" hidden="1" thickBot="1">
      <c r="A21" s="2046"/>
      <c r="B21" s="2427"/>
      <c r="C21" s="448" t="s">
        <v>31</v>
      </c>
      <c r="D21" s="449"/>
      <c r="E21" s="406"/>
      <c r="F21" s="406"/>
      <c r="G21" s="406"/>
      <c r="H21" s="406"/>
      <c r="I21" s="406"/>
      <c r="J21" s="406"/>
      <c r="K21" s="406"/>
      <c r="L21" s="406"/>
      <c r="M21" s="2431"/>
    </row>
    <row r="22" spans="1:13" s="251" customFormat="1" ht="13.5" hidden="1" thickBot="1">
      <c r="A22" s="2046"/>
      <c r="B22" s="1959"/>
      <c r="C22" s="450" t="s">
        <v>32</v>
      </c>
      <c r="D22" s="454"/>
      <c r="E22" s="455"/>
      <c r="F22" s="455"/>
      <c r="G22" s="455"/>
      <c r="H22" s="455"/>
      <c r="I22" s="455"/>
      <c r="J22" s="455"/>
      <c r="K22" s="455"/>
      <c r="L22" s="455"/>
      <c r="M22" s="2432"/>
    </row>
    <row r="23" spans="1:13" s="251" customFormat="1">
      <c r="A23" s="456" t="s">
        <v>217</v>
      </c>
      <c r="B23" s="457"/>
      <c r="C23" s="458" t="s">
        <v>218</v>
      </c>
      <c r="D23" s="457"/>
      <c r="E23" s="441">
        <f>SUM(E24,E41)</f>
        <v>400000</v>
      </c>
      <c r="F23" s="459">
        <f>SUM(F24,F41)</f>
        <v>2100000</v>
      </c>
      <c r="G23" s="459"/>
      <c r="H23" s="459">
        <f>SUM(H24,H41)</f>
        <v>407000</v>
      </c>
      <c r="I23" s="460">
        <f>H23/E23</f>
        <v>1.0175000000000001</v>
      </c>
      <c r="J23" s="459">
        <f>SUM(J24,J41)</f>
        <v>0</v>
      </c>
      <c r="K23" s="441">
        <f>SUM(K24,K41)</f>
        <v>407000</v>
      </c>
      <c r="L23" s="461">
        <f>K23/E23</f>
        <v>1.0175000000000001</v>
      </c>
      <c r="M23" s="462"/>
    </row>
    <row r="24" spans="1:13" s="251" customFormat="1" ht="23.25" customHeight="1">
      <c r="A24" s="2045"/>
      <c r="B24" s="2427" t="s">
        <v>219</v>
      </c>
      <c r="C24" s="463" t="s">
        <v>220</v>
      </c>
      <c r="D24" s="444"/>
      <c r="E24" s="445">
        <f>SUM(E25,E36)</f>
        <v>350000</v>
      </c>
      <c r="F24" s="258">
        <f>SUM(F25,F36)</f>
        <v>350000</v>
      </c>
      <c r="G24" s="258"/>
      <c r="H24" s="258">
        <f>SUM(H25,H36)</f>
        <v>352000</v>
      </c>
      <c r="I24" s="464">
        <f>H24/E24</f>
        <v>1.0057142857142858</v>
      </c>
      <c r="J24" s="258">
        <f>SUM(J25,J36)</f>
        <v>0</v>
      </c>
      <c r="K24" s="445">
        <f>SUM(K25,K36)</f>
        <v>352000</v>
      </c>
      <c r="L24" s="464">
        <f t="shared" ref="L24:L87" si="0">K24/E24</f>
        <v>1.0057142857142858</v>
      </c>
      <c r="M24" s="2433" t="s">
        <v>221</v>
      </c>
    </row>
    <row r="25" spans="1:13" s="251" customFormat="1" ht="13.5" customHeight="1">
      <c r="A25" s="2046"/>
      <c r="B25" s="2427"/>
      <c r="C25" s="268" t="s">
        <v>18</v>
      </c>
      <c r="D25" s="446"/>
      <c r="E25" s="447">
        <f>SUM(E26,E31:E35)</f>
        <v>350000</v>
      </c>
      <c r="F25" s="261">
        <f>SUM(F26,F31:F35)</f>
        <v>350000</v>
      </c>
      <c r="G25" s="261"/>
      <c r="H25" s="261">
        <f>SUM(H26,H31:H35)</f>
        <v>352000</v>
      </c>
      <c r="I25" s="465">
        <f>H25/E25</f>
        <v>1.0057142857142858</v>
      </c>
      <c r="J25" s="261">
        <f>SUM(J26,J31:J35)</f>
        <v>0</v>
      </c>
      <c r="K25" s="447">
        <f>SUM(K26,K31:K35)</f>
        <v>352000</v>
      </c>
      <c r="L25" s="466">
        <f t="shared" si="0"/>
        <v>1.0057142857142858</v>
      </c>
      <c r="M25" s="2434"/>
    </row>
    <row r="26" spans="1:13" s="251" customFormat="1" ht="13.5" customHeight="1">
      <c r="A26" s="2046"/>
      <c r="B26" s="2427"/>
      <c r="C26" s="448" t="s">
        <v>19</v>
      </c>
      <c r="D26" s="449"/>
      <c r="E26" s="406">
        <f>SUM(E27:E28)</f>
        <v>5000</v>
      </c>
      <c r="F26" s="263">
        <f>SUM(F27:F28)</f>
        <v>5000</v>
      </c>
      <c r="G26" s="263"/>
      <c r="H26" s="263">
        <f>SUM(H27:H28)</f>
        <v>7000</v>
      </c>
      <c r="I26" s="468">
        <f t="shared" ref="I26:I32" si="1">H26/E26</f>
        <v>1.4</v>
      </c>
      <c r="J26" s="263">
        <f>SUM(J27:J28)</f>
        <v>0</v>
      </c>
      <c r="K26" s="406">
        <f>SUM(K27:K28)</f>
        <v>7000</v>
      </c>
      <c r="L26" s="469">
        <f t="shared" si="0"/>
        <v>1.4</v>
      </c>
      <c r="M26" s="2434"/>
    </row>
    <row r="27" spans="1:13" s="251" customFormat="1" ht="12.75" customHeight="1">
      <c r="A27" s="2046"/>
      <c r="B27" s="2427"/>
      <c r="C27" s="450" t="s">
        <v>20</v>
      </c>
      <c r="D27" s="449"/>
      <c r="E27" s="406"/>
      <c r="F27" s="263"/>
      <c r="G27" s="263"/>
      <c r="H27" s="263"/>
      <c r="I27" s="468"/>
      <c r="J27" s="263"/>
      <c r="K27" s="406"/>
      <c r="L27" s="469"/>
      <c r="M27" s="2434"/>
    </row>
    <row r="28" spans="1:13" s="251" customFormat="1" ht="12.75" customHeight="1">
      <c r="A28" s="2046"/>
      <c r="B28" s="2427"/>
      <c r="C28" s="2175" t="s">
        <v>21</v>
      </c>
      <c r="D28" s="449" t="s">
        <v>22</v>
      </c>
      <c r="E28" s="406">
        <f>SUM(E29:E30)</f>
        <v>5000</v>
      </c>
      <c r="F28" s="263">
        <f>SUM(F29:F30)</f>
        <v>5000</v>
      </c>
      <c r="G28" s="263"/>
      <c r="H28" s="263">
        <f>SUM(H29:H30)</f>
        <v>7000</v>
      </c>
      <c r="I28" s="468">
        <f t="shared" si="1"/>
        <v>1.4</v>
      </c>
      <c r="J28" s="263">
        <f>SUM(J29:J30)</f>
        <v>0</v>
      </c>
      <c r="K28" s="406">
        <f>SUM(K29:K30)</f>
        <v>7000</v>
      </c>
      <c r="L28" s="469">
        <f t="shared" si="0"/>
        <v>1.4</v>
      </c>
      <c r="M28" s="2434"/>
    </row>
    <row r="29" spans="1:13" s="251" customFormat="1" ht="12.75" customHeight="1">
      <c r="A29" s="2046"/>
      <c r="B29" s="2427"/>
      <c r="C29" s="2436"/>
      <c r="D29" s="470" t="s">
        <v>222</v>
      </c>
      <c r="E29" s="471">
        <v>5000</v>
      </c>
      <c r="F29" s="472">
        <v>5000</v>
      </c>
      <c r="G29" s="472"/>
      <c r="H29" s="472">
        <v>7000</v>
      </c>
      <c r="I29" s="473">
        <f t="shared" si="1"/>
        <v>1.4</v>
      </c>
      <c r="J29" s="472">
        <v>0</v>
      </c>
      <c r="K29" s="471">
        <f>SUM(H29,J29)</f>
        <v>7000</v>
      </c>
      <c r="L29" s="469">
        <f t="shared" si="0"/>
        <v>1.4</v>
      </c>
      <c r="M29" s="2434"/>
    </row>
    <row r="30" spans="1:13" s="251" customFormat="1" ht="12.75" hidden="1" customHeight="1">
      <c r="A30" s="2046"/>
      <c r="B30" s="2427"/>
      <c r="C30" s="2436"/>
      <c r="D30" s="470" t="s">
        <v>223</v>
      </c>
      <c r="E30" s="471">
        <v>0</v>
      </c>
      <c r="F30" s="472">
        <v>0</v>
      </c>
      <c r="G30" s="472"/>
      <c r="H30" s="472">
        <v>0</v>
      </c>
      <c r="I30" s="468" t="e">
        <f t="shared" si="1"/>
        <v>#DIV/0!</v>
      </c>
      <c r="J30" s="472"/>
      <c r="K30" s="471"/>
      <c r="L30" s="469" t="e">
        <f t="shared" si="0"/>
        <v>#DIV/0!</v>
      </c>
      <c r="M30" s="2435"/>
    </row>
    <row r="31" spans="1:13" s="251" customFormat="1" ht="12.75" customHeight="1">
      <c r="A31" s="2046"/>
      <c r="B31" s="2427"/>
      <c r="C31" s="448" t="s">
        <v>23</v>
      </c>
      <c r="D31" s="474"/>
      <c r="E31" s="406"/>
      <c r="F31" s="263"/>
      <c r="G31" s="263"/>
      <c r="H31" s="263"/>
      <c r="I31" s="468"/>
      <c r="J31" s="263"/>
      <c r="K31" s="406"/>
      <c r="L31" s="469"/>
      <c r="M31" s="2435"/>
    </row>
    <row r="32" spans="1:13" s="251" customFormat="1" ht="12.75" customHeight="1">
      <c r="A32" s="2046"/>
      <c r="B32" s="2427"/>
      <c r="C32" s="448" t="s">
        <v>24</v>
      </c>
      <c r="D32" s="449" t="s">
        <v>224</v>
      </c>
      <c r="E32" s="406">
        <v>345000</v>
      </c>
      <c r="F32" s="263">
        <v>345000</v>
      </c>
      <c r="G32" s="263"/>
      <c r="H32" s="263">
        <v>345000</v>
      </c>
      <c r="I32" s="468">
        <f t="shared" si="1"/>
        <v>1</v>
      </c>
      <c r="J32" s="263">
        <v>0</v>
      </c>
      <c r="K32" s="406">
        <f>SUM(H32,J32)</f>
        <v>345000</v>
      </c>
      <c r="L32" s="469">
        <f t="shared" si="0"/>
        <v>1</v>
      </c>
      <c r="M32" s="2435"/>
    </row>
    <row r="33" spans="1:13" s="251" customFormat="1" ht="24.75" customHeight="1">
      <c r="A33" s="2046"/>
      <c r="B33" s="2427"/>
      <c r="C33" s="452" t="s">
        <v>54</v>
      </c>
      <c r="D33" s="449"/>
      <c r="E33" s="406"/>
      <c r="F33" s="263"/>
      <c r="G33" s="263"/>
      <c r="H33" s="263"/>
      <c r="I33" s="465"/>
      <c r="J33" s="263"/>
      <c r="K33" s="406"/>
      <c r="L33" s="469"/>
      <c r="M33" s="2435"/>
    </row>
    <row r="34" spans="1:13" s="251" customFormat="1" ht="12.75" customHeight="1">
      <c r="A34" s="2046"/>
      <c r="B34" s="2427"/>
      <c r="C34" s="448" t="s">
        <v>26</v>
      </c>
      <c r="D34" s="449"/>
      <c r="E34" s="406"/>
      <c r="F34" s="263"/>
      <c r="G34" s="263"/>
      <c r="H34" s="263"/>
      <c r="I34" s="465"/>
      <c r="J34" s="263"/>
      <c r="K34" s="406"/>
      <c r="L34" s="469"/>
      <c r="M34" s="2435"/>
    </row>
    <row r="35" spans="1:13" s="251" customFormat="1" ht="12.75" customHeight="1">
      <c r="A35" s="2046"/>
      <c r="B35" s="2427"/>
      <c r="C35" s="448" t="s">
        <v>27</v>
      </c>
      <c r="D35" s="449"/>
      <c r="E35" s="406"/>
      <c r="F35" s="263"/>
      <c r="G35" s="263"/>
      <c r="H35" s="263"/>
      <c r="I35" s="465"/>
      <c r="J35" s="263"/>
      <c r="K35" s="406"/>
      <c r="L35" s="469"/>
      <c r="M35" s="2435"/>
    </row>
    <row r="36" spans="1:13" s="251" customFormat="1" ht="12.75" customHeight="1">
      <c r="A36" s="2046"/>
      <c r="B36" s="2427"/>
      <c r="C36" s="453" t="s">
        <v>28</v>
      </c>
      <c r="D36" s="446"/>
      <c r="E36" s="447">
        <v>0</v>
      </c>
      <c r="F36" s="261">
        <v>0</v>
      </c>
      <c r="G36" s="261"/>
      <c r="H36" s="261">
        <v>0</v>
      </c>
      <c r="I36" s="465"/>
      <c r="J36" s="261">
        <v>0</v>
      </c>
      <c r="K36" s="447">
        <v>0</v>
      </c>
      <c r="L36" s="469"/>
      <c r="M36" s="2435"/>
    </row>
    <row r="37" spans="1:13" s="251" customFormat="1" ht="12.75" customHeight="1">
      <c r="A37" s="2046"/>
      <c r="B37" s="2427"/>
      <c r="C37" s="448" t="s">
        <v>29</v>
      </c>
      <c r="D37" s="449"/>
      <c r="E37" s="406"/>
      <c r="F37" s="263"/>
      <c r="G37" s="263"/>
      <c r="H37" s="263"/>
      <c r="I37" s="263"/>
      <c r="J37" s="263"/>
      <c r="K37" s="406"/>
      <c r="L37" s="469"/>
      <c r="M37" s="2435"/>
    </row>
    <row r="38" spans="1:13" s="251" customFormat="1" ht="23.25" customHeight="1">
      <c r="A38" s="2046"/>
      <c r="B38" s="2427"/>
      <c r="C38" s="452" t="s">
        <v>30</v>
      </c>
      <c r="D38" s="449"/>
      <c r="E38" s="406"/>
      <c r="F38" s="263"/>
      <c r="G38" s="263"/>
      <c r="H38" s="263"/>
      <c r="I38" s="263"/>
      <c r="J38" s="263"/>
      <c r="K38" s="406"/>
      <c r="L38" s="469"/>
      <c r="M38" s="2435"/>
    </row>
    <row r="39" spans="1:13" s="251" customFormat="1" ht="12.75" customHeight="1">
      <c r="A39" s="2046"/>
      <c r="B39" s="2427"/>
      <c r="C39" s="448" t="s">
        <v>31</v>
      </c>
      <c r="D39" s="449"/>
      <c r="E39" s="406"/>
      <c r="F39" s="263"/>
      <c r="G39" s="263"/>
      <c r="H39" s="263"/>
      <c r="I39" s="263"/>
      <c r="J39" s="263"/>
      <c r="K39" s="406"/>
      <c r="L39" s="469"/>
      <c r="M39" s="2435"/>
    </row>
    <row r="40" spans="1:13" s="251" customFormat="1" ht="12.75" customHeight="1">
      <c r="A40" s="2046"/>
      <c r="B40" s="2427"/>
      <c r="C40" s="448" t="s">
        <v>32</v>
      </c>
      <c r="D40" s="449"/>
      <c r="E40" s="406"/>
      <c r="F40" s="263"/>
      <c r="G40" s="263"/>
      <c r="H40" s="263"/>
      <c r="I40" s="263"/>
      <c r="J40" s="263"/>
      <c r="K40" s="406"/>
      <c r="L40" s="469"/>
      <c r="M40" s="2435"/>
    </row>
    <row r="41" spans="1:13" s="251" customFormat="1" ht="12.75" customHeight="1">
      <c r="A41" s="475"/>
      <c r="B41" s="1959" t="s">
        <v>225</v>
      </c>
      <c r="C41" s="443" t="s">
        <v>17</v>
      </c>
      <c r="D41" s="444"/>
      <c r="E41" s="445">
        <f>SUM(E42,E51)</f>
        <v>50000</v>
      </c>
      <c r="F41" s="258">
        <f>SUM(F42,F51)</f>
        <v>1750000</v>
      </c>
      <c r="G41" s="258"/>
      <c r="H41" s="258">
        <f>SUM(H42,H51)</f>
        <v>55000</v>
      </c>
      <c r="I41" s="464">
        <f>H41/E41</f>
        <v>1.1000000000000001</v>
      </c>
      <c r="J41" s="258">
        <f>SUM(J42,J51)</f>
        <v>0</v>
      </c>
      <c r="K41" s="445">
        <f>SUM(K42,K51)</f>
        <v>55000</v>
      </c>
      <c r="L41" s="464">
        <f t="shared" si="0"/>
        <v>1.1000000000000001</v>
      </c>
      <c r="M41" s="2449" t="s">
        <v>226</v>
      </c>
    </row>
    <row r="42" spans="1:13" s="251" customFormat="1" ht="12.75" customHeight="1">
      <c r="A42" s="475"/>
      <c r="B42" s="1960"/>
      <c r="C42" s="268" t="s">
        <v>18</v>
      </c>
      <c r="D42" s="446"/>
      <c r="E42" s="447">
        <f>SUM(E43,E46:E50)</f>
        <v>50000</v>
      </c>
      <c r="F42" s="261">
        <f>SUM(F43,F46:F50)</f>
        <v>50000</v>
      </c>
      <c r="G42" s="261"/>
      <c r="H42" s="261">
        <f>SUM(H43,H46:H50)</f>
        <v>55000</v>
      </c>
      <c r="I42" s="465">
        <f>H42/E42</f>
        <v>1.1000000000000001</v>
      </c>
      <c r="J42" s="261">
        <f>SUM(J43,J46:J50)</f>
        <v>0</v>
      </c>
      <c r="K42" s="447">
        <f>SUM(K43,K46:K50)</f>
        <v>55000</v>
      </c>
      <c r="L42" s="466">
        <f t="shared" si="0"/>
        <v>1.1000000000000001</v>
      </c>
      <c r="M42" s="2450"/>
    </row>
    <row r="43" spans="1:13" s="251" customFormat="1" ht="12.75" customHeight="1">
      <c r="A43" s="475"/>
      <c r="B43" s="1960"/>
      <c r="C43" s="448" t="s">
        <v>19</v>
      </c>
      <c r="D43" s="449"/>
      <c r="E43" s="406"/>
      <c r="F43" s="263"/>
      <c r="G43" s="263"/>
      <c r="H43" s="263"/>
      <c r="I43" s="263"/>
      <c r="J43" s="263"/>
      <c r="K43" s="406"/>
      <c r="L43" s="469"/>
      <c r="M43" s="2450"/>
    </row>
    <row r="44" spans="1:13" s="251" customFormat="1" ht="14.25" customHeight="1">
      <c r="A44" s="475"/>
      <c r="B44" s="1960"/>
      <c r="C44" s="450" t="s">
        <v>20</v>
      </c>
      <c r="D44" s="449"/>
      <c r="E44" s="406"/>
      <c r="F44" s="263"/>
      <c r="G44" s="263"/>
      <c r="H44" s="263"/>
      <c r="I44" s="263"/>
      <c r="J44" s="263"/>
      <c r="K44" s="406"/>
      <c r="L44" s="469"/>
      <c r="M44" s="2450"/>
    </row>
    <row r="45" spans="1:13" s="251" customFormat="1" ht="12.75" customHeight="1">
      <c r="A45" s="475"/>
      <c r="B45" s="1960"/>
      <c r="C45" s="451" t="s">
        <v>21</v>
      </c>
      <c r="D45" s="474"/>
      <c r="E45" s="406"/>
      <c r="F45" s="263"/>
      <c r="G45" s="263"/>
      <c r="H45" s="263"/>
      <c r="I45" s="263"/>
      <c r="J45" s="263"/>
      <c r="K45" s="406"/>
      <c r="L45" s="469"/>
      <c r="M45" s="2450"/>
    </row>
    <row r="46" spans="1:13" s="251" customFormat="1" ht="12.75" customHeight="1">
      <c r="A46" s="475"/>
      <c r="B46" s="1960"/>
      <c r="C46" s="253" t="s">
        <v>23</v>
      </c>
      <c r="D46" s="449" t="s">
        <v>227</v>
      </c>
      <c r="E46" s="406">
        <v>50000</v>
      </c>
      <c r="F46" s="263">
        <v>50000</v>
      </c>
      <c r="G46" s="263"/>
      <c r="H46" s="263">
        <v>55000</v>
      </c>
      <c r="I46" s="468">
        <f t="shared" ref="I46" si="2">H46/E46</f>
        <v>1.1000000000000001</v>
      </c>
      <c r="J46" s="263">
        <v>0</v>
      </c>
      <c r="K46" s="406">
        <f>SUM(H46,J46)</f>
        <v>55000</v>
      </c>
      <c r="L46" s="469">
        <f t="shared" si="0"/>
        <v>1.1000000000000001</v>
      </c>
      <c r="M46" s="2450"/>
    </row>
    <row r="47" spans="1:13" s="251" customFormat="1" ht="12.75" customHeight="1">
      <c r="A47" s="475"/>
      <c r="B47" s="1960"/>
      <c r="C47" s="448" t="s">
        <v>24</v>
      </c>
      <c r="D47" s="449"/>
      <c r="E47" s="406"/>
      <c r="F47" s="263"/>
      <c r="G47" s="263"/>
      <c r="H47" s="263"/>
      <c r="I47" s="263"/>
      <c r="J47" s="263"/>
      <c r="K47" s="406"/>
      <c r="L47" s="469"/>
      <c r="M47" s="2450"/>
    </row>
    <row r="48" spans="1:13" s="251" customFormat="1" ht="22.5">
      <c r="A48" s="475"/>
      <c r="B48" s="1960"/>
      <c r="C48" s="452" t="s">
        <v>25</v>
      </c>
      <c r="D48" s="449"/>
      <c r="E48" s="406"/>
      <c r="F48" s="263"/>
      <c r="G48" s="263"/>
      <c r="H48" s="263"/>
      <c r="I48" s="263"/>
      <c r="J48" s="263"/>
      <c r="K48" s="406"/>
      <c r="L48" s="469"/>
      <c r="M48" s="476"/>
    </row>
    <row r="49" spans="1:13" s="251" customFormat="1" ht="12.75" customHeight="1">
      <c r="A49" s="475"/>
      <c r="B49" s="1960"/>
      <c r="C49" s="448" t="s">
        <v>26</v>
      </c>
      <c r="D49" s="449"/>
      <c r="E49" s="406"/>
      <c r="F49" s="263"/>
      <c r="G49" s="263"/>
      <c r="H49" s="263"/>
      <c r="I49" s="263"/>
      <c r="J49" s="263"/>
      <c r="K49" s="406"/>
      <c r="L49" s="469"/>
      <c r="M49" s="476"/>
    </row>
    <row r="50" spans="1:13" s="251" customFormat="1" ht="12.75" customHeight="1">
      <c r="A50" s="475"/>
      <c r="B50" s="1960"/>
      <c r="C50" s="448" t="s">
        <v>27</v>
      </c>
      <c r="D50" s="449"/>
      <c r="E50" s="406"/>
      <c r="F50" s="263"/>
      <c r="G50" s="263"/>
      <c r="H50" s="263"/>
      <c r="I50" s="263"/>
      <c r="J50" s="263"/>
      <c r="K50" s="406"/>
      <c r="L50" s="469"/>
      <c r="M50" s="476"/>
    </row>
    <row r="51" spans="1:13" s="251" customFormat="1" ht="12.75" customHeight="1">
      <c r="A51" s="475"/>
      <c r="B51" s="1960"/>
      <c r="C51" s="453" t="s">
        <v>28</v>
      </c>
      <c r="D51" s="446"/>
      <c r="E51" s="447">
        <f>SUM(E52,E56:E57)</f>
        <v>0</v>
      </c>
      <c r="F51" s="447">
        <f>SUM(F52,F56:F57)</f>
        <v>1700000</v>
      </c>
      <c r="G51" s="447"/>
      <c r="H51" s="261">
        <f>SUM(H52,H56:H57)</f>
        <v>0</v>
      </c>
      <c r="I51" s="465"/>
      <c r="J51" s="447">
        <f>SUM(J52,J56:J57)</f>
        <v>0</v>
      </c>
      <c r="K51" s="447">
        <f>SUM(K52,K56:K57)</f>
        <v>0</v>
      </c>
      <c r="L51" s="469"/>
      <c r="M51" s="476"/>
    </row>
    <row r="52" spans="1:13" s="251" customFormat="1" ht="15" customHeight="1">
      <c r="A52" s="475"/>
      <c r="B52" s="1960"/>
      <c r="C52" s="2054" t="s">
        <v>29</v>
      </c>
      <c r="D52" s="449" t="s">
        <v>22</v>
      </c>
      <c r="E52" s="406">
        <f>SUM(E53:E54)</f>
        <v>0</v>
      </c>
      <c r="F52" s="406">
        <f>SUM(F53:F54)</f>
        <v>1700000</v>
      </c>
      <c r="G52" s="406"/>
      <c r="H52" s="263">
        <f>SUM(H53:H54)</f>
        <v>0</v>
      </c>
      <c r="I52" s="468"/>
      <c r="J52" s="406">
        <f>SUM(J53:J54)</f>
        <v>0</v>
      </c>
      <c r="K52" s="406">
        <f>SUM(K53:K54)</f>
        <v>0</v>
      </c>
      <c r="L52" s="469"/>
      <c r="M52" s="476"/>
    </row>
    <row r="53" spans="1:13" s="251" customFormat="1" ht="12.75" customHeight="1">
      <c r="A53" s="475"/>
      <c r="B53" s="1960"/>
      <c r="C53" s="2440"/>
      <c r="D53" s="474" t="s">
        <v>228</v>
      </c>
      <c r="E53" s="471">
        <v>0</v>
      </c>
      <c r="F53" s="472">
        <v>1464000</v>
      </c>
      <c r="G53" s="472"/>
      <c r="H53" s="472">
        <v>0</v>
      </c>
      <c r="I53" s="473"/>
      <c r="J53" s="472">
        <v>0</v>
      </c>
      <c r="K53" s="471">
        <f>SUM(H53,J53)</f>
        <v>0</v>
      </c>
      <c r="L53" s="469"/>
      <c r="M53" s="476"/>
    </row>
    <row r="54" spans="1:13" s="251" customFormat="1" ht="13.5" customHeight="1">
      <c r="A54" s="475"/>
      <c r="B54" s="1960"/>
      <c r="C54" s="2441"/>
      <c r="D54" s="474" t="s">
        <v>229</v>
      </c>
      <c r="E54" s="471">
        <v>0</v>
      </c>
      <c r="F54" s="472">
        <v>236000</v>
      </c>
      <c r="G54" s="472"/>
      <c r="H54" s="472">
        <v>0</v>
      </c>
      <c r="I54" s="472"/>
      <c r="J54" s="472">
        <v>0</v>
      </c>
      <c r="K54" s="471">
        <f>SUM(H54,J54)</f>
        <v>0</v>
      </c>
      <c r="L54" s="469"/>
      <c r="M54" s="476"/>
    </row>
    <row r="55" spans="1:13" s="251" customFormat="1" ht="22.5">
      <c r="A55" s="477"/>
      <c r="B55" s="478"/>
      <c r="C55" s="452" t="s">
        <v>89</v>
      </c>
      <c r="D55" s="474"/>
      <c r="E55" s="471"/>
      <c r="F55" s="472"/>
      <c r="G55" s="472"/>
      <c r="H55" s="472"/>
      <c r="I55" s="472"/>
      <c r="J55" s="472"/>
      <c r="K55" s="471"/>
      <c r="L55" s="469"/>
      <c r="M55" s="479"/>
    </row>
    <row r="56" spans="1:13" s="251" customFormat="1" ht="12.75" customHeight="1">
      <c r="A56" s="475"/>
      <c r="B56" s="480"/>
      <c r="C56" s="481" t="s">
        <v>31</v>
      </c>
      <c r="D56" s="482"/>
      <c r="E56" s="483"/>
      <c r="F56" s="267"/>
      <c r="G56" s="267"/>
      <c r="H56" s="267"/>
      <c r="I56" s="267"/>
      <c r="J56" s="267"/>
      <c r="K56" s="483"/>
      <c r="L56" s="484"/>
      <c r="M56" s="476"/>
    </row>
    <row r="57" spans="1:13" s="251" customFormat="1" ht="13.5" customHeight="1">
      <c r="A57" s="477"/>
      <c r="B57" s="478"/>
      <c r="C57" s="448" t="s">
        <v>32</v>
      </c>
      <c r="D57" s="449"/>
      <c r="E57" s="406"/>
      <c r="F57" s="263"/>
      <c r="G57" s="263"/>
      <c r="H57" s="263"/>
      <c r="I57" s="263"/>
      <c r="J57" s="263"/>
      <c r="K57" s="406"/>
      <c r="L57" s="469"/>
      <c r="M57" s="479"/>
    </row>
    <row r="58" spans="1:13" s="251" customFormat="1" ht="27.75" customHeight="1">
      <c r="A58" s="485" t="s">
        <v>107</v>
      </c>
      <c r="B58" s="486"/>
      <c r="C58" s="487" t="s">
        <v>108</v>
      </c>
      <c r="D58" s="486"/>
      <c r="E58" s="488">
        <f>SUM(E59)</f>
        <v>0</v>
      </c>
      <c r="F58" s="489">
        <f>SUM(F59)</f>
        <v>50000</v>
      </c>
      <c r="G58" s="489"/>
      <c r="H58" s="489">
        <f>SUM(H59)</f>
        <v>0</v>
      </c>
      <c r="I58" s="489"/>
      <c r="J58" s="489">
        <f>SUM(J59)</f>
        <v>0</v>
      </c>
      <c r="K58" s="488">
        <f>SUM(K59)</f>
        <v>0</v>
      </c>
      <c r="L58" s="490"/>
      <c r="M58" s="491"/>
    </row>
    <row r="59" spans="1:13" s="251" customFormat="1">
      <c r="A59" s="2045"/>
      <c r="B59" s="2427" t="s">
        <v>230</v>
      </c>
      <c r="C59" s="463" t="s">
        <v>231</v>
      </c>
      <c r="D59" s="444"/>
      <c r="E59" s="258">
        <f>SUM(E60,E69)</f>
        <v>0</v>
      </c>
      <c r="F59" s="258">
        <f>SUM(F60,F69)</f>
        <v>50000</v>
      </c>
      <c r="G59" s="258"/>
      <c r="H59" s="258">
        <f>SUM(H60,H69)</f>
        <v>0</v>
      </c>
      <c r="I59" s="258"/>
      <c r="J59" s="258">
        <f>SUM(J60,J69)</f>
        <v>0</v>
      </c>
      <c r="K59" s="445">
        <f>SUM(K60,K69)</f>
        <v>0</v>
      </c>
      <c r="L59" s="464"/>
      <c r="M59" s="2428"/>
    </row>
    <row r="60" spans="1:13" s="251" customFormat="1">
      <c r="A60" s="2046"/>
      <c r="B60" s="2427"/>
      <c r="C60" s="268" t="s">
        <v>18</v>
      </c>
      <c r="D60" s="446"/>
      <c r="E60" s="261">
        <f>SUM(E61,E64:E68)</f>
        <v>0</v>
      </c>
      <c r="F60" s="261">
        <f>SUM(F61,F64:F68)</f>
        <v>50000</v>
      </c>
      <c r="G60" s="261"/>
      <c r="H60" s="261">
        <f>SUM(H61,H64:H68)</f>
        <v>0</v>
      </c>
      <c r="I60" s="261"/>
      <c r="J60" s="261">
        <f>SUM(J61,J64:J68)</f>
        <v>0</v>
      </c>
      <c r="K60" s="447">
        <f>SUM(K61,K64:K68)</f>
        <v>0</v>
      </c>
      <c r="L60" s="466"/>
      <c r="M60" s="2429"/>
    </row>
    <row r="61" spans="1:13" s="251" customFormat="1">
      <c r="A61" s="2046"/>
      <c r="B61" s="2427"/>
      <c r="C61" s="448" t="s">
        <v>19</v>
      </c>
      <c r="D61" s="449"/>
      <c r="E61" s="263">
        <f>SUM(E62:E63)</f>
        <v>0</v>
      </c>
      <c r="F61" s="263">
        <f>SUM(F62:F63)</f>
        <v>50000</v>
      </c>
      <c r="G61" s="263"/>
      <c r="H61" s="263">
        <f>SUM(H62:H63)</f>
        <v>0</v>
      </c>
      <c r="I61" s="263"/>
      <c r="J61" s="263">
        <f>SUM(J62:J63)</f>
        <v>0</v>
      </c>
      <c r="K61" s="406">
        <f>SUM(K62:K63)</f>
        <v>0</v>
      </c>
      <c r="L61" s="469"/>
      <c r="M61" s="2429"/>
    </row>
    <row r="62" spans="1:13" s="251" customFormat="1">
      <c r="A62" s="2046"/>
      <c r="B62" s="2427"/>
      <c r="C62" s="450" t="s">
        <v>20</v>
      </c>
      <c r="D62" s="449"/>
      <c r="E62" s="406"/>
      <c r="F62" s="263"/>
      <c r="G62" s="263"/>
      <c r="H62" s="263"/>
      <c r="I62" s="263"/>
      <c r="J62" s="263"/>
      <c r="K62" s="406"/>
      <c r="L62" s="469"/>
      <c r="M62" s="2429"/>
    </row>
    <row r="63" spans="1:13" s="251" customFormat="1">
      <c r="A63" s="2046"/>
      <c r="B63" s="2427"/>
      <c r="C63" s="451" t="s">
        <v>21</v>
      </c>
      <c r="D63" s="449" t="s">
        <v>232</v>
      </c>
      <c r="E63" s="406">
        <v>0</v>
      </c>
      <c r="F63" s="263">
        <v>50000</v>
      </c>
      <c r="G63" s="263"/>
      <c r="H63" s="263">
        <v>0</v>
      </c>
      <c r="I63" s="263"/>
      <c r="J63" s="263">
        <v>0</v>
      </c>
      <c r="K63" s="406">
        <f>SUM(K64:K65)</f>
        <v>0</v>
      </c>
      <c r="L63" s="469"/>
      <c r="M63" s="2429"/>
    </row>
    <row r="64" spans="1:13" s="251" customFormat="1">
      <c r="A64" s="2046"/>
      <c r="B64" s="2427"/>
      <c r="C64" s="448" t="s">
        <v>23</v>
      </c>
      <c r="D64" s="474"/>
      <c r="E64" s="406"/>
      <c r="F64" s="263"/>
      <c r="G64" s="263"/>
      <c r="H64" s="263"/>
      <c r="I64" s="263"/>
      <c r="J64" s="263"/>
      <c r="K64" s="406"/>
      <c r="L64" s="469"/>
      <c r="M64" s="2429"/>
    </row>
    <row r="65" spans="1:13" s="251" customFormat="1">
      <c r="A65" s="2046"/>
      <c r="B65" s="2427"/>
      <c r="C65" s="448" t="s">
        <v>24</v>
      </c>
      <c r="D65" s="449"/>
      <c r="E65" s="406"/>
      <c r="F65" s="263"/>
      <c r="G65" s="263"/>
      <c r="H65" s="263"/>
      <c r="I65" s="263"/>
      <c r="J65" s="263"/>
      <c r="K65" s="406"/>
      <c r="L65" s="469"/>
      <c r="M65" s="2429"/>
    </row>
    <row r="66" spans="1:13" s="251" customFormat="1" ht="24.75" customHeight="1">
      <c r="A66" s="2046"/>
      <c r="B66" s="2427"/>
      <c r="C66" s="452" t="s">
        <v>54</v>
      </c>
      <c r="D66" s="449"/>
      <c r="E66" s="406"/>
      <c r="F66" s="263"/>
      <c r="G66" s="263"/>
      <c r="H66" s="263"/>
      <c r="I66" s="263"/>
      <c r="J66" s="263"/>
      <c r="K66" s="406"/>
      <c r="L66" s="469"/>
      <c r="M66" s="2429"/>
    </row>
    <row r="67" spans="1:13" s="251" customFormat="1">
      <c r="A67" s="2046"/>
      <c r="B67" s="2427"/>
      <c r="C67" s="448" t="s">
        <v>26</v>
      </c>
      <c r="D67" s="449"/>
      <c r="E67" s="406"/>
      <c r="F67" s="263"/>
      <c r="G67" s="263"/>
      <c r="H67" s="263"/>
      <c r="I67" s="263"/>
      <c r="J67" s="263"/>
      <c r="K67" s="406"/>
      <c r="L67" s="469"/>
      <c r="M67" s="2429"/>
    </row>
    <row r="68" spans="1:13" s="251" customFormat="1">
      <c r="A68" s="2046"/>
      <c r="B68" s="2427"/>
      <c r="C68" s="448" t="s">
        <v>27</v>
      </c>
      <c r="D68" s="449"/>
      <c r="E68" s="406"/>
      <c r="F68" s="263"/>
      <c r="G68" s="263"/>
      <c r="H68" s="263"/>
      <c r="I68" s="263"/>
      <c r="J68" s="263"/>
      <c r="K68" s="406"/>
      <c r="L68" s="469"/>
      <c r="M68" s="2429"/>
    </row>
    <row r="69" spans="1:13" s="251" customFormat="1">
      <c r="A69" s="2046"/>
      <c r="B69" s="2427"/>
      <c r="C69" s="453" t="s">
        <v>28</v>
      </c>
      <c r="D69" s="446"/>
      <c r="E69" s="447">
        <v>0</v>
      </c>
      <c r="F69" s="261">
        <v>0</v>
      </c>
      <c r="G69" s="261"/>
      <c r="H69" s="261">
        <v>0</v>
      </c>
      <c r="I69" s="261"/>
      <c r="J69" s="261">
        <v>0</v>
      </c>
      <c r="K69" s="447">
        <v>0</v>
      </c>
      <c r="L69" s="469"/>
      <c r="M69" s="2429"/>
    </row>
    <row r="70" spans="1:13" s="251" customFormat="1">
      <c r="A70" s="2046"/>
      <c r="B70" s="2427"/>
      <c r="C70" s="448" t="s">
        <v>29</v>
      </c>
      <c r="D70" s="449"/>
      <c r="E70" s="406"/>
      <c r="F70" s="263"/>
      <c r="G70" s="263"/>
      <c r="H70" s="263"/>
      <c r="I70" s="263"/>
      <c r="J70" s="263"/>
      <c r="K70" s="406"/>
      <c r="L70" s="469"/>
      <c r="M70" s="2429"/>
    </row>
    <row r="71" spans="1:13" s="251" customFormat="1" ht="23.25" customHeight="1">
      <c r="A71" s="2046"/>
      <c r="B71" s="2427"/>
      <c r="C71" s="452" t="s">
        <v>30</v>
      </c>
      <c r="D71" s="449"/>
      <c r="E71" s="406"/>
      <c r="F71" s="263"/>
      <c r="G71" s="263"/>
      <c r="H71" s="263"/>
      <c r="I71" s="263"/>
      <c r="J71" s="263"/>
      <c r="K71" s="406"/>
      <c r="L71" s="469"/>
      <c r="M71" s="2429"/>
    </row>
    <row r="72" spans="1:13" s="251" customFormat="1">
      <c r="A72" s="2046"/>
      <c r="B72" s="2427"/>
      <c r="C72" s="448" t="s">
        <v>31</v>
      </c>
      <c r="D72" s="449"/>
      <c r="E72" s="406"/>
      <c r="F72" s="263"/>
      <c r="G72" s="263"/>
      <c r="H72" s="263"/>
      <c r="I72" s="263"/>
      <c r="J72" s="263"/>
      <c r="K72" s="406"/>
      <c r="L72" s="469"/>
      <c r="M72" s="2429"/>
    </row>
    <row r="73" spans="1:13" s="251" customFormat="1">
      <c r="A73" s="2426"/>
      <c r="B73" s="2427"/>
      <c r="C73" s="448" t="s">
        <v>32</v>
      </c>
      <c r="D73" s="449"/>
      <c r="E73" s="406"/>
      <c r="F73" s="263"/>
      <c r="G73" s="263"/>
      <c r="H73" s="263"/>
      <c r="I73" s="263"/>
      <c r="J73" s="263"/>
      <c r="K73" s="406"/>
      <c r="L73" s="469"/>
      <c r="M73" s="2429"/>
    </row>
    <row r="74" spans="1:13" s="251" customFormat="1">
      <c r="A74" s="485" t="s">
        <v>115</v>
      </c>
      <c r="B74" s="486"/>
      <c r="C74" s="492" t="s">
        <v>116</v>
      </c>
      <c r="D74" s="486"/>
      <c r="E74" s="493">
        <f>SUM(E75,E127,E153,E205,E278,E327)</f>
        <v>52829245</v>
      </c>
      <c r="F74" s="493">
        <f>SUM(F75,F127,F153,F205,F278,F327)</f>
        <v>56530796</v>
      </c>
      <c r="G74" s="493"/>
      <c r="H74" s="493">
        <f>SUM(H75,H127,H153,H205,H278,H327)</f>
        <v>58274720</v>
      </c>
      <c r="I74" s="494">
        <f>H74/E74</f>
        <v>1.1030769037111925</v>
      </c>
      <c r="J74" s="493">
        <f>SUM(J75,J127,J153,J205,J278,J327)</f>
        <v>924863</v>
      </c>
      <c r="K74" s="495">
        <f>SUM(K75,K127,K153,K205,K278,K327)</f>
        <v>59199583</v>
      </c>
      <c r="L74" s="494">
        <f t="shared" si="0"/>
        <v>1.1205835517808365</v>
      </c>
      <c r="M74" s="496"/>
    </row>
    <row r="75" spans="1:13" s="251" customFormat="1" ht="12.75" customHeight="1">
      <c r="A75" s="497"/>
      <c r="B75" s="1959" t="s">
        <v>233</v>
      </c>
      <c r="C75" s="443" t="s">
        <v>234</v>
      </c>
      <c r="D75" s="444"/>
      <c r="E75" s="445">
        <f>SUM(E76,E107)</f>
        <v>7261371</v>
      </c>
      <c r="F75" s="258">
        <f>SUM(F76,F107)</f>
        <v>7372115</v>
      </c>
      <c r="G75" s="258"/>
      <c r="H75" s="258">
        <f>SUM(H76,H107)</f>
        <v>7749234</v>
      </c>
      <c r="I75" s="464">
        <f>H75/E75</f>
        <v>1.0671860727127149</v>
      </c>
      <c r="J75" s="258">
        <f>SUM(J76,J107)</f>
        <v>0</v>
      </c>
      <c r="K75" s="445">
        <f>SUM(K76,K107)</f>
        <v>7749234</v>
      </c>
      <c r="L75" s="464">
        <f t="shared" si="0"/>
        <v>1.0671860727127149</v>
      </c>
      <c r="M75" s="2438" t="s">
        <v>235</v>
      </c>
    </row>
    <row r="76" spans="1:13" s="251" customFormat="1" ht="12.75" customHeight="1">
      <c r="A76" s="498"/>
      <c r="B76" s="1960"/>
      <c r="C76" s="268" t="s">
        <v>18</v>
      </c>
      <c r="D76" s="446"/>
      <c r="E76" s="447">
        <f>SUM(E77,E102:E106)</f>
        <v>7261371</v>
      </c>
      <c r="F76" s="261">
        <f>SUM(F77,F102:F106)</f>
        <v>7372115</v>
      </c>
      <c r="G76" s="261"/>
      <c r="H76" s="261">
        <f>SUM(H77,H102:H106)</f>
        <v>7749234</v>
      </c>
      <c r="I76" s="465">
        <f>H76/E76</f>
        <v>1.0671860727127149</v>
      </c>
      <c r="J76" s="261">
        <f>SUM(J77,J102:J106)</f>
        <v>0</v>
      </c>
      <c r="K76" s="447">
        <f>SUM(K77,K102:K106)</f>
        <v>7749234</v>
      </c>
      <c r="L76" s="466">
        <f t="shared" si="0"/>
        <v>1.0671860727127149</v>
      </c>
      <c r="M76" s="2439"/>
    </row>
    <row r="77" spans="1:13" s="251" customFormat="1" ht="12.75" customHeight="1">
      <c r="A77" s="498"/>
      <c r="B77" s="1960"/>
      <c r="C77" s="448" t="s">
        <v>19</v>
      </c>
      <c r="D77" s="449"/>
      <c r="E77" s="406">
        <f>SUM(E78,E87)</f>
        <v>7187521</v>
      </c>
      <c r="F77" s="263">
        <f>SUM(F78,F87)</f>
        <v>7222265</v>
      </c>
      <c r="G77" s="263"/>
      <c r="H77" s="263">
        <f>SUM(H78,H87)</f>
        <v>7682216</v>
      </c>
      <c r="I77" s="468">
        <f t="shared" ref="I77:I87" si="3">H77/E77</f>
        <v>1.06882692934045</v>
      </c>
      <c r="J77" s="263">
        <f>SUM(J78,J87)</f>
        <v>0</v>
      </c>
      <c r="K77" s="406">
        <f>SUM(K78,K87)</f>
        <v>7682216</v>
      </c>
      <c r="L77" s="469">
        <f t="shared" si="0"/>
        <v>1.06882692934045</v>
      </c>
      <c r="M77" s="2439"/>
    </row>
    <row r="78" spans="1:13" s="251" customFormat="1" ht="12.75" customHeight="1">
      <c r="A78" s="498"/>
      <c r="B78" s="1960"/>
      <c r="C78" s="2054" t="s">
        <v>20</v>
      </c>
      <c r="D78" s="449" t="s">
        <v>22</v>
      </c>
      <c r="E78" s="406">
        <f>SUM(E79:E86)</f>
        <v>6743045</v>
      </c>
      <c r="F78" s="263">
        <f>SUM(F79:F86)</f>
        <v>6772869</v>
      </c>
      <c r="G78" s="263"/>
      <c r="H78" s="263">
        <f>SUM(H79:H86)</f>
        <v>7154995</v>
      </c>
      <c r="I78" s="468">
        <f t="shared" si="3"/>
        <v>1.0610925776114499</v>
      </c>
      <c r="J78" s="263">
        <f>SUM(J79:J86)</f>
        <v>0</v>
      </c>
      <c r="K78" s="406">
        <f>SUM(K79:K86)</f>
        <v>7154995</v>
      </c>
      <c r="L78" s="469">
        <f t="shared" si="0"/>
        <v>1.0610925776114499</v>
      </c>
      <c r="M78" s="2439"/>
    </row>
    <row r="79" spans="1:13" s="251" customFormat="1" ht="12.75" customHeight="1">
      <c r="A79" s="498"/>
      <c r="B79" s="1960"/>
      <c r="C79" s="2440"/>
      <c r="D79" s="474">
        <v>4010</v>
      </c>
      <c r="E79" s="471">
        <v>636409</v>
      </c>
      <c r="F79" s="472">
        <v>636409</v>
      </c>
      <c r="G79" s="472"/>
      <c r="H79" s="472">
        <v>746282</v>
      </c>
      <c r="I79" s="473">
        <f t="shared" si="3"/>
        <v>1.1726452642875886</v>
      </c>
      <c r="J79" s="472">
        <v>0</v>
      </c>
      <c r="K79" s="471">
        <f>SUM(H79,J79)</f>
        <v>746282</v>
      </c>
      <c r="L79" s="469">
        <f t="shared" si="0"/>
        <v>1.1726452642875886</v>
      </c>
      <c r="M79" s="2439"/>
    </row>
    <row r="80" spans="1:13" s="251" customFormat="1" ht="12.75" customHeight="1">
      <c r="A80" s="498"/>
      <c r="B80" s="1960"/>
      <c r="C80" s="2440"/>
      <c r="D80" s="474">
        <v>4040</v>
      </c>
      <c r="E80" s="471">
        <v>42690</v>
      </c>
      <c r="F80" s="472">
        <v>37766</v>
      </c>
      <c r="G80" s="472"/>
      <c r="H80" s="472">
        <v>49018</v>
      </c>
      <c r="I80" s="473">
        <f t="shared" si="3"/>
        <v>1.148231435933474</v>
      </c>
      <c r="J80" s="472">
        <v>0</v>
      </c>
      <c r="K80" s="471">
        <f t="shared" ref="K80:K86" si="4">SUM(H80,J80)</f>
        <v>49018</v>
      </c>
      <c r="L80" s="469">
        <f t="shared" si="0"/>
        <v>1.148231435933474</v>
      </c>
      <c r="M80" s="2439"/>
    </row>
    <row r="81" spans="1:13" s="251" customFormat="1" ht="12.75" customHeight="1">
      <c r="A81" s="498"/>
      <c r="B81" s="1960"/>
      <c r="C81" s="2440"/>
      <c r="D81" s="474">
        <v>4110</v>
      </c>
      <c r="E81" s="471">
        <v>1024938</v>
      </c>
      <c r="F81" s="472">
        <v>1022495</v>
      </c>
      <c r="G81" s="472"/>
      <c r="H81" s="472">
        <v>1041588</v>
      </c>
      <c r="I81" s="473">
        <f t="shared" si="3"/>
        <v>1.016244885056462</v>
      </c>
      <c r="J81" s="472">
        <v>0</v>
      </c>
      <c r="K81" s="471">
        <f t="shared" si="4"/>
        <v>1041588</v>
      </c>
      <c r="L81" s="469">
        <f t="shared" si="0"/>
        <v>1.016244885056462</v>
      </c>
      <c r="M81" s="2439"/>
    </row>
    <row r="82" spans="1:13" s="251" customFormat="1" ht="12.75" customHeight="1">
      <c r="A82" s="498"/>
      <c r="B82" s="1960"/>
      <c r="C82" s="2440"/>
      <c r="D82" s="474">
        <v>4120</v>
      </c>
      <c r="E82" s="471">
        <v>137683</v>
      </c>
      <c r="F82" s="472">
        <v>137683</v>
      </c>
      <c r="G82" s="472"/>
      <c r="H82" s="472">
        <v>139398</v>
      </c>
      <c r="I82" s="473">
        <f t="shared" si="3"/>
        <v>1.0124561492704256</v>
      </c>
      <c r="J82" s="472">
        <v>0</v>
      </c>
      <c r="K82" s="471">
        <f t="shared" si="4"/>
        <v>139398</v>
      </c>
      <c r="L82" s="469">
        <f t="shared" si="0"/>
        <v>1.0124561492704256</v>
      </c>
      <c r="M82" s="2439"/>
    </row>
    <row r="83" spans="1:13" s="251" customFormat="1" ht="12.75" customHeight="1">
      <c r="A83" s="498"/>
      <c r="B83" s="1960"/>
      <c r="C83" s="2440"/>
      <c r="D83" s="474" t="s">
        <v>236</v>
      </c>
      <c r="E83" s="471">
        <v>10800</v>
      </c>
      <c r="F83" s="472">
        <v>11800</v>
      </c>
      <c r="G83" s="472"/>
      <c r="H83" s="472">
        <v>12420</v>
      </c>
      <c r="I83" s="473">
        <f t="shared" si="3"/>
        <v>1.1499999999999999</v>
      </c>
      <c r="J83" s="472">
        <v>0</v>
      </c>
      <c r="K83" s="471">
        <f t="shared" si="4"/>
        <v>12420</v>
      </c>
      <c r="L83" s="469">
        <f t="shared" si="0"/>
        <v>1.1499999999999999</v>
      </c>
      <c r="M83" s="2439"/>
    </row>
    <row r="84" spans="1:13" s="251" customFormat="1" ht="12.75" customHeight="1">
      <c r="A84" s="498"/>
      <c r="B84" s="1960"/>
      <c r="C84" s="2440"/>
      <c r="D84" s="474" t="s">
        <v>237</v>
      </c>
      <c r="E84" s="471">
        <v>17368</v>
      </c>
      <c r="F84" s="472">
        <v>17368</v>
      </c>
      <c r="G84" s="472"/>
      <c r="H84" s="472">
        <v>17518</v>
      </c>
      <c r="I84" s="473">
        <f t="shared" si="3"/>
        <v>1.0086365730078304</v>
      </c>
      <c r="J84" s="472">
        <v>0</v>
      </c>
      <c r="K84" s="471">
        <f t="shared" si="4"/>
        <v>17518</v>
      </c>
      <c r="L84" s="469">
        <f t="shared" si="0"/>
        <v>1.0086365730078304</v>
      </c>
      <c r="M84" s="2439"/>
    </row>
    <row r="85" spans="1:13" s="251" customFormat="1" ht="12.75" customHeight="1">
      <c r="A85" s="498"/>
      <c r="B85" s="1960"/>
      <c r="C85" s="2440"/>
      <c r="D85" s="474" t="s">
        <v>238</v>
      </c>
      <c r="E85" s="471">
        <v>4496176</v>
      </c>
      <c r="F85" s="472">
        <v>4530920</v>
      </c>
      <c r="G85" s="472"/>
      <c r="H85" s="472">
        <v>4765551</v>
      </c>
      <c r="I85" s="473">
        <f t="shared" si="3"/>
        <v>1.0599120230168926</v>
      </c>
      <c r="J85" s="472">
        <v>0</v>
      </c>
      <c r="K85" s="471">
        <f t="shared" si="4"/>
        <v>4765551</v>
      </c>
      <c r="L85" s="469">
        <f t="shared" si="0"/>
        <v>1.0599120230168926</v>
      </c>
      <c r="M85" s="2439"/>
    </row>
    <row r="86" spans="1:13" s="251" customFormat="1" ht="12.75" customHeight="1">
      <c r="A86" s="498"/>
      <c r="B86" s="1960"/>
      <c r="C86" s="2441"/>
      <c r="D86" s="474" t="s">
        <v>239</v>
      </c>
      <c r="E86" s="471">
        <v>376981</v>
      </c>
      <c r="F86" s="472">
        <v>378428</v>
      </c>
      <c r="G86" s="472"/>
      <c r="H86" s="472">
        <v>383220</v>
      </c>
      <c r="I86" s="473">
        <f t="shared" si="3"/>
        <v>1.0165499056981651</v>
      </c>
      <c r="J86" s="472">
        <v>0</v>
      </c>
      <c r="K86" s="471">
        <f t="shared" si="4"/>
        <v>383220</v>
      </c>
      <c r="L86" s="469">
        <f t="shared" si="0"/>
        <v>1.0165499056981651</v>
      </c>
      <c r="M86" s="2439"/>
    </row>
    <row r="87" spans="1:13" s="251" customFormat="1" ht="12.75" customHeight="1">
      <c r="A87" s="498"/>
      <c r="B87" s="1960"/>
      <c r="C87" s="2442" t="s">
        <v>21</v>
      </c>
      <c r="D87" s="449" t="s">
        <v>22</v>
      </c>
      <c r="E87" s="406">
        <f>SUM(E88:E101)</f>
        <v>444476</v>
      </c>
      <c r="F87" s="263">
        <f>SUM(F88:F101)</f>
        <v>449396</v>
      </c>
      <c r="G87" s="263"/>
      <c r="H87" s="263">
        <f>SUM(H88:H101)</f>
        <v>527221</v>
      </c>
      <c r="I87" s="468">
        <f t="shared" si="3"/>
        <v>1.1861630324246979</v>
      </c>
      <c r="J87" s="263">
        <f>SUM(J88:J101)</f>
        <v>0</v>
      </c>
      <c r="K87" s="406">
        <f>SUM(K88:K101)</f>
        <v>527221</v>
      </c>
      <c r="L87" s="469">
        <f t="shared" si="0"/>
        <v>1.1861630324246979</v>
      </c>
      <c r="M87" s="2439"/>
    </row>
    <row r="88" spans="1:13" s="251" customFormat="1" ht="12.75" hidden="1" customHeight="1">
      <c r="A88" s="498"/>
      <c r="B88" s="1960"/>
      <c r="C88" s="2443"/>
      <c r="D88" s="499" t="s">
        <v>240</v>
      </c>
      <c r="E88" s="471">
        <v>0</v>
      </c>
      <c r="F88" s="472">
        <v>0</v>
      </c>
      <c r="G88" s="472"/>
      <c r="H88" s="472">
        <v>0</v>
      </c>
      <c r="I88" s="472"/>
      <c r="J88" s="472">
        <v>0</v>
      </c>
      <c r="K88" s="471">
        <v>0</v>
      </c>
      <c r="L88" s="469" t="e">
        <f t="shared" ref="L88:L144" si="5">K88/E88</f>
        <v>#DIV/0!</v>
      </c>
      <c r="M88" s="2439"/>
    </row>
    <row r="89" spans="1:13" s="251" customFormat="1" ht="12.75" customHeight="1">
      <c r="A89" s="498"/>
      <c r="B89" s="1960"/>
      <c r="C89" s="2443"/>
      <c r="D89" s="470" t="s">
        <v>232</v>
      </c>
      <c r="E89" s="471">
        <v>11309</v>
      </c>
      <c r="F89" s="472">
        <v>11309</v>
      </c>
      <c r="G89" s="472"/>
      <c r="H89" s="472">
        <v>20005</v>
      </c>
      <c r="I89" s="473">
        <f t="shared" ref="I89:I101" si="6">H89/E89</f>
        <v>1.7689450879830224</v>
      </c>
      <c r="J89" s="472">
        <v>0</v>
      </c>
      <c r="K89" s="471">
        <f t="shared" ref="K89:K103" si="7">SUM(H89,J89)</f>
        <v>20005</v>
      </c>
      <c r="L89" s="469">
        <f t="shared" si="5"/>
        <v>1.7689450879830224</v>
      </c>
      <c r="M89" s="2439"/>
    </row>
    <row r="90" spans="1:13" s="251" customFormat="1" ht="12.75" customHeight="1">
      <c r="A90" s="498"/>
      <c r="B90" s="1960"/>
      <c r="C90" s="2443"/>
      <c r="D90" s="470" t="s">
        <v>241</v>
      </c>
      <c r="E90" s="471">
        <v>9283</v>
      </c>
      <c r="F90" s="472">
        <v>9283</v>
      </c>
      <c r="G90" s="472"/>
      <c r="H90" s="472">
        <v>12878</v>
      </c>
      <c r="I90" s="473">
        <f t="shared" si="6"/>
        <v>1.3872670472907465</v>
      </c>
      <c r="J90" s="472">
        <v>0</v>
      </c>
      <c r="K90" s="471">
        <f t="shared" si="7"/>
        <v>12878</v>
      </c>
      <c r="L90" s="469">
        <f t="shared" si="5"/>
        <v>1.3872670472907465</v>
      </c>
      <c r="M90" s="2439"/>
    </row>
    <row r="91" spans="1:13" s="251" customFormat="1" ht="12.75" customHeight="1">
      <c r="A91" s="498"/>
      <c r="B91" s="1960"/>
      <c r="C91" s="2443"/>
      <c r="D91" s="470" t="s">
        <v>242</v>
      </c>
      <c r="E91" s="471">
        <v>26400</v>
      </c>
      <c r="F91" s="472">
        <v>26400</v>
      </c>
      <c r="G91" s="472"/>
      <c r="H91" s="472">
        <v>44880</v>
      </c>
      <c r="I91" s="473">
        <f t="shared" si="6"/>
        <v>1.7</v>
      </c>
      <c r="J91" s="472">
        <v>0</v>
      </c>
      <c r="K91" s="471">
        <f t="shared" si="7"/>
        <v>44880</v>
      </c>
      <c r="L91" s="469">
        <f t="shared" si="5"/>
        <v>1.7</v>
      </c>
      <c r="M91" s="2439"/>
    </row>
    <row r="92" spans="1:13" s="251" customFormat="1" ht="12.75" customHeight="1">
      <c r="A92" s="498"/>
      <c r="B92" s="1960"/>
      <c r="C92" s="2443"/>
      <c r="D92" s="500" t="s">
        <v>243</v>
      </c>
      <c r="E92" s="471">
        <v>3600</v>
      </c>
      <c r="F92" s="472">
        <v>3600</v>
      </c>
      <c r="G92" s="472"/>
      <c r="H92" s="472">
        <v>4135</v>
      </c>
      <c r="I92" s="473">
        <f t="shared" si="6"/>
        <v>1.148611111111111</v>
      </c>
      <c r="J92" s="472">
        <v>0</v>
      </c>
      <c r="K92" s="471">
        <f t="shared" si="7"/>
        <v>4135</v>
      </c>
      <c r="L92" s="469">
        <f t="shared" si="5"/>
        <v>1.148611111111111</v>
      </c>
      <c r="M92" s="2439"/>
    </row>
    <row r="93" spans="1:13" s="251" customFormat="1" ht="12.75" customHeight="1">
      <c r="A93" s="498"/>
      <c r="B93" s="1960"/>
      <c r="C93" s="2443"/>
      <c r="D93" s="501" t="s">
        <v>244</v>
      </c>
      <c r="E93" s="471">
        <v>4096</v>
      </c>
      <c r="F93" s="502">
        <v>5261</v>
      </c>
      <c r="G93" s="502"/>
      <c r="H93" s="502">
        <v>4750</v>
      </c>
      <c r="I93" s="503">
        <f t="shared" si="6"/>
        <v>1.15966796875</v>
      </c>
      <c r="J93" s="502">
        <v>0</v>
      </c>
      <c r="K93" s="471">
        <f t="shared" si="7"/>
        <v>4750</v>
      </c>
      <c r="L93" s="504">
        <f t="shared" si="5"/>
        <v>1.15966796875</v>
      </c>
      <c r="M93" s="505"/>
    </row>
    <row r="94" spans="1:13" s="251" customFormat="1" ht="12.75" customHeight="1">
      <c r="A94" s="498"/>
      <c r="B94" s="1960"/>
      <c r="C94" s="2443"/>
      <c r="D94" s="506" t="s">
        <v>222</v>
      </c>
      <c r="E94" s="471">
        <v>34176</v>
      </c>
      <c r="F94" s="502">
        <v>39096</v>
      </c>
      <c r="G94" s="502"/>
      <c r="H94" s="502">
        <v>50808</v>
      </c>
      <c r="I94" s="503">
        <f t="shared" si="6"/>
        <v>1.4866573033707866</v>
      </c>
      <c r="J94" s="502">
        <v>0</v>
      </c>
      <c r="K94" s="471">
        <f t="shared" si="7"/>
        <v>50808</v>
      </c>
      <c r="L94" s="504">
        <f t="shared" si="5"/>
        <v>1.4866573033707866</v>
      </c>
      <c r="M94" s="505"/>
    </row>
    <row r="95" spans="1:13" s="251" customFormat="1" ht="12.75" customHeight="1">
      <c r="A95" s="507"/>
      <c r="B95" s="2437"/>
      <c r="C95" s="2444"/>
      <c r="D95" s="508" t="s">
        <v>245</v>
      </c>
      <c r="E95" s="471">
        <v>7100</v>
      </c>
      <c r="F95" s="502">
        <v>6080</v>
      </c>
      <c r="G95" s="502"/>
      <c r="H95" s="502">
        <v>6817</v>
      </c>
      <c r="I95" s="503">
        <f t="shared" si="6"/>
        <v>0.96014084507042252</v>
      </c>
      <c r="J95" s="502">
        <v>0</v>
      </c>
      <c r="K95" s="471">
        <f t="shared" si="7"/>
        <v>6817</v>
      </c>
      <c r="L95" s="504">
        <f t="shared" si="5"/>
        <v>0.96014084507042252</v>
      </c>
      <c r="M95" s="509"/>
    </row>
    <row r="96" spans="1:13" s="251" customFormat="1" ht="12.75" customHeight="1">
      <c r="A96" s="497"/>
      <c r="B96" s="1959" t="s">
        <v>233</v>
      </c>
      <c r="C96" s="2446" t="s">
        <v>21</v>
      </c>
      <c r="D96" s="501" t="s">
        <v>246</v>
      </c>
      <c r="E96" s="471">
        <v>104886</v>
      </c>
      <c r="F96" s="502">
        <v>102946</v>
      </c>
      <c r="G96" s="502"/>
      <c r="H96" s="502">
        <v>130425</v>
      </c>
      <c r="I96" s="503">
        <f t="shared" si="6"/>
        <v>1.2434929351867743</v>
      </c>
      <c r="J96" s="502">
        <v>0</v>
      </c>
      <c r="K96" s="471">
        <f t="shared" si="7"/>
        <v>130425</v>
      </c>
      <c r="L96" s="504">
        <f t="shared" si="5"/>
        <v>1.2434929351867743</v>
      </c>
      <c r="M96" s="510"/>
    </row>
    <row r="97" spans="1:13" s="251" customFormat="1" ht="12.75" customHeight="1">
      <c r="A97" s="498"/>
      <c r="B97" s="1960"/>
      <c r="C97" s="2447"/>
      <c r="D97" s="506" t="s">
        <v>247</v>
      </c>
      <c r="E97" s="471">
        <v>3225</v>
      </c>
      <c r="F97" s="502">
        <v>2060</v>
      </c>
      <c r="G97" s="502"/>
      <c r="H97" s="502">
        <v>3708</v>
      </c>
      <c r="I97" s="503">
        <f t="shared" si="6"/>
        <v>1.1497674418604651</v>
      </c>
      <c r="J97" s="502">
        <v>0</v>
      </c>
      <c r="K97" s="471">
        <f t="shared" si="7"/>
        <v>3708</v>
      </c>
      <c r="L97" s="504">
        <f t="shared" si="5"/>
        <v>1.1497674418604651</v>
      </c>
      <c r="M97" s="505"/>
    </row>
    <row r="98" spans="1:13" s="251" customFormat="1" ht="12.75" customHeight="1">
      <c r="A98" s="498"/>
      <c r="B98" s="2445"/>
      <c r="C98" s="2447"/>
      <c r="D98" s="506" t="s">
        <v>248</v>
      </c>
      <c r="E98" s="471">
        <v>0</v>
      </c>
      <c r="F98" s="502">
        <v>1020</v>
      </c>
      <c r="G98" s="502"/>
      <c r="H98" s="502">
        <v>1903</v>
      </c>
      <c r="I98" s="503"/>
      <c r="J98" s="502">
        <v>0</v>
      </c>
      <c r="K98" s="471">
        <f t="shared" si="7"/>
        <v>1903</v>
      </c>
      <c r="L98" s="504"/>
      <c r="M98" s="505"/>
    </row>
    <row r="99" spans="1:13" s="251" customFormat="1" ht="12.75" customHeight="1">
      <c r="A99" s="498"/>
      <c r="B99" s="2445"/>
      <c r="C99" s="2447"/>
      <c r="D99" s="506" t="s">
        <v>249</v>
      </c>
      <c r="E99" s="471">
        <v>236989</v>
      </c>
      <c r="F99" s="502">
        <v>236989</v>
      </c>
      <c r="G99" s="502"/>
      <c r="H99" s="502">
        <v>241412</v>
      </c>
      <c r="I99" s="503">
        <f t="shared" si="6"/>
        <v>1.0186633134871239</v>
      </c>
      <c r="J99" s="502">
        <v>0</v>
      </c>
      <c r="K99" s="471">
        <f t="shared" si="7"/>
        <v>241412</v>
      </c>
      <c r="L99" s="504">
        <f t="shared" si="5"/>
        <v>1.0186633134871239</v>
      </c>
      <c r="M99" s="505"/>
    </row>
    <row r="100" spans="1:13" s="251" customFormat="1" ht="12.75" customHeight="1">
      <c r="A100" s="498"/>
      <c r="B100" s="2445"/>
      <c r="C100" s="2447"/>
      <c r="D100" s="506" t="s">
        <v>223</v>
      </c>
      <c r="E100" s="471">
        <v>0</v>
      </c>
      <c r="F100" s="502">
        <v>1940</v>
      </c>
      <c r="G100" s="502"/>
      <c r="H100" s="502">
        <v>0</v>
      </c>
      <c r="I100" s="503"/>
      <c r="J100" s="502">
        <v>0</v>
      </c>
      <c r="K100" s="471">
        <f t="shared" si="7"/>
        <v>0</v>
      </c>
      <c r="L100" s="504"/>
      <c r="M100" s="505"/>
    </row>
    <row r="101" spans="1:13" s="251" customFormat="1" ht="12.75" customHeight="1">
      <c r="A101" s="498"/>
      <c r="B101" s="2445"/>
      <c r="C101" s="2448"/>
      <c r="D101" s="506" t="s">
        <v>250</v>
      </c>
      <c r="E101" s="471">
        <v>3412</v>
      </c>
      <c r="F101" s="502">
        <v>3412</v>
      </c>
      <c r="G101" s="502"/>
      <c r="H101" s="502">
        <v>5500</v>
      </c>
      <c r="I101" s="503">
        <f t="shared" si="6"/>
        <v>1.6119577960140681</v>
      </c>
      <c r="J101" s="502">
        <v>0</v>
      </c>
      <c r="K101" s="471">
        <f t="shared" si="7"/>
        <v>5500</v>
      </c>
      <c r="L101" s="504">
        <f t="shared" si="5"/>
        <v>1.6119577960140681</v>
      </c>
      <c r="M101" s="505"/>
    </row>
    <row r="102" spans="1:13" s="251" customFormat="1" ht="12.75" customHeight="1">
      <c r="A102" s="498"/>
      <c r="B102" s="2445"/>
      <c r="C102" s="511" t="s">
        <v>23</v>
      </c>
      <c r="D102" s="512"/>
      <c r="E102" s="406"/>
      <c r="F102" s="513"/>
      <c r="G102" s="513"/>
      <c r="H102" s="513"/>
      <c r="I102" s="513"/>
      <c r="J102" s="513"/>
      <c r="K102" s="406"/>
      <c r="L102" s="504"/>
      <c r="M102" s="505"/>
    </row>
    <row r="103" spans="1:13" s="251" customFormat="1" ht="12.75" customHeight="1">
      <c r="A103" s="498"/>
      <c r="B103" s="2445"/>
      <c r="C103" s="511" t="s">
        <v>24</v>
      </c>
      <c r="D103" s="514">
        <v>3020</v>
      </c>
      <c r="E103" s="406">
        <v>73850</v>
      </c>
      <c r="F103" s="513">
        <v>149850</v>
      </c>
      <c r="G103" s="513"/>
      <c r="H103" s="513">
        <v>67018</v>
      </c>
      <c r="I103" s="515">
        <f t="shared" ref="I103" si="8">H103/E103</f>
        <v>0.90748815165876773</v>
      </c>
      <c r="J103" s="513">
        <v>0</v>
      </c>
      <c r="K103" s="406">
        <f t="shared" si="7"/>
        <v>67018</v>
      </c>
      <c r="L103" s="504">
        <f t="shared" si="5"/>
        <v>0.90748815165876773</v>
      </c>
      <c r="M103" s="505"/>
    </row>
    <row r="104" spans="1:13" s="251" customFormat="1" ht="24.75" customHeight="1">
      <c r="A104" s="498"/>
      <c r="B104" s="2445"/>
      <c r="C104" s="516" t="s">
        <v>54</v>
      </c>
      <c r="D104" s="514"/>
      <c r="E104" s="406"/>
      <c r="F104" s="513"/>
      <c r="G104" s="513"/>
      <c r="H104" s="513"/>
      <c r="I104" s="513"/>
      <c r="J104" s="513"/>
      <c r="K104" s="406"/>
      <c r="L104" s="504"/>
      <c r="M104" s="505"/>
    </row>
    <row r="105" spans="1:13" s="251" customFormat="1" ht="12.75" customHeight="1">
      <c r="A105" s="498"/>
      <c r="B105" s="2445"/>
      <c r="C105" s="511" t="s">
        <v>26</v>
      </c>
      <c r="D105" s="514"/>
      <c r="E105" s="406"/>
      <c r="F105" s="513"/>
      <c r="G105" s="513"/>
      <c r="H105" s="513"/>
      <c r="I105" s="513"/>
      <c r="J105" s="513"/>
      <c r="K105" s="406"/>
      <c r="L105" s="504"/>
      <c r="M105" s="505"/>
    </row>
    <row r="106" spans="1:13" s="251" customFormat="1" ht="12.75" customHeight="1">
      <c r="A106" s="498"/>
      <c r="B106" s="2445"/>
      <c r="C106" s="481" t="s">
        <v>27</v>
      </c>
      <c r="D106" s="482"/>
      <c r="E106" s="483"/>
      <c r="F106" s="267"/>
      <c r="G106" s="267"/>
      <c r="H106" s="267"/>
      <c r="I106" s="267"/>
      <c r="J106" s="267"/>
      <c r="K106" s="483"/>
      <c r="L106" s="504"/>
      <c r="M106" s="517"/>
    </row>
    <row r="107" spans="1:13" s="251" customFormat="1" ht="12.75" customHeight="1">
      <c r="A107" s="498"/>
      <c r="B107" s="2445"/>
      <c r="C107" s="518" t="s">
        <v>28</v>
      </c>
      <c r="D107" s="519"/>
      <c r="E107" s="520">
        <v>0</v>
      </c>
      <c r="F107" s="254">
        <v>0</v>
      </c>
      <c r="G107" s="254"/>
      <c r="H107" s="254">
        <v>0</v>
      </c>
      <c r="I107" s="254"/>
      <c r="J107" s="254">
        <v>0</v>
      </c>
      <c r="K107" s="520">
        <v>0</v>
      </c>
      <c r="L107" s="484"/>
      <c r="M107" s="517"/>
    </row>
    <row r="108" spans="1:13" s="251" customFormat="1" ht="12.75" customHeight="1">
      <c r="A108" s="498"/>
      <c r="B108" s="2445"/>
      <c r="C108" s="511" t="s">
        <v>29</v>
      </c>
      <c r="D108" s="514"/>
      <c r="E108" s="406"/>
      <c r="F108" s="513"/>
      <c r="G108" s="513"/>
      <c r="H108" s="513"/>
      <c r="I108" s="513"/>
      <c r="J108" s="513"/>
      <c r="K108" s="406"/>
      <c r="L108" s="504"/>
      <c r="M108" s="517"/>
    </row>
    <row r="109" spans="1:13" s="251" customFormat="1" ht="23.25" customHeight="1">
      <c r="A109" s="498"/>
      <c r="B109" s="2445"/>
      <c r="C109" s="516" t="s">
        <v>30</v>
      </c>
      <c r="D109" s="514"/>
      <c r="E109" s="406"/>
      <c r="F109" s="513"/>
      <c r="G109" s="513"/>
      <c r="H109" s="513"/>
      <c r="I109" s="513"/>
      <c r="J109" s="513"/>
      <c r="K109" s="406"/>
      <c r="L109" s="504"/>
      <c r="M109" s="517"/>
    </row>
    <row r="110" spans="1:13" s="251" customFormat="1" ht="12.75" customHeight="1">
      <c r="A110" s="498"/>
      <c r="B110" s="2445"/>
      <c r="C110" s="511" t="s">
        <v>31</v>
      </c>
      <c r="D110" s="514"/>
      <c r="E110" s="406"/>
      <c r="F110" s="513"/>
      <c r="G110" s="513"/>
      <c r="H110" s="513"/>
      <c r="I110" s="513"/>
      <c r="J110" s="513"/>
      <c r="K110" s="406"/>
      <c r="L110" s="504"/>
      <c r="M110" s="517"/>
    </row>
    <row r="111" spans="1:13" s="251" customFormat="1" ht="13.5" customHeight="1">
      <c r="A111" s="498"/>
      <c r="B111" s="2437"/>
      <c r="C111" s="511" t="s">
        <v>32</v>
      </c>
      <c r="D111" s="514"/>
      <c r="E111" s="406"/>
      <c r="F111" s="513"/>
      <c r="G111" s="513"/>
      <c r="H111" s="513"/>
      <c r="I111" s="513"/>
      <c r="J111" s="513"/>
      <c r="K111" s="406"/>
      <c r="L111" s="504"/>
      <c r="M111" s="521"/>
    </row>
    <row r="112" spans="1:13" s="251" customFormat="1" ht="13.5" hidden="1" customHeight="1">
      <c r="A112" s="498"/>
      <c r="B112" s="2437" t="s">
        <v>251</v>
      </c>
      <c r="C112" s="522" t="s">
        <v>252</v>
      </c>
      <c r="D112" s="523"/>
      <c r="E112" s="524">
        <v>0</v>
      </c>
      <c r="F112" s="525"/>
      <c r="G112" s="525"/>
      <c r="H112" s="525"/>
      <c r="I112" s="525"/>
      <c r="J112" s="525"/>
      <c r="K112" s="445"/>
      <c r="L112" s="504" t="e">
        <f t="shared" si="5"/>
        <v>#DIV/0!</v>
      </c>
      <c r="M112" s="2458" t="s">
        <v>253</v>
      </c>
    </row>
    <row r="113" spans="1:13" s="251" customFormat="1" ht="13.5" hidden="1" customHeight="1">
      <c r="A113" s="498"/>
      <c r="B113" s="2457"/>
      <c r="C113" s="526" t="s">
        <v>18</v>
      </c>
      <c r="D113" s="527"/>
      <c r="E113" s="447">
        <v>0</v>
      </c>
      <c r="F113" s="528"/>
      <c r="G113" s="528"/>
      <c r="H113" s="528"/>
      <c r="I113" s="528"/>
      <c r="J113" s="528"/>
      <c r="K113" s="447"/>
      <c r="L113" s="504" t="e">
        <f t="shared" si="5"/>
        <v>#DIV/0!</v>
      </c>
      <c r="M113" s="2459"/>
    </row>
    <row r="114" spans="1:13" s="251" customFormat="1" ht="13.5" hidden="1" customHeight="1">
      <c r="A114" s="498"/>
      <c r="B114" s="2457"/>
      <c r="C114" s="511" t="s">
        <v>19</v>
      </c>
      <c r="D114" s="514"/>
      <c r="E114" s="406">
        <v>0</v>
      </c>
      <c r="F114" s="513"/>
      <c r="G114" s="513"/>
      <c r="H114" s="513"/>
      <c r="I114" s="513"/>
      <c r="J114" s="513"/>
      <c r="K114" s="406"/>
      <c r="L114" s="504" t="e">
        <f t="shared" si="5"/>
        <v>#DIV/0!</v>
      </c>
      <c r="M114" s="2459"/>
    </row>
    <row r="115" spans="1:13" s="251" customFormat="1" ht="13.5" hidden="1" customHeight="1">
      <c r="A115" s="498"/>
      <c r="B115" s="2457"/>
      <c r="C115" s="450" t="s">
        <v>20</v>
      </c>
      <c r="D115" s="514"/>
      <c r="E115" s="406"/>
      <c r="F115" s="513"/>
      <c r="G115" s="513"/>
      <c r="H115" s="513"/>
      <c r="I115" s="513"/>
      <c r="J115" s="513"/>
      <c r="K115" s="406"/>
      <c r="L115" s="504" t="e">
        <f t="shared" si="5"/>
        <v>#DIV/0!</v>
      </c>
      <c r="M115" s="2459"/>
    </row>
    <row r="116" spans="1:13" s="251" customFormat="1" ht="13.5" hidden="1" customHeight="1">
      <c r="A116" s="498"/>
      <c r="B116" s="2457"/>
      <c r="C116" s="451" t="s">
        <v>21</v>
      </c>
      <c r="D116" s="512" t="s">
        <v>241</v>
      </c>
      <c r="E116" s="406"/>
      <c r="F116" s="513"/>
      <c r="G116" s="513"/>
      <c r="H116" s="513"/>
      <c r="I116" s="513"/>
      <c r="J116" s="513"/>
      <c r="K116" s="406"/>
      <c r="L116" s="504" t="e">
        <f t="shared" si="5"/>
        <v>#DIV/0!</v>
      </c>
      <c r="M116" s="2459"/>
    </row>
    <row r="117" spans="1:13" s="251" customFormat="1" ht="13.5" hidden="1" customHeight="1">
      <c r="A117" s="498"/>
      <c r="B117" s="2457"/>
      <c r="C117" s="511" t="s">
        <v>23</v>
      </c>
      <c r="D117" s="512"/>
      <c r="E117" s="406"/>
      <c r="F117" s="513"/>
      <c r="G117" s="513"/>
      <c r="H117" s="513"/>
      <c r="I117" s="513"/>
      <c r="J117" s="513"/>
      <c r="K117" s="406"/>
      <c r="L117" s="504" t="e">
        <f t="shared" si="5"/>
        <v>#DIV/0!</v>
      </c>
      <c r="M117" s="2459"/>
    </row>
    <row r="118" spans="1:13" s="251" customFormat="1" ht="13.5" hidden="1" customHeight="1">
      <c r="A118" s="498"/>
      <c r="B118" s="2457"/>
      <c r="C118" s="511" t="s">
        <v>24</v>
      </c>
      <c r="D118" s="514"/>
      <c r="E118" s="406"/>
      <c r="F118" s="513"/>
      <c r="G118" s="513"/>
      <c r="H118" s="513"/>
      <c r="I118" s="513"/>
      <c r="J118" s="513"/>
      <c r="K118" s="406"/>
      <c r="L118" s="504" t="e">
        <f t="shared" si="5"/>
        <v>#DIV/0!</v>
      </c>
      <c r="M118" s="2459"/>
    </row>
    <row r="119" spans="1:13" s="251" customFormat="1" ht="24.75" hidden="1" customHeight="1">
      <c r="A119" s="498"/>
      <c r="B119" s="2457"/>
      <c r="C119" s="516" t="s">
        <v>54</v>
      </c>
      <c r="D119" s="514"/>
      <c r="E119" s="406"/>
      <c r="F119" s="513"/>
      <c r="G119" s="513"/>
      <c r="H119" s="513"/>
      <c r="I119" s="513"/>
      <c r="J119" s="513"/>
      <c r="K119" s="406"/>
      <c r="L119" s="504" t="e">
        <f t="shared" si="5"/>
        <v>#DIV/0!</v>
      </c>
      <c r="M119" s="2459"/>
    </row>
    <row r="120" spans="1:13" s="251" customFormat="1" ht="13.5" hidden="1" customHeight="1">
      <c r="A120" s="498"/>
      <c r="B120" s="2457"/>
      <c r="C120" s="511" t="s">
        <v>26</v>
      </c>
      <c r="D120" s="514"/>
      <c r="E120" s="406"/>
      <c r="F120" s="513"/>
      <c r="G120" s="513"/>
      <c r="H120" s="513"/>
      <c r="I120" s="513"/>
      <c r="J120" s="513"/>
      <c r="K120" s="406"/>
      <c r="L120" s="504" t="e">
        <f t="shared" si="5"/>
        <v>#DIV/0!</v>
      </c>
      <c r="M120" s="2459"/>
    </row>
    <row r="121" spans="1:13" s="251" customFormat="1" ht="13.5" hidden="1" customHeight="1">
      <c r="A121" s="498"/>
      <c r="B121" s="2457"/>
      <c r="C121" s="511" t="s">
        <v>27</v>
      </c>
      <c r="D121" s="514"/>
      <c r="E121" s="406"/>
      <c r="F121" s="513"/>
      <c r="G121" s="513"/>
      <c r="H121" s="513"/>
      <c r="I121" s="513"/>
      <c r="J121" s="513"/>
      <c r="K121" s="406"/>
      <c r="L121" s="504" t="e">
        <f t="shared" si="5"/>
        <v>#DIV/0!</v>
      </c>
      <c r="M121" s="2459"/>
    </row>
    <row r="122" spans="1:13" s="251" customFormat="1" ht="13.5" hidden="1" customHeight="1">
      <c r="A122" s="498"/>
      <c r="B122" s="2457"/>
      <c r="C122" s="529" t="s">
        <v>28</v>
      </c>
      <c r="D122" s="527"/>
      <c r="E122" s="447">
        <v>0</v>
      </c>
      <c r="F122" s="528"/>
      <c r="G122" s="528"/>
      <c r="H122" s="528"/>
      <c r="I122" s="528"/>
      <c r="J122" s="528"/>
      <c r="K122" s="447"/>
      <c r="L122" s="504" t="e">
        <f t="shared" si="5"/>
        <v>#DIV/0!</v>
      </c>
      <c r="M122" s="2459"/>
    </row>
    <row r="123" spans="1:13" s="251" customFormat="1" ht="13.5" hidden="1" customHeight="1">
      <c r="A123" s="498"/>
      <c r="B123" s="2457"/>
      <c r="C123" s="511" t="s">
        <v>29</v>
      </c>
      <c r="D123" s="514"/>
      <c r="E123" s="406"/>
      <c r="F123" s="513"/>
      <c r="G123" s="513"/>
      <c r="H123" s="513"/>
      <c r="I123" s="513"/>
      <c r="J123" s="513"/>
      <c r="K123" s="406"/>
      <c r="L123" s="504" t="e">
        <f t="shared" si="5"/>
        <v>#DIV/0!</v>
      </c>
      <c r="M123" s="2459"/>
    </row>
    <row r="124" spans="1:13" s="251" customFormat="1" ht="23.25" hidden="1" customHeight="1">
      <c r="A124" s="498"/>
      <c r="B124" s="2457"/>
      <c r="C124" s="516" t="s">
        <v>30</v>
      </c>
      <c r="D124" s="514"/>
      <c r="E124" s="406"/>
      <c r="F124" s="513"/>
      <c r="G124" s="513"/>
      <c r="H124" s="513"/>
      <c r="I124" s="513"/>
      <c r="J124" s="513"/>
      <c r="K124" s="406"/>
      <c r="L124" s="504" t="e">
        <f t="shared" si="5"/>
        <v>#DIV/0!</v>
      </c>
      <c r="M124" s="2459"/>
    </row>
    <row r="125" spans="1:13" s="251" customFormat="1" ht="13.5" hidden="1" customHeight="1">
      <c r="A125" s="498"/>
      <c r="B125" s="2457"/>
      <c r="C125" s="511" t="s">
        <v>31</v>
      </c>
      <c r="D125" s="514"/>
      <c r="E125" s="406"/>
      <c r="F125" s="513"/>
      <c r="G125" s="513"/>
      <c r="H125" s="513"/>
      <c r="I125" s="513"/>
      <c r="J125" s="513"/>
      <c r="K125" s="406"/>
      <c r="L125" s="504" t="e">
        <f t="shared" si="5"/>
        <v>#DIV/0!</v>
      </c>
      <c r="M125" s="2459"/>
    </row>
    <row r="126" spans="1:13" s="251" customFormat="1" ht="13.5" hidden="1" customHeight="1">
      <c r="A126" s="498"/>
      <c r="B126" s="1959"/>
      <c r="C126" s="450" t="s">
        <v>32</v>
      </c>
      <c r="D126" s="454"/>
      <c r="E126" s="455"/>
      <c r="F126" s="513"/>
      <c r="G126" s="513"/>
      <c r="H126" s="513"/>
      <c r="I126" s="513"/>
      <c r="J126" s="513"/>
      <c r="K126" s="406"/>
      <c r="L126" s="504" t="e">
        <f t="shared" si="5"/>
        <v>#DIV/0!</v>
      </c>
      <c r="M126" s="2432"/>
    </row>
    <row r="127" spans="1:13" s="251" customFormat="1" ht="14.25" customHeight="1">
      <c r="A127" s="498"/>
      <c r="B127" s="1959" t="s">
        <v>254</v>
      </c>
      <c r="C127" s="530" t="s">
        <v>255</v>
      </c>
      <c r="D127" s="531"/>
      <c r="E127" s="445">
        <f>SUM(E128,E148)</f>
        <v>1377404</v>
      </c>
      <c r="F127" s="525">
        <f>SUM(F128,F148)</f>
        <v>1377404</v>
      </c>
      <c r="G127" s="525"/>
      <c r="H127" s="525">
        <f>SUM(H128,H148)</f>
        <v>1538787</v>
      </c>
      <c r="I127" s="532">
        <f>H127/E127</f>
        <v>1.1171646082050002</v>
      </c>
      <c r="J127" s="525">
        <f>SUM(J128,J148)</f>
        <v>0</v>
      </c>
      <c r="K127" s="445">
        <f>SUM(K128,K148)</f>
        <v>1538787</v>
      </c>
      <c r="L127" s="532">
        <f t="shared" si="5"/>
        <v>1.1171646082050002</v>
      </c>
      <c r="M127" s="2460" t="s">
        <v>256</v>
      </c>
    </row>
    <row r="128" spans="1:13" s="251" customFormat="1" ht="12" customHeight="1">
      <c r="A128" s="498"/>
      <c r="B128" s="2445"/>
      <c r="C128" s="526" t="s">
        <v>18</v>
      </c>
      <c r="D128" s="514"/>
      <c r="E128" s="447">
        <f>SUM(E129,E143:E147)</f>
        <v>1377404</v>
      </c>
      <c r="F128" s="528">
        <f>SUM(F129,F143:F147)</f>
        <v>1377404</v>
      </c>
      <c r="G128" s="528"/>
      <c r="H128" s="528">
        <f>SUM(H129,H143:H147)</f>
        <v>1538787</v>
      </c>
      <c r="I128" s="533">
        <f>H128/E128</f>
        <v>1.1171646082050002</v>
      </c>
      <c r="J128" s="513">
        <f>SUM(J129,J143:J147)</f>
        <v>0</v>
      </c>
      <c r="K128" s="406">
        <f>SUM(K129,K143:K147)</f>
        <v>1538787</v>
      </c>
      <c r="L128" s="504">
        <f t="shared" si="5"/>
        <v>1.1171646082050002</v>
      </c>
      <c r="M128" s="2451"/>
    </row>
    <row r="129" spans="1:13" s="251" customFormat="1" ht="13.5" customHeight="1">
      <c r="A129" s="498"/>
      <c r="B129" s="2445"/>
      <c r="C129" s="511" t="s">
        <v>19</v>
      </c>
      <c r="D129" s="514"/>
      <c r="E129" s="406">
        <f>SUM(E130,E138)</f>
        <v>1376870</v>
      </c>
      <c r="F129" s="513">
        <f>SUM(F130,F138)</f>
        <v>1376870</v>
      </c>
      <c r="G129" s="513"/>
      <c r="H129" s="513">
        <f>SUM(H130,H138)</f>
        <v>1533450</v>
      </c>
      <c r="I129" s="515">
        <f t="shared" ref="I129:I130" si="9">H129/E129</f>
        <v>1.1137217021214785</v>
      </c>
      <c r="J129" s="513">
        <f>SUM(J130,J138)</f>
        <v>0</v>
      </c>
      <c r="K129" s="406">
        <f>SUM(K130,K138)</f>
        <v>1533450</v>
      </c>
      <c r="L129" s="504">
        <f t="shared" si="5"/>
        <v>1.1137217021214785</v>
      </c>
      <c r="M129" s="2451"/>
    </row>
    <row r="130" spans="1:13" s="251" customFormat="1" ht="14.25" customHeight="1">
      <c r="A130" s="498"/>
      <c r="B130" s="2445"/>
      <c r="C130" s="2054" t="s">
        <v>20</v>
      </c>
      <c r="D130" s="514" t="s">
        <v>22</v>
      </c>
      <c r="E130" s="534">
        <f>SUM(E131:E137)</f>
        <v>1321904</v>
      </c>
      <c r="F130" s="534">
        <f>SUM(F131:F137)</f>
        <v>1321904</v>
      </c>
      <c r="G130" s="534"/>
      <c r="H130" s="534">
        <f>SUM(H131:H137)</f>
        <v>1477043</v>
      </c>
      <c r="I130" s="515">
        <f t="shared" si="9"/>
        <v>1.117360262167298</v>
      </c>
      <c r="J130" s="534">
        <f>SUM(J131:J137)</f>
        <v>0</v>
      </c>
      <c r="K130" s="535">
        <f>SUM(K131:K137)</f>
        <v>1477043</v>
      </c>
      <c r="L130" s="504">
        <f t="shared" si="5"/>
        <v>1.117360262167298</v>
      </c>
      <c r="M130" s="2451"/>
    </row>
    <row r="131" spans="1:13" s="251" customFormat="1" ht="15" hidden="1" customHeight="1">
      <c r="A131" s="498"/>
      <c r="B131" s="2445"/>
      <c r="C131" s="2453"/>
      <c r="D131" s="536">
        <v>4010</v>
      </c>
      <c r="E131" s="471">
        <v>0</v>
      </c>
      <c r="F131" s="502">
        <v>0</v>
      </c>
      <c r="G131" s="502"/>
      <c r="H131" s="502">
        <v>0</v>
      </c>
      <c r="I131" s="502"/>
      <c r="J131" s="502">
        <v>0</v>
      </c>
      <c r="K131" s="471">
        <v>0</v>
      </c>
      <c r="L131" s="504" t="e">
        <f t="shared" si="5"/>
        <v>#DIV/0!</v>
      </c>
      <c r="M131" s="2451"/>
    </row>
    <row r="132" spans="1:13" s="251" customFormat="1" ht="15" hidden="1" customHeight="1">
      <c r="A132" s="498"/>
      <c r="B132" s="2445"/>
      <c r="C132" s="2453"/>
      <c r="D132" s="536">
        <v>4040</v>
      </c>
      <c r="E132" s="471">
        <v>0</v>
      </c>
      <c r="F132" s="502">
        <v>0</v>
      </c>
      <c r="G132" s="502"/>
      <c r="H132" s="502">
        <v>0</v>
      </c>
      <c r="I132" s="502"/>
      <c r="J132" s="502">
        <v>0</v>
      </c>
      <c r="K132" s="471">
        <v>0</v>
      </c>
      <c r="L132" s="504" t="e">
        <f t="shared" si="5"/>
        <v>#DIV/0!</v>
      </c>
      <c r="M132" s="2451"/>
    </row>
    <row r="133" spans="1:13" s="251" customFormat="1" ht="12.75" customHeight="1">
      <c r="A133" s="498"/>
      <c r="B133" s="2445"/>
      <c r="C133" s="2453"/>
      <c r="D133" s="536">
        <v>4110</v>
      </c>
      <c r="E133" s="471">
        <v>204393</v>
      </c>
      <c r="F133" s="502">
        <v>204393</v>
      </c>
      <c r="G133" s="502"/>
      <c r="H133" s="502">
        <v>225661</v>
      </c>
      <c r="I133" s="503">
        <f t="shared" ref="I133:I142" si="10">H133/E133</f>
        <v>1.1040544441345839</v>
      </c>
      <c r="J133" s="502">
        <v>0</v>
      </c>
      <c r="K133" s="471">
        <f t="shared" ref="K133:K142" si="11">SUM(H133,J133)</f>
        <v>225661</v>
      </c>
      <c r="L133" s="504">
        <f t="shared" si="5"/>
        <v>1.1040544441345839</v>
      </c>
      <c r="M133" s="2451"/>
    </row>
    <row r="134" spans="1:13" s="251" customFormat="1" ht="12.75" customHeight="1">
      <c r="A134" s="498"/>
      <c r="B134" s="2445"/>
      <c r="C134" s="2453"/>
      <c r="D134" s="536">
        <v>4120</v>
      </c>
      <c r="E134" s="471">
        <v>34183</v>
      </c>
      <c r="F134" s="502">
        <v>34183</v>
      </c>
      <c r="G134" s="502"/>
      <c r="H134" s="502">
        <v>37802</v>
      </c>
      <c r="I134" s="503">
        <f t="shared" si="10"/>
        <v>1.1058713395547495</v>
      </c>
      <c r="J134" s="502">
        <v>0</v>
      </c>
      <c r="K134" s="471">
        <f t="shared" si="11"/>
        <v>37802</v>
      </c>
      <c r="L134" s="504">
        <f t="shared" si="5"/>
        <v>1.1058713395547495</v>
      </c>
      <c r="M134" s="2451"/>
    </row>
    <row r="135" spans="1:13" s="251" customFormat="1" ht="12.75" customHeight="1">
      <c r="A135" s="498"/>
      <c r="B135" s="2445"/>
      <c r="C135" s="2453"/>
      <c r="D135" s="512" t="s">
        <v>237</v>
      </c>
      <c r="E135" s="471">
        <v>5550</v>
      </c>
      <c r="F135" s="502">
        <v>5550</v>
      </c>
      <c r="G135" s="502"/>
      <c r="H135" s="502">
        <v>5550</v>
      </c>
      <c r="I135" s="503">
        <f t="shared" si="10"/>
        <v>1</v>
      </c>
      <c r="J135" s="502">
        <v>0</v>
      </c>
      <c r="K135" s="471">
        <f t="shared" si="11"/>
        <v>5550</v>
      </c>
      <c r="L135" s="504">
        <f t="shared" si="5"/>
        <v>1</v>
      </c>
      <c r="M135" s="2451"/>
    </row>
    <row r="136" spans="1:13" s="251" customFormat="1" ht="12.75" customHeight="1">
      <c r="A136" s="498"/>
      <c r="B136" s="2445"/>
      <c r="C136" s="2453"/>
      <c r="D136" s="512" t="s">
        <v>238</v>
      </c>
      <c r="E136" s="471">
        <v>1001194</v>
      </c>
      <c r="F136" s="502">
        <v>1001194</v>
      </c>
      <c r="G136" s="502"/>
      <c r="H136" s="502">
        <v>1123596</v>
      </c>
      <c r="I136" s="503">
        <f t="shared" si="10"/>
        <v>1.1222560263045924</v>
      </c>
      <c r="J136" s="502">
        <v>0</v>
      </c>
      <c r="K136" s="471">
        <f t="shared" si="11"/>
        <v>1123596</v>
      </c>
      <c r="L136" s="504">
        <f t="shared" si="5"/>
        <v>1.1222560263045924</v>
      </c>
      <c r="M136" s="2451"/>
    </row>
    <row r="137" spans="1:13" s="251" customFormat="1" ht="12.75" customHeight="1">
      <c r="A137" s="498"/>
      <c r="B137" s="2445"/>
      <c r="C137" s="2441"/>
      <c r="D137" s="512" t="s">
        <v>239</v>
      </c>
      <c r="E137" s="471">
        <v>76584</v>
      </c>
      <c r="F137" s="502">
        <v>76584</v>
      </c>
      <c r="G137" s="502"/>
      <c r="H137" s="502">
        <v>84434</v>
      </c>
      <c r="I137" s="503">
        <f t="shared" si="10"/>
        <v>1.1025018280580801</v>
      </c>
      <c r="J137" s="502">
        <v>0</v>
      </c>
      <c r="K137" s="471">
        <f t="shared" si="11"/>
        <v>84434</v>
      </c>
      <c r="L137" s="504">
        <f t="shared" si="5"/>
        <v>1.1025018280580801</v>
      </c>
      <c r="M137" s="2451"/>
    </row>
    <row r="138" spans="1:13" s="251" customFormat="1" ht="12.75" customHeight="1">
      <c r="A138" s="498"/>
      <c r="B138" s="2445"/>
      <c r="C138" s="2175" t="s">
        <v>21</v>
      </c>
      <c r="D138" s="514" t="s">
        <v>22</v>
      </c>
      <c r="E138" s="406">
        <f>SUM(E139:E142)</f>
        <v>54966</v>
      </c>
      <c r="F138" s="513">
        <f>SUM(F139:F142)</f>
        <v>54966</v>
      </c>
      <c r="G138" s="513"/>
      <c r="H138" s="513">
        <f>SUM(H139:H142)</f>
        <v>56407</v>
      </c>
      <c r="I138" s="503">
        <f t="shared" si="10"/>
        <v>1.0262162063821272</v>
      </c>
      <c r="J138" s="513">
        <f>SUM(J139:J142)</f>
        <v>0</v>
      </c>
      <c r="K138" s="406">
        <f>SUM(K139:K142)</f>
        <v>56407</v>
      </c>
      <c r="L138" s="504">
        <f t="shared" si="5"/>
        <v>1.0262162063821272</v>
      </c>
      <c r="M138" s="2451"/>
    </row>
    <row r="139" spans="1:13" s="251" customFormat="1" ht="12.75" customHeight="1">
      <c r="A139" s="498"/>
      <c r="B139" s="2445"/>
      <c r="C139" s="2455"/>
      <c r="D139" s="536">
        <v>4210</v>
      </c>
      <c r="E139" s="471">
        <v>4192</v>
      </c>
      <c r="F139" s="502">
        <v>4192</v>
      </c>
      <c r="G139" s="502"/>
      <c r="H139" s="502">
        <v>4820</v>
      </c>
      <c r="I139" s="503">
        <f t="shared" si="10"/>
        <v>1.1498091603053435</v>
      </c>
      <c r="J139" s="502">
        <v>0</v>
      </c>
      <c r="K139" s="471">
        <f t="shared" si="11"/>
        <v>4820</v>
      </c>
      <c r="L139" s="504">
        <f t="shared" si="5"/>
        <v>1.1498091603053435</v>
      </c>
      <c r="M139" s="2451"/>
    </row>
    <row r="140" spans="1:13" s="251" customFormat="1" ht="12.75" customHeight="1">
      <c r="A140" s="498"/>
      <c r="B140" s="2445"/>
      <c r="C140" s="2455"/>
      <c r="D140" s="536">
        <v>4240</v>
      </c>
      <c r="E140" s="471">
        <v>4030</v>
      </c>
      <c r="F140" s="502">
        <v>4030</v>
      </c>
      <c r="G140" s="502"/>
      <c r="H140" s="502">
        <v>4634</v>
      </c>
      <c r="I140" s="503">
        <f t="shared" si="10"/>
        <v>1.1498759305210917</v>
      </c>
      <c r="J140" s="502">
        <v>0</v>
      </c>
      <c r="K140" s="471">
        <f t="shared" si="11"/>
        <v>4634</v>
      </c>
      <c r="L140" s="504">
        <f t="shared" si="5"/>
        <v>1.1498759305210917</v>
      </c>
      <c r="M140" s="2451"/>
    </row>
    <row r="141" spans="1:13" s="251" customFormat="1" ht="12.75" customHeight="1">
      <c r="A141" s="498"/>
      <c r="B141" s="2445"/>
      <c r="C141" s="2455"/>
      <c r="D141" s="536" t="s">
        <v>244</v>
      </c>
      <c r="E141" s="471">
        <v>1396</v>
      </c>
      <c r="F141" s="502">
        <v>1396</v>
      </c>
      <c r="G141" s="502"/>
      <c r="H141" s="502">
        <v>1605</v>
      </c>
      <c r="I141" s="503">
        <f t="shared" si="10"/>
        <v>1.1497134670487106</v>
      </c>
      <c r="J141" s="502">
        <v>0</v>
      </c>
      <c r="K141" s="471">
        <f t="shared" si="11"/>
        <v>1605</v>
      </c>
      <c r="L141" s="504">
        <f t="shared" si="5"/>
        <v>1.1497134670487106</v>
      </c>
      <c r="M141" s="2451"/>
    </row>
    <row r="142" spans="1:13" s="251" customFormat="1" ht="12.75" customHeight="1">
      <c r="A142" s="498"/>
      <c r="B142" s="2445"/>
      <c r="C142" s="2456"/>
      <c r="D142" s="536">
        <v>4440</v>
      </c>
      <c r="E142" s="471">
        <v>45348</v>
      </c>
      <c r="F142" s="502">
        <v>45348</v>
      </c>
      <c r="G142" s="502"/>
      <c r="H142" s="502">
        <v>45348</v>
      </c>
      <c r="I142" s="503">
        <f t="shared" si="10"/>
        <v>1</v>
      </c>
      <c r="J142" s="502">
        <v>0</v>
      </c>
      <c r="K142" s="471">
        <f t="shared" si="11"/>
        <v>45348</v>
      </c>
      <c r="L142" s="504">
        <f t="shared" si="5"/>
        <v>1</v>
      </c>
      <c r="M142" s="2451"/>
    </row>
    <row r="143" spans="1:13" s="251" customFormat="1" ht="12.75" customHeight="1">
      <c r="A143" s="498"/>
      <c r="B143" s="2445"/>
      <c r="C143" s="511" t="s">
        <v>23</v>
      </c>
      <c r="D143" s="514"/>
      <c r="E143" s="406"/>
      <c r="F143" s="513"/>
      <c r="G143" s="513"/>
      <c r="H143" s="513"/>
      <c r="I143" s="513"/>
      <c r="J143" s="513"/>
      <c r="K143" s="406"/>
      <c r="L143" s="504"/>
      <c r="M143" s="2451"/>
    </row>
    <row r="144" spans="1:13" s="251" customFormat="1" ht="12.75" customHeight="1">
      <c r="A144" s="498"/>
      <c r="B144" s="2445"/>
      <c r="C144" s="511" t="s">
        <v>24</v>
      </c>
      <c r="D144" s="514" t="s">
        <v>257</v>
      </c>
      <c r="E144" s="406">
        <v>534</v>
      </c>
      <c r="F144" s="513">
        <v>534</v>
      </c>
      <c r="G144" s="513"/>
      <c r="H144" s="513">
        <v>5337</v>
      </c>
      <c r="I144" s="515">
        <f t="shared" ref="I144" si="12">H144/E144</f>
        <v>9.9943820224719104</v>
      </c>
      <c r="J144" s="513">
        <v>0</v>
      </c>
      <c r="K144" s="406">
        <f t="shared" ref="K144" si="13">SUM(H144,J144)</f>
        <v>5337</v>
      </c>
      <c r="L144" s="504">
        <f t="shared" si="5"/>
        <v>9.9943820224719104</v>
      </c>
      <c r="M144" s="2451"/>
    </row>
    <row r="145" spans="1:13" s="251" customFormat="1" ht="22.5" customHeight="1">
      <c r="A145" s="498"/>
      <c r="B145" s="2445"/>
      <c r="C145" s="516" t="s">
        <v>54</v>
      </c>
      <c r="D145" s="514"/>
      <c r="E145" s="406"/>
      <c r="F145" s="513"/>
      <c r="G145" s="513"/>
      <c r="H145" s="513"/>
      <c r="I145" s="513"/>
      <c r="J145" s="513"/>
      <c r="K145" s="406"/>
      <c r="L145" s="504"/>
      <c r="M145" s="2451"/>
    </row>
    <row r="146" spans="1:13" s="251" customFormat="1" ht="12.75" customHeight="1">
      <c r="A146" s="498"/>
      <c r="B146" s="2445"/>
      <c r="C146" s="511" t="s">
        <v>26</v>
      </c>
      <c r="D146" s="514"/>
      <c r="E146" s="406"/>
      <c r="F146" s="513"/>
      <c r="G146" s="513"/>
      <c r="H146" s="513"/>
      <c r="I146" s="513"/>
      <c r="J146" s="513"/>
      <c r="K146" s="406"/>
      <c r="L146" s="504"/>
      <c r="M146" s="2451"/>
    </row>
    <row r="147" spans="1:13" s="251" customFormat="1" ht="12.75" customHeight="1">
      <c r="A147" s="498"/>
      <c r="B147" s="2445"/>
      <c r="C147" s="511" t="s">
        <v>27</v>
      </c>
      <c r="D147" s="514"/>
      <c r="E147" s="406"/>
      <c r="F147" s="513"/>
      <c r="G147" s="513"/>
      <c r="H147" s="513"/>
      <c r="I147" s="513"/>
      <c r="J147" s="513"/>
      <c r="K147" s="406"/>
      <c r="L147" s="504"/>
      <c r="M147" s="2451"/>
    </row>
    <row r="148" spans="1:13" s="251" customFormat="1" ht="12.75" customHeight="1">
      <c r="A148" s="498"/>
      <c r="B148" s="537"/>
      <c r="C148" s="529" t="s">
        <v>28</v>
      </c>
      <c r="D148" s="527"/>
      <c r="E148" s="447">
        <v>0</v>
      </c>
      <c r="F148" s="528">
        <v>0</v>
      </c>
      <c r="G148" s="528"/>
      <c r="H148" s="528">
        <v>0</v>
      </c>
      <c r="I148" s="528"/>
      <c r="J148" s="528">
        <v>0</v>
      </c>
      <c r="K148" s="447">
        <v>0</v>
      </c>
      <c r="L148" s="504"/>
      <c r="M148" s="538"/>
    </row>
    <row r="149" spans="1:13" s="251" customFormat="1" ht="12.75" customHeight="1">
      <c r="A149" s="498"/>
      <c r="B149" s="537"/>
      <c r="C149" s="511" t="s">
        <v>29</v>
      </c>
      <c r="D149" s="514"/>
      <c r="E149" s="406"/>
      <c r="F149" s="513"/>
      <c r="G149" s="513"/>
      <c r="H149" s="513"/>
      <c r="I149" s="513"/>
      <c r="J149" s="513"/>
      <c r="K149" s="406"/>
      <c r="L149" s="504"/>
      <c r="M149" s="538"/>
    </row>
    <row r="150" spans="1:13" s="251" customFormat="1" ht="23.25" customHeight="1">
      <c r="A150" s="507"/>
      <c r="B150" s="478"/>
      <c r="C150" s="516" t="s">
        <v>89</v>
      </c>
      <c r="D150" s="514"/>
      <c r="E150" s="406"/>
      <c r="F150" s="513"/>
      <c r="G150" s="513"/>
      <c r="H150" s="513"/>
      <c r="I150" s="513"/>
      <c r="J150" s="513"/>
      <c r="K150" s="406"/>
      <c r="L150" s="504"/>
      <c r="M150" s="539"/>
    </row>
    <row r="151" spans="1:13" s="251" customFormat="1" ht="12.75" customHeight="1">
      <c r="A151" s="498"/>
      <c r="B151" s="537"/>
      <c r="C151" s="481" t="s">
        <v>31</v>
      </c>
      <c r="D151" s="482"/>
      <c r="E151" s="483"/>
      <c r="F151" s="267"/>
      <c r="G151" s="267"/>
      <c r="H151" s="267"/>
      <c r="I151" s="267"/>
      <c r="J151" s="267"/>
      <c r="K151" s="483"/>
      <c r="L151" s="484"/>
      <c r="M151" s="538"/>
    </row>
    <row r="152" spans="1:13" s="251" customFormat="1" ht="12.75" customHeight="1">
      <c r="A152" s="498"/>
      <c r="B152" s="478"/>
      <c r="C152" s="511" t="s">
        <v>32</v>
      </c>
      <c r="D152" s="514"/>
      <c r="E152" s="483"/>
      <c r="F152" s="513"/>
      <c r="G152" s="513"/>
      <c r="H152" s="513"/>
      <c r="I152" s="513"/>
      <c r="J152" s="513"/>
      <c r="K152" s="406"/>
      <c r="L152" s="504"/>
      <c r="M152" s="539"/>
    </row>
    <row r="153" spans="1:13" s="251" customFormat="1" ht="20.25" customHeight="1">
      <c r="A153" s="498"/>
      <c r="B153" s="1959" t="s">
        <v>258</v>
      </c>
      <c r="C153" s="530" t="s">
        <v>259</v>
      </c>
      <c r="D153" s="531"/>
      <c r="E153" s="445">
        <f>SUM(E154,E200)</f>
        <v>17894480</v>
      </c>
      <c r="F153" s="525">
        <f>SUM(F154,F200)</f>
        <v>18318988</v>
      </c>
      <c r="G153" s="525"/>
      <c r="H153" s="525">
        <f>SUM(H154,H200)</f>
        <v>17743865</v>
      </c>
      <c r="I153" s="532">
        <f>H153/E153</f>
        <v>0.9915831586053353</v>
      </c>
      <c r="J153" s="525">
        <f>SUM(J154,J200)</f>
        <v>0</v>
      </c>
      <c r="K153" s="445">
        <f>SUM(K154,K200)</f>
        <v>17743865</v>
      </c>
      <c r="L153" s="532">
        <f t="shared" ref="L153:L216" si="14">K153/E153</f>
        <v>0.9915831586053353</v>
      </c>
      <c r="M153" s="2438" t="s">
        <v>260</v>
      </c>
    </row>
    <row r="154" spans="1:13" s="251" customFormat="1" ht="12" customHeight="1">
      <c r="A154" s="498"/>
      <c r="B154" s="2445"/>
      <c r="C154" s="526" t="s">
        <v>18</v>
      </c>
      <c r="D154" s="527"/>
      <c r="E154" s="447">
        <f>SUM(E155,E183,E184,E198:E199)</f>
        <v>17894480</v>
      </c>
      <c r="F154" s="528">
        <f>SUM(F155,F183,F184,F198:F199,F187)</f>
        <v>18318988</v>
      </c>
      <c r="G154" s="528"/>
      <c r="H154" s="528">
        <f>SUM(H155,H183,H184,H198:H199,H187)</f>
        <v>17715565</v>
      </c>
      <c r="I154" s="533">
        <f>H154/E154</f>
        <v>0.99000166531801981</v>
      </c>
      <c r="J154" s="528">
        <f>SUM(J155,J183,J184,J198:J199,J187)</f>
        <v>0</v>
      </c>
      <c r="K154" s="447">
        <f>SUM(K155,K183,K184,K198:K199,K187)</f>
        <v>17715565</v>
      </c>
      <c r="L154" s="504">
        <f t="shared" si="14"/>
        <v>0.99000166531801981</v>
      </c>
      <c r="M154" s="2451"/>
    </row>
    <row r="155" spans="1:13" s="251" customFormat="1" ht="13.5" customHeight="1">
      <c r="A155" s="498"/>
      <c r="B155" s="2445"/>
      <c r="C155" s="511" t="s">
        <v>19</v>
      </c>
      <c r="D155" s="514"/>
      <c r="E155" s="406">
        <f>SUM(E156,E165)</f>
        <v>17848900</v>
      </c>
      <c r="F155" s="513">
        <f>SUM(F156,F165)</f>
        <v>17998900</v>
      </c>
      <c r="G155" s="513"/>
      <c r="H155" s="513">
        <f>SUM(H156,H165)</f>
        <v>17668735</v>
      </c>
      <c r="I155" s="515">
        <f t="shared" ref="I155:I185" si="15">H155/E155</f>
        <v>0.98990610065606288</v>
      </c>
      <c r="J155" s="513">
        <f>SUM(J156,J165)</f>
        <v>0</v>
      </c>
      <c r="K155" s="406">
        <f>SUM(K156,K165)</f>
        <v>17668735</v>
      </c>
      <c r="L155" s="504">
        <f t="shared" si="14"/>
        <v>0.98990610065606288</v>
      </c>
      <c r="M155" s="2451"/>
    </row>
    <row r="156" spans="1:13" s="251" customFormat="1" ht="14.25" customHeight="1">
      <c r="A156" s="498"/>
      <c r="B156" s="2445"/>
      <c r="C156" s="2054" t="s">
        <v>20</v>
      </c>
      <c r="D156" s="514" t="s">
        <v>22</v>
      </c>
      <c r="E156" s="406">
        <f>SUM(E157:E164)</f>
        <v>14424114</v>
      </c>
      <c r="F156" s="513">
        <f>SUM(F157:F164)</f>
        <v>14503214</v>
      </c>
      <c r="G156" s="513"/>
      <c r="H156" s="513">
        <f>SUM(H157:H164)</f>
        <v>15125838</v>
      </c>
      <c r="I156" s="515">
        <f t="shared" si="15"/>
        <v>1.0486493659159932</v>
      </c>
      <c r="J156" s="513">
        <f>SUM(J157:J164)</f>
        <v>0</v>
      </c>
      <c r="K156" s="406">
        <f>SUM(K157:K164)</f>
        <v>15125838</v>
      </c>
      <c r="L156" s="504">
        <f t="shared" si="14"/>
        <v>1.0486493659159932</v>
      </c>
      <c r="M156" s="2451"/>
    </row>
    <row r="157" spans="1:13" s="251" customFormat="1" ht="11.25" customHeight="1">
      <c r="A157" s="498"/>
      <c r="B157" s="2445"/>
      <c r="C157" s="2453"/>
      <c r="D157" s="536">
        <v>4010</v>
      </c>
      <c r="E157" s="471">
        <v>2810850</v>
      </c>
      <c r="F157" s="502">
        <v>2847558</v>
      </c>
      <c r="G157" s="502"/>
      <c r="H157" s="502">
        <v>3445280</v>
      </c>
      <c r="I157" s="503">
        <f t="shared" si="15"/>
        <v>1.2257075261931445</v>
      </c>
      <c r="J157" s="502">
        <v>0</v>
      </c>
      <c r="K157" s="471">
        <f t="shared" ref="K157:K182" si="16">SUM(H157,J157)</f>
        <v>3445280</v>
      </c>
      <c r="L157" s="504">
        <f t="shared" si="14"/>
        <v>1.2257075261931445</v>
      </c>
      <c r="M157" s="2451"/>
    </row>
    <row r="158" spans="1:13" s="251" customFormat="1" ht="12.75" customHeight="1">
      <c r="A158" s="498"/>
      <c r="B158" s="2445"/>
      <c r="C158" s="2453"/>
      <c r="D158" s="536">
        <v>4040</v>
      </c>
      <c r="E158" s="471">
        <v>190582</v>
      </c>
      <c r="F158" s="502">
        <v>198959</v>
      </c>
      <c r="G158" s="502"/>
      <c r="H158" s="502">
        <v>224262</v>
      </c>
      <c r="I158" s="503">
        <f t="shared" si="15"/>
        <v>1.1767218310228669</v>
      </c>
      <c r="J158" s="502">
        <v>0</v>
      </c>
      <c r="K158" s="471">
        <f t="shared" si="16"/>
        <v>224262</v>
      </c>
      <c r="L158" s="504">
        <f t="shared" si="14"/>
        <v>1.1767218310228669</v>
      </c>
      <c r="M158" s="2451"/>
    </row>
    <row r="159" spans="1:13" s="251" customFormat="1" ht="12.75" customHeight="1">
      <c r="A159" s="498"/>
      <c r="B159" s="2445"/>
      <c r="C159" s="2453"/>
      <c r="D159" s="536">
        <v>4110</v>
      </c>
      <c r="E159" s="471">
        <v>1991630</v>
      </c>
      <c r="F159" s="502">
        <v>1991630</v>
      </c>
      <c r="G159" s="502"/>
      <c r="H159" s="502">
        <v>2111100</v>
      </c>
      <c r="I159" s="503">
        <f t="shared" si="15"/>
        <v>1.0599860415840292</v>
      </c>
      <c r="J159" s="502">
        <v>0</v>
      </c>
      <c r="K159" s="471">
        <f t="shared" si="16"/>
        <v>2111100</v>
      </c>
      <c r="L159" s="504">
        <f t="shared" si="14"/>
        <v>1.0599860415840292</v>
      </c>
      <c r="M159" s="2451"/>
    </row>
    <row r="160" spans="1:13" s="251" customFormat="1" ht="12.75" customHeight="1">
      <c r="A160" s="498"/>
      <c r="B160" s="2445"/>
      <c r="C160" s="2453"/>
      <c r="D160" s="536">
        <v>4120</v>
      </c>
      <c r="E160" s="471">
        <v>255298</v>
      </c>
      <c r="F160" s="502">
        <v>253056</v>
      </c>
      <c r="G160" s="502"/>
      <c r="H160" s="502">
        <v>281443</v>
      </c>
      <c r="I160" s="503">
        <f t="shared" si="15"/>
        <v>1.1024097329395453</v>
      </c>
      <c r="J160" s="502">
        <v>0</v>
      </c>
      <c r="K160" s="471">
        <f t="shared" si="16"/>
        <v>281443</v>
      </c>
      <c r="L160" s="504">
        <f t="shared" si="14"/>
        <v>1.1024097329395453</v>
      </c>
      <c r="M160" s="2451"/>
    </row>
    <row r="161" spans="1:13" s="251" customFormat="1" ht="12.75" customHeight="1">
      <c r="A161" s="498"/>
      <c r="B161" s="2445"/>
      <c r="C161" s="2453"/>
      <c r="D161" s="536">
        <v>4170</v>
      </c>
      <c r="E161" s="471">
        <v>34960</v>
      </c>
      <c r="F161" s="502">
        <v>34960</v>
      </c>
      <c r="G161" s="502"/>
      <c r="H161" s="502">
        <v>39500</v>
      </c>
      <c r="I161" s="503">
        <f t="shared" si="15"/>
        <v>1.1298627002288331</v>
      </c>
      <c r="J161" s="502">
        <v>0</v>
      </c>
      <c r="K161" s="471">
        <f t="shared" si="16"/>
        <v>39500</v>
      </c>
      <c r="L161" s="504">
        <f t="shared" si="14"/>
        <v>1.1298627002288331</v>
      </c>
      <c r="M161" s="2451"/>
    </row>
    <row r="162" spans="1:13" s="251" customFormat="1" ht="12.75" customHeight="1">
      <c r="A162" s="498"/>
      <c r="B162" s="2445"/>
      <c r="C162" s="2453"/>
      <c r="D162" s="540">
        <v>4710</v>
      </c>
      <c r="E162" s="471">
        <v>17518</v>
      </c>
      <c r="F162" s="502">
        <v>17518</v>
      </c>
      <c r="G162" s="502"/>
      <c r="H162" s="502">
        <v>16573</v>
      </c>
      <c r="I162" s="503">
        <f t="shared" si="15"/>
        <v>0.94605548578604859</v>
      </c>
      <c r="J162" s="502">
        <v>0</v>
      </c>
      <c r="K162" s="471">
        <f t="shared" si="16"/>
        <v>16573</v>
      </c>
      <c r="L162" s="504">
        <f t="shared" si="14"/>
        <v>0.94605548578604859</v>
      </c>
      <c r="M162" s="2451"/>
    </row>
    <row r="163" spans="1:13" s="251" customFormat="1" ht="12.75" customHeight="1">
      <c r="A163" s="498"/>
      <c r="B163" s="2445"/>
      <c r="C163" s="2453"/>
      <c r="D163" s="540">
        <v>4790</v>
      </c>
      <c r="E163" s="471">
        <v>8462648</v>
      </c>
      <c r="F163" s="502">
        <v>8505040</v>
      </c>
      <c r="G163" s="502"/>
      <c r="H163" s="502">
        <v>8382587</v>
      </c>
      <c r="I163" s="503">
        <f t="shared" si="15"/>
        <v>0.99053948598594677</v>
      </c>
      <c r="J163" s="502">
        <v>0</v>
      </c>
      <c r="K163" s="471">
        <f t="shared" si="16"/>
        <v>8382587</v>
      </c>
      <c r="L163" s="504">
        <f t="shared" si="14"/>
        <v>0.99053948598594677</v>
      </c>
      <c r="M163" s="2451"/>
    </row>
    <row r="164" spans="1:13" s="251" customFormat="1" ht="12.75" customHeight="1">
      <c r="A164" s="498"/>
      <c r="B164" s="2445"/>
      <c r="C164" s="2441"/>
      <c r="D164" s="540">
        <v>4800</v>
      </c>
      <c r="E164" s="471">
        <v>660628</v>
      </c>
      <c r="F164" s="502">
        <v>654493</v>
      </c>
      <c r="G164" s="502"/>
      <c r="H164" s="502">
        <v>625093</v>
      </c>
      <c r="I164" s="503">
        <f t="shared" si="15"/>
        <v>0.94621027264966062</v>
      </c>
      <c r="J164" s="502">
        <v>0</v>
      </c>
      <c r="K164" s="471">
        <f t="shared" si="16"/>
        <v>625093</v>
      </c>
      <c r="L164" s="504">
        <f t="shared" si="14"/>
        <v>0.94621027264966062</v>
      </c>
      <c r="M164" s="2451"/>
    </row>
    <row r="165" spans="1:13" s="251" customFormat="1" ht="12.75" customHeight="1">
      <c r="A165" s="498"/>
      <c r="B165" s="2445"/>
      <c r="C165" s="2442" t="s">
        <v>21</v>
      </c>
      <c r="D165" s="514" t="s">
        <v>22</v>
      </c>
      <c r="E165" s="406">
        <f>SUM(E166:E182)</f>
        <v>3424786</v>
      </c>
      <c r="F165" s="513">
        <f>SUM(F166:F182)</f>
        <v>3495686</v>
      </c>
      <c r="G165" s="513"/>
      <c r="H165" s="513">
        <f>SUM(H166:H182)</f>
        <v>2542897</v>
      </c>
      <c r="I165" s="515">
        <f t="shared" si="15"/>
        <v>0.74249807141234514</v>
      </c>
      <c r="J165" s="513">
        <f>SUM(J166:J182)</f>
        <v>0</v>
      </c>
      <c r="K165" s="406">
        <f>SUM(K166:K182)</f>
        <v>2542897</v>
      </c>
      <c r="L165" s="504">
        <f t="shared" si="14"/>
        <v>0.74249807141234514</v>
      </c>
      <c r="M165" s="2451"/>
    </row>
    <row r="166" spans="1:13" s="251" customFormat="1" ht="11.25" customHeight="1">
      <c r="A166" s="498"/>
      <c r="B166" s="2445"/>
      <c r="C166" s="2443"/>
      <c r="D166" s="541" t="s">
        <v>240</v>
      </c>
      <c r="E166" s="471">
        <v>18100</v>
      </c>
      <c r="F166" s="502">
        <v>18100</v>
      </c>
      <c r="G166" s="502"/>
      <c r="H166" s="502">
        <v>19600</v>
      </c>
      <c r="I166" s="503">
        <f t="shared" si="15"/>
        <v>1.0828729281767955</v>
      </c>
      <c r="J166" s="502">
        <v>0</v>
      </c>
      <c r="K166" s="471">
        <f t="shared" si="16"/>
        <v>19600</v>
      </c>
      <c r="L166" s="504">
        <f t="shared" si="14"/>
        <v>1.0828729281767955</v>
      </c>
      <c r="M166" s="2451"/>
    </row>
    <row r="167" spans="1:13" s="251" customFormat="1" ht="12.75" customHeight="1">
      <c r="A167" s="498"/>
      <c r="B167" s="2445"/>
      <c r="C167" s="2443"/>
      <c r="D167" s="541" t="s">
        <v>232</v>
      </c>
      <c r="E167" s="471">
        <v>137773</v>
      </c>
      <c r="F167" s="502">
        <v>137773</v>
      </c>
      <c r="G167" s="502"/>
      <c r="H167" s="502">
        <v>169949</v>
      </c>
      <c r="I167" s="503">
        <f t="shared" si="15"/>
        <v>1.2335435825597179</v>
      </c>
      <c r="J167" s="502">
        <v>0</v>
      </c>
      <c r="K167" s="471">
        <f t="shared" si="16"/>
        <v>169949</v>
      </c>
      <c r="L167" s="504">
        <f t="shared" si="14"/>
        <v>1.2335435825597179</v>
      </c>
      <c r="M167" s="2451"/>
    </row>
    <row r="168" spans="1:13" s="251" customFormat="1" ht="12.75" customHeight="1">
      <c r="A168" s="498"/>
      <c r="B168" s="2445"/>
      <c r="C168" s="2443"/>
      <c r="D168" s="541" t="s">
        <v>241</v>
      </c>
      <c r="E168" s="471">
        <v>609344</v>
      </c>
      <c r="F168" s="502">
        <v>609344</v>
      </c>
      <c r="G168" s="502"/>
      <c r="H168" s="502">
        <v>233604</v>
      </c>
      <c r="I168" s="503">
        <f t="shared" si="15"/>
        <v>0.38336965654868188</v>
      </c>
      <c r="J168" s="502">
        <v>0</v>
      </c>
      <c r="K168" s="471">
        <f t="shared" si="16"/>
        <v>233604</v>
      </c>
      <c r="L168" s="504">
        <f t="shared" si="14"/>
        <v>0.38336965654868188</v>
      </c>
      <c r="M168" s="2451"/>
    </row>
    <row r="169" spans="1:13" s="251" customFormat="1">
      <c r="A169" s="498"/>
      <c r="B169" s="2445"/>
      <c r="C169" s="2443"/>
      <c r="D169" s="541" t="s">
        <v>242</v>
      </c>
      <c r="E169" s="471">
        <v>521637</v>
      </c>
      <c r="F169" s="502">
        <v>591637</v>
      </c>
      <c r="G169" s="502"/>
      <c r="H169" s="502">
        <v>786790</v>
      </c>
      <c r="I169" s="503">
        <f t="shared" si="15"/>
        <v>1.5083094182352863</v>
      </c>
      <c r="J169" s="502">
        <v>0</v>
      </c>
      <c r="K169" s="471">
        <f t="shared" si="16"/>
        <v>786790</v>
      </c>
      <c r="L169" s="504">
        <f t="shared" si="14"/>
        <v>1.5083094182352863</v>
      </c>
      <c r="M169" s="2451"/>
    </row>
    <row r="170" spans="1:13" s="251" customFormat="1" ht="12.75" customHeight="1">
      <c r="A170" s="498"/>
      <c r="B170" s="2445"/>
      <c r="C170" s="2443"/>
      <c r="D170" s="541" t="s">
        <v>243</v>
      </c>
      <c r="E170" s="471">
        <v>947815</v>
      </c>
      <c r="F170" s="502">
        <v>947815</v>
      </c>
      <c r="G170" s="502"/>
      <c r="H170" s="502">
        <v>226200</v>
      </c>
      <c r="I170" s="503">
        <f t="shared" si="15"/>
        <v>0.23865416774370526</v>
      </c>
      <c r="J170" s="502">
        <v>0</v>
      </c>
      <c r="K170" s="471">
        <f t="shared" si="16"/>
        <v>226200</v>
      </c>
      <c r="L170" s="504">
        <f t="shared" si="14"/>
        <v>0.23865416774370526</v>
      </c>
      <c r="M170" s="2451"/>
    </row>
    <row r="171" spans="1:13" s="251" customFormat="1" ht="12.75" customHeight="1">
      <c r="A171" s="498"/>
      <c r="B171" s="2445"/>
      <c r="C171" s="2443"/>
      <c r="D171" s="541" t="s">
        <v>244</v>
      </c>
      <c r="E171" s="471">
        <v>13388</v>
      </c>
      <c r="F171" s="502">
        <v>13388</v>
      </c>
      <c r="G171" s="502"/>
      <c r="H171" s="502">
        <v>14550</v>
      </c>
      <c r="I171" s="503">
        <f t="shared" si="15"/>
        <v>1.0867941440095608</v>
      </c>
      <c r="J171" s="502">
        <v>0</v>
      </c>
      <c r="K171" s="471">
        <f t="shared" si="16"/>
        <v>14550</v>
      </c>
      <c r="L171" s="504">
        <f t="shared" si="14"/>
        <v>1.0867941440095608</v>
      </c>
      <c r="M171" s="2451"/>
    </row>
    <row r="172" spans="1:13" s="251" customFormat="1" ht="12.75" customHeight="1">
      <c r="A172" s="498"/>
      <c r="B172" s="2445"/>
      <c r="C172" s="2443"/>
      <c r="D172" s="541" t="s">
        <v>222</v>
      </c>
      <c r="E172" s="471">
        <v>431982</v>
      </c>
      <c r="F172" s="502">
        <v>431982</v>
      </c>
      <c r="G172" s="502"/>
      <c r="H172" s="502">
        <v>496491</v>
      </c>
      <c r="I172" s="503">
        <f t="shared" si="15"/>
        <v>1.1493326110810174</v>
      </c>
      <c r="J172" s="502">
        <v>0</v>
      </c>
      <c r="K172" s="471">
        <f t="shared" si="16"/>
        <v>496491</v>
      </c>
      <c r="L172" s="504">
        <f t="shared" si="14"/>
        <v>1.1493326110810174</v>
      </c>
      <c r="M172" s="2451"/>
    </row>
    <row r="173" spans="1:13" s="251" customFormat="1" ht="12.75" customHeight="1">
      <c r="A173" s="498"/>
      <c r="B173" s="2445"/>
      <c r="C173" s="2443"/>
      <c r="D173" s="541" t="s">
        <v>261</v>
      </c>
      <c r="E173" s="471">
        <v>194000</v>
      </c>
      <c r="F173" s="502">
        <v>194000</v>
      </c>
      <c r="G173" s="502"/>
      <c r="H173" s="502">
        <v>13530</v>
      </c>
      <c r="I173" s="503">
        <f t="shared" si="15"/>
        <v>6.9742268041237107E-2</v>
      </c>
      <c r="J173" s="502">
        <v>0</v>
      </c>
      <c r="K173" s="471">
        <f t="shared" si="16"/>
        <v>13530</v>
      </c>
      <c r="L173" s="504">
        <f t="shared" si="14"/>
        <v>6.9742268041237107E-2</v>
      </c>
      <c r="M173" s="2451"/>
    </row>
    <row r="174" spans="1:13" s="251" customFormat="1" ht="12.75" customHeight="1">
      <c r="A174" s="498"/>
      <c r="B174" s="2445"/>
      <c r="C174" s="2443"/>
      <c r="D174" s="542" t="s">
        <v>245</v>
      </c>
      <c r="E174" s="471">
        <v>21570</v>
      </c>
      <c r="F174" s="502">
        <v>21570</v>
      </c>
      <c r="G174" s="502"/>
      <c r="H174" s="502">
        <v>23250</v>
      </c>
      <c r="I174" s="503">
        <f t="shared" si="15"/>
        <v>1.0778859527121001</v>
      </c>
      <c r="J174" s="502">
        <v>0</v>
      </c>
      <c r="K174" s="471">
        <f t="shared" si="16"/>
        <v>23250</v>
      </c>
      <c r="L174" s="504">
        <f t="shared" si="14"/>
        <v>1.0778859527121001</v>
      </c>
      <c r="M174" s="2452"/>
    </row>
    <row r="175" spans="1:13" s="251" customFormat="1" ht="12.75" customHeight="1">
      <c r="A175" s="498"/>
      <c r="B175" s="2445"/>
      <c r="C175" s="543"/>
      <c r="D175" s="544" t="s">
        <v>262</v>
      </c>
      <c r="E175" s="545">
        <v>1080</v>
      </c>
      <c r="F175" s="546">
        <v>1080</v>
      </c>
      <c r="G175" s="546"/>
      <c r="H175" s="546">
        <v>1080</v>
      </c>
      <c r="I175" s="547">
        <f t="shared" si="15"/>
        <v>1</v>
      </c>
      <c r="J175" s="546">
        <v>0</v>
      </c>
      <c r="K175" s="545">
        <f t="shared" si="16"/>
        <v>1080</v>
      </c>
      <c r="L175" s="484">
        <f t="shared" si="14"/>
        <v>1</v>
      </c>
      <c r="M175" s="2438" t="s">
        <v>263</v>
      </c>
    </row>
    <row r="176" spans="1:13" s="251" customFormat="1" ht="12.75" customHeight="1">
      <c r="A176" s="498"/>
      <c r="B176" s="2445"/>
      <c r="C176" s="548"/>
      <c r="D176" s="541" t="s">
        <v>246</v>
      </c>
      <c r="E176" s="471">
        <v>2400</v>
      </c>
      <c r="F176" s="502">
        <v>2400</v>
      </c>
      <c r="G176" s="502"/>
      <c r="H176" s="502">
        <v>2400</v>
      </c>
      <c r="I176" s="503">
        <f t="shared" si="15"/>
        <v>1</v>
      </c>
      <c r="J176" s="502">
        <v>0</v>
      </c>
      <c r="K176" s="471">
        <f t="shared" si="16"/>
        <v>2400</v>
      </c>
      <c r="L176" s="504">
        <f t="shared" si="14"/>
        <v>1</v>
      </c>
      <c r="M176" s="2439"/>
    </row>
    <row r="177" spans="1:13" s="251" customFormat="1" ht="12.75" customHeight="1">
      <c r="A177" s="498"/>
      <c r="B177" s="2445"/>
      <c r="C177" s="548"/>
      <c r="D177" s="541" t="s">
        <v>247</v>
      </c>
      <c r="E177" s="471">
        <v>15040</v>
      </c>
      <c r="F177" s="502">
        <v>15040</v>
      </c>
      <c r="G177" s="502"/>
      <c r="H177" s="502">
        <v>16360</v>
      </c>
      <c r="I177" s="503">
        <f t="shared" si="15"/>
        <v>1.0877659574468086</v>
      </c>
      <c r="J177" s="502">
        <v>0</v>
      </c>
      <c r="K177" s="471">
        <f t="shared" si="16"/>
        <v>16360</v>
      </c>
      <c r="L177" s="504">
        <f t="shared" si="14"/>
        <v>1.0877659574468086</v>
      </c>
      <c r="M177" s="2439"/>
    </row>
    <row r="178" spans="1:13" s="251" customFormat="1" ht="12.75" customHeight="1">
      <c r="A178" s="498"/>
      <c r="B178" s="2445"/>
      <c r="C178" s="548"/>
      <c r="D178" s="541" t="s">
        <v>248</v>
      </c>
      <c r="E178" s="471">
        <v>22200</v>
      </c>
      <c r="F178" s="502">
        <v>22200</v>
      </c>
      <c r="G178" s="502"/>
      <c r="H178" s="502">
        <v>25650</v>
      </c>
      <c r="I178" s="503">
        <f t="shared" si="15"/>
        <v>1.1554054054054055</v>
      </c>
      <c r="J178" s="502">
        <v>0</v>
      </c>
      <c r="K178" s="471">
        <f t="shared" si="16"/>
        <v>25650</v>
      </c>
      <c r="L178" s="504">
        <f t="shared" si="14"/>
        <v>1.1554054054054055</v>
      </c>
      <c r="M178" s="2439"/>
    </row>
    <row r="179" spans="1:13" s="251" customFormat="1" ht="12.75" customHeight="1">
      <c r="A179" s="498"/>
      <c r="B179" s="2445"/>
      <c r="C179" s="548"/>
      <c r="D179" s="541" t="s">
        <v>249</v>
      </c>
      <c r="E179" s="471">
        <v>465497</v>
      </c>
      <c r="F179" s="502">
        <v>465497</v>
      </c>
      <c r="G179" s="502"/>
      <c r="H179" s="502">
        <v>486849</v>
      </c>
      <c r="I179" s="503">
        <f t="shared" si="15"/>
        <v>1.0458692537223655</v>
      </c>
      <c r="J179" s="502">
        <v>0</v>
      </c>
      <c r="K179" s="471">
        <f t="shared" si="16"/>
        <v>486849</v>
      </c>
      <c r="L179" s="504">
        <f t="shared" si="14"/>
        <v>1.0458692537223655</v>
      </c>
      <c r="M179" s="2439"/>
    </row>
    <row r="180" spans="1:13" s="251" customFormat="1" ht="12.75" customHeight="1">
      <c r="A180" s="498"/>
      <c r="B180" s="2445"/>
      <c r="C180" s="548"/>
      <c r="D180" s="541" t="s">
        <v>264</v>
      </c>
      <c r="E180" s="471">
        <v>13560</v>
      </c>
      <c r="F180" s="502">
        <v>13560</v>
      </c>
      <c r="G180" s="502"/>
      <c r="H180" s="502">
        <v>15544</v>
      </c>
      <c r="I180" s="503">
        <f t="shared" si="15"/>
        <v>1.1463126843657818</v>
      </c>
      <c r="J180" s="502">
        <v>0</v>
      </c>
      <c r="K180" s="471">
        <f t="shared" si="16"/>
        <v>15544</v>
      </c>
      <c r="L180" s="504">
        <f t="shared" si="14"/>
        <v>1.1463126843657818</v>
      </c>
      <c r="M180" s="2439"/>
    </row>
    <row r="181" spans="1:13" s="251" customFormat="1" ht="12.75" hidden="1" customHeight="1">
      <c r="A181" s="498"/>
      <c r="B181" s="2445"/>
      <c r="C181" s="548"/>
      <c r="D181" s="541" t="s">
        <v>223</v>
      </c>
      <c r="E181" s="471">
        <v>0</v>
      </c>
      <c r="F181" s="502">
        <v>0</v>
      </c>
      <c r="G181" s="502"/>
      <c r="H181" s="502"/>
      <c r="I181" s="503" t="e">
        <f t="shared" si="15"/>
        <v>#DIV/0!</v>
      </c>
      <c r="J181" s="502"/>
      <c r="K181" s="471">
        <f t="shared" si="16"/>
        <v>0</v>
      </c>
      <c r="L181" s="504" t="e">
        <f t="shared" si="14"/>
        <v>#DIV/0!</v>
      </c>
      <c r="M181" s="2439"/>
    </row>
    <row r="182" spans="1:13" s="251" customFormat="1" ht="12.75" customHeight="1">
      <c r="A182" s="498"/>
      <c r="B182" s="2445"/>
      <c r="C182" s="549"/>
      <c r="D182" s="541" t="s">
        <v>250</v>
      </c>
      <c r="E182" s="471">
        <v>9400</v>
      </c>
      <c r="F182" s="502">
        <v>10300</v>
      </c>
      <c r="G182" s="502"/>
      <c r="H182" s="502">
        <v>11050</v>
      </c>
      <c r="I182" s="503">
        <f t="shared" si="15"/>
        <v>1.175531914893617</v>
      </c>
      <c r="J182" s="502">
        <v>0</v>
      </c>
      <c r="K182" s="471">
        <f t="shared" si="16"/>
        <v>11050</v>
      </c>
      <c r="L182" s="504">
        <f t="shared" si="14"/>
        <v>1.175531914893617</v>
      </c>
      <c r="M182" s="2439"/>
    </row>
    <row r="183" spans="1:13" s="251" customFormat="1" ht="13.5" customHeight="1">
      <c r="A183" s="498"/>
      <c r="B183" s="2445"/>
      <c r="C183" s="511" t="s">
        <v>23</v>
      </c>
      <c r="D183" s="514"/>
      <c r="E183" s="406"/>
      <c r="F183" s="513"/>
      <c r="G183" s="513"/>
      <c r="H183" s="513"/>
      <c r="I183" s="513"/>
      <c r="J183" s="513"/>
      <c r="K183" s="406"/>
      <c r="L183" s="504"/>
      <c r="M183" s="2439"/>
    </row>
    <row r="184" spans="1:13" s="251" customFormat="1" ht="15" customHeight="1">
      <c r="A184" s="498"/>
      <c r="B184" s="2445"/>
      <c r="C184" s="2054" t="s">
        <v>24</v>
      </c>
      <c r="D184" s="514" t="s">
        <v>22</v>
      </c>
      <c r="E184" s="406">
        <f>SUM(E185:E186)</f>
        <v>45580</v>
      </c>
      <c r="F184" s="513">
        <f>SUM(F185:F186)</f>
        <v>279118</v>
      </c>
      <c r="G184" s="513"/>
      <c r="H184" s="513">
        <f>SUM(H185:H186)</f>
        <v>46830</v>
      </c>
      <c r="I184" s="515">
        <f t="shared" si="15"/>
        <v>1.0274243089074155</v>
      </c>
      <c r="J184" s="513">
        <f>SUM(J185:J186)</f>
        <v>0</v>
      </c>
      <c r="K184" s="406">
        <f>SUM(K185:K186)</f>
        <v>46830</v>
      </c>
      <c r="L184" s="504">
        <f t="shared" si="14"/>
        <v>1.0274243089074155</v>
      </c>
      <c r="M184" s="2439"/>
    </row>
    <row r="185" spans="1:13" s="251" customFormat="1" ht="12.75" customHeight="1">
      <c r="A185" s="498"/>
      <c r="B185" s="2445"/>
      <c r="C185" s="2453"/>
      <c r="D185" s="512" t="s">
        <v>257</v>
      </c>
      <c r="E185" s="471">
        <v>45580</v>
      </c>
      <c r="F185" s="502">
        <v>95368</v>
      </c>
      <c r="G185" s="502"/>
      <c r="H185" s="502">
        <v>46830</v>
      </c>
      <c r="I185" s="503">
        <f t="shared" si="15"/>
        <v>1.0274243089074155</v>
      </c>
      <c r="J185" s="502">
        <v>0</v>
      </c>
      <c r="K185" s="471">
        <f t="shared" ref="K185:K197" si="17">SUM(H185,J185)</f>
        <v>46830</v>
      </c>
      <c r="L185" s="504">
        <f t="shared" si="14"/>
        <v>1.0274243089074155</v>
      </c>
      <c r="M185" s="2439"/>
    </row>
    <row r="186" spans="1:13" s="251" customFormat="1" ht="12.75" customHeight="1">
      <c r="A186" s="498"/>
      <c r="B186" s="2445"/>
      <c r="C186" s="2441"/>
      <c r="D186" s="512">
        <v>3240</v>
      </c>
      <c r="E186" s="471">
        <v>0</v>
      </c>
      <c r="F186" s="502">
        <v>183750</v>
      </c>
      <c r="G186" s="502"/>
      <c r="H186" s="502">
        <v>0</v>
      </c>
      <c r="I186" s="503"/>
      <c r="J186" s="502">
        <v>0</v>
      </c>
      <c r="K186" s="471">
        <f t="shared" si="17"/>
        <v>0</v>
      </c>
      <c r="L186" s="504"/>
      <c r="M186" s="2439"/>
    </row>
    <row r="187" spans="1:13" s="251" customFormat="1" ht="24" customHeight="1">
      <c r="A187" s="498"/>
      <c r="B187" s="2445"/>
      <c r="C187" s="2175" t="s">
        <v>25</v>
      </c>
      <c r="D187" s="514"/>
      <c r="E187" s="406"/>
      <c r="F187" s="513">
        <f>SUM(F188:F197)</f>
        <v>40970</v>
      </c>
      <c r="G187" s="513"/>
      <c r="H187" s="513"/>
      <c r="I187" s="515"/>
      <c r="J187" s="513"/>
      <c r="K187" s="406"/>
      <c r="L187" s="504"/>
      <c r="M187" s="2439"/>
    </row>
    <row r="188" spans="1:13" s="251" customFormat="1" ht="6" hidden="1" customHeight="1">
      <c r="A188" s="498"/>
      <c r="B188" s="537"/>
      <c r="C188" s="2455"/>
      <c r="D188" s="512" t="s">
        <v>265</v>
      </c>
      <c r="E188" s="471">
        <v>0</v>
      </c>
      <c r="F188" s="502">
        <v>4141</v>
      </c>
      <c r="G188" s="502"/>
      <c r="H188" s="502">
        <v>0</v>
      </c>
      <c r="I188" s="503"/>
      <c r="J188" s="502">
        <v>0</v>
      </c>
      <c r="K188" s="471">
        <f t="shared" si="17"/>
        <v>0</v>
      </c>
      <c r="L188" s="504"/>
      <c r="M188" s="2439"/>
    </row>
    <row r="189" spans="1:13" s="251" customFormat="1" ht="12.75" hidden="1" customHeight="1">
      <c r="A189" s="498"/>
      <c r="B189" s="537"/>
      <c r="C189" s="2455"/>
      <c r="D189" s="512" t="s">
        <v>266</v>
      </c>
      <c r="E189" s="471">
        <v>0</v>
      </c>
      <c r="F189" s="502">
        <v>250</v>
      </c>
      <c r="G189" s="502"/>
      <c r="H189" s="502">
        <v>0</v>
      </c>
      <c r="I189" s="502"/>
      <c r="J189" s="502">
        <v>0</v>
      </c>
      <c r="K189" s="471">
        <f t="shared" si="17"/>
        <v>0</v>
      </c>
      <c r="L189" s="504"/>
      <c r="M189" s="2439"/>
    </row>
    <row r="190" spans="1:13" s="251" customFormat="1" ht="12.75" hidden="1" customHeight="1">
      <c r="A190" s="498"/>
      <c r="B190" s="537"/>
      <c r="C190" s="2455"/>
      <c r="D190" s="512" t="s">
        <v>267</v>
      </c>
      <c r="E190" s="471">
        <v>0</v>
      </c>
      <c r="F190" s="502">
        <v>591</v>
      </c>
      <c r="G190" s="502"/>
      <c r="H190" s="502">
        <v>0</v>
      </c>
      <c r="I190" s="502"/>
      <c r="J190" s="502">
        <v>0</v>
      </c>
      <c r="K190" s="471">
        <f t="shared" si="17"/>
        <v>0</v>
      </c>
      <c r="L190" s="504"/>
      <c r="M190" s="2439"/>
    </row>
    <row r="191" spans="1:13" s="251" customFormat="1" ht="12.75" hidden="1" customHeight="1">
      <c r="A191" s="498"/>
      <c r="B191" s="537"/>
      <c r="C191" s="2455"/>
      <c r="D191" s="514" t="s">
        <v>268</v>
      </c>
      <c r="E191" s="471">
        <v>0</v>
      </c>
      <c r="F191" s="502">
        <v>35</v>
      </c>
      <c r="G191" s="502"/>
      <c r="H191" s="502">
        <v>0</v>
      </c>
      <c r="I191" s="502"/>
      <c r="J191" s="502">
        <v>0</v>
      </c>
      <c r="K191" s="471">
        <f t="shared" si="17"/>
        <v>0</v>
      </c>
      <c r="L191" s="504"/>
      <c r="M191" s="2439"/>
    </row>
    <row r="192" spans="1:13" s="251" customFormat="1" ht="12.75" hidden="1" customHeight="1">
      <c r="A192" s="498"/>
      <c r="B192" s="537"/>
      <c r="C192" s="2455"/>
      <c r="D192" s="514" t="s">
        <v>269</v>
      </c>
      <c r="E192" s="471">
        <v>0</v>
      </c>
      <c r="F192" s="502">
        <v>24089</v>
      </c>
      <c r="G192" s="502"/>
      <c r="H192" s="502">
        <v>0</v>
      </c>
      <c r="I192" s="502"/>
      <c r="J192" s="502">
        <v>0</v>
      </c>
      <c r="K192" s="471">
        <f t="shared" si="17"/>
        <v>0</v>
      </c>
      <c r="L192" s="504"/>
      <c r="M192" s="2439"/>
    </row>
    <row r="193" spans="1:13" s="251" customFormat="1" ht="12.75" hidden="1" customHeight="1">
      <c r="A193" s="498"/>
      <c r="B193" s="537"/>
      <c r="C193" s="2455"/>
      <c r="D193" s="514" t="s">
        <v>270</v>
      </c>
      <c r="E193" s="471">
        <v>0</v>
      </c>
      <c r="F193" s="502">
        <v>1459</v>
      </c>
      <c r="G193" s="502"/>
      <c r="H193" s="502">
        <v>0</v>
      </c>
      <c r="I193" s="502"/>
      <c r="J193" s="502">
        <v>0</v>
      </c>
      <c r="K193" s="471">
        <f t="shared" si="17"/>
        <v>0</v>
      </c>
      <c r="L193" s="504"/>
      <c r="M193" s="2439"/>
    </row>
    <row r="194" spans="1:13" s="251" customFormat="1" ht="12.75" hidden="1" customHeight="1">
      <c r="A194" s="498"/>
      <c r="B194" s="537"/>
      <c r="C194" s="2455"/>
      <c r="D194" s="512" t="s">
        <v>271</v>
      </c>
      <c r="E194" s="471">
        <v>0</v>
      </c>
      <c r="F194" s="502">
        <v>68</v>
      </c>
      <c r="G194" s="502"/>
      <c r="H194" s="502">
        <v>0</v>
      </c>
      <c r="I194" s="502"/>
      <c r="J194" s="502">
        <v>0</v>
      </c>
      <c r="K194" s="471">
        <f t="shared" si="17"/>
        <v>0</v>
      </c>
      <c r="L194" s="504"/>
      <c r="M194" s="2439"/>
    </row>
    <row r="195" spans="1:13" s="251" customFormat="1" ht="12.75" hidden="1" customHeight="1">
      <c r="A195" s="498"/>
      <c r="B195" s="537"/>
      <c r="C195" s="2455"/>
      <c r="D195" s="512" t="s">
        <v>272</v>
      </c>
      <c r="E195" s="471">
        <v>0</v>
      </c>
      <c r="F195" s="502">
        <v>5</v>
      </c>
      <c r="G195" s="502"/>
      <c r="H195" s="502">
        <v>0</v>
      </c>
      <c r="I195" s="502"/>
      <c r="J195" s="502">
        <v>0</v>
      </c>
      <c r="K195" s="471">
        <f t="shared" si="17"/>
        <v>0</v>
      </c>
      <c r="L195" s="504"/>
      <c r="M195" s="2439"/>
    </row>
    <row r="196" spans="1:13" s="251" customFormat="1" ht="12.75" hidden="1" customHeight="1">
      <c r="A196" s="498"/>
      <c r="B196" s="537"/>
      <c r="C196" s="2455"/>
      <c r="D196" s="512" t="s">
        <v>273</v>
      </c>
      <c r="E196" s="471">
        <v>0</v>
      </c>
      <c r="F196" s="502">
        <v>9742</v>
      </c>
      <c r="G196" s="502"/>
      <c r="H196" s="502">
        <v>0</v>
      </c>
      <c r="I196" s="502"/>
      <c r="J196" s="502">
        <v>0</v>
      </c>
      <c r="K196" s="471">
        <f t="shared" si="17"/>
        <v>0</v>
      </c>
      <c r="L196" s="504"/>
      <c r="M196" s="2439"/>
    </row>
    <row r="197" spans="1:13" s="251" customFormat="1" ht="12.75" hidden="1" customHeight="1">
      <c r="A197" s="498"/>
      <c r="B197" s="478"/>
      <c r="C197" s="2456"/>
      <c r="D197" s="512" t="s">
        <v>274</v>
      </c>
      <c r="E197" s="471">
        <v>0</v>
      </c>
      <c r="F197" s="502">
        <v>590</v>
      </c>
      <c r="G197" s="502"/>
      <c r="H197" s="502">
        <v>0</v>
      </c>
      <c r="I197" s="502"/>
      <c r="J197" s="502">
        <v>0</v>
      </c>
      <c r="K197" s="471">
        <f t="shared" si="17"/>
        <v>0</v>
      </c>
      <c r="L197" s="504"/>
      <c r="M197" s="2439"/>
    </row>
    <row r="198" spans="1:13" s="251" customFormat="1" ht="12.75" customHeight="1">
      <c r="A198" s="498"/>
      <c r="C198" s="511" t="s">
        <v>26</v>
      </c>
      <c r="D198" s="514"/>
      <c r="E198" s="406"/>
      <c r="F198" s="513"/>
      <c r="G198" s="513"/>
      <c r="H198" s="513"/>
      <c r="I198" s="513"/>
      <c r="J198" s="513"/>
      <c r="K198" s="406"/>
      <c r="L198" s="504"/>
      <c r="M198" s="2439"/>
    </row>
    <row r="199" spans="1:13" s="251" customFormat="1" ht="12.75" customHeight="1">
      <c r="A199" s="550"/>
      <c r="B199" s="478"/>
      <c r="C199" s="511" t="s">
        <v>27</v>
      </c>
      <c r="D199" s="514"/>
      <c r="E199" s="406"/>
      <c r="F199" s="513"/>
      <c r="G199" s="513"/>
      <c r="H199" s="513"/>
      <c r="I199" s="513"/>
      <c r="J199" s="513"/>
      <c r="K199" s="406"/>
      <c r="L199" s="504"/>
      <c r="M199" s="2454"/>
    </row>
    <row r="200" spans="1:13" s="251" customFormat="1" ht="21" customHeight="1">
      <c r="A200" s="497"/>
      <c r="B200" s="1959" t="s">
        <v>258</v>
      </c>
      <c r="C200" s="529" t="s">
        <v>28</v>
      </c>
      <c r="D200" s="527"/>
      <c r="E200" s="447">
        <f>SUM(E201,E203,E204)</f>
        <v>0</v>
      </c>
      <c r="F200" s="447">
        <f t="shared" ref="F200:K200" si="18">SUM(F201,F203,F204)</f>
        <v>0</v>
      </c>
      <c r="G200" s="447"/>
      <c r="H200" s="528">
        <f t="shared" si="18"/>
        <v>28300</v>
      </c>
      <c r="I200" s="528"/>
      <c r="J200" s="447">
        <f t="shared" si="18"/>
        <v>0</v>
      </c>
      <c r="K200" s="447">
        <f t="shared" si="18"/>
        <v>28300</v>
      </c>
      <c r="L200" s="504"/>
      <c r="M200" s="551"/>
    </row>
    <row r="201" spans="1:13" s="251" customFormat="1" ht="18" customHeight="1">
      <c r="A201" s="498"/>
      <c r="B201" s="2445"/>
      <c r="C201" s="450" t="s">
        <v>29</v>
      </c>
      <c r="D201" s="514" t="s">
        <v>275</v>
      </c>
      <c r="E201" s="406">
        <v>0</v>
      </c>
      <c r="F201" s="513">
        <v>0</v>
      </c>
      <c r="G201" s="513"/>
      <c r="H201" s="513">
        <v>28300</v>
      </c>
      <c r="I201" s="513"/>
      <c r="J201" s="513">
        <v>0</v>
      </c>
      <c r="K201" s="406">
        <f t="shared" ref="K201" si="19">SUM(H201,J201)</f>
        <v>28300</v>
      </c>
      <c r="L201" s="504"/>
      <c r="M201" s="538"/>
    </row>
    <row r="202" spans="1:13" s="251" customFormat="1" ht="22.5">
      <c r="A202" s="498"/>
      <c r="B202" s="2445"/>
      <c r="C202" s="451" t="s">
        <v>89</v>
      </c>
      <c r="D202" s="514"/>
      <c r="E202" s="406"/>
      <c r="F202" s="513"/>
      <c r="G202" s="513"/>
      <c r="H202" s="513"/>
      <c r="I202" s="513"/>
      <c r="J202" s="513"/>
      <c r="K202" s="406"/>
      <c r="L202" s="504"/>
      <c r="M202" s="538"/>
    </row>
    <row r="203" spans="1:13" s="251" customFormat="1" ht="20.25" customHeight="1">
      <c r="A203" s="498"/>
      <c r="B203" s="2445"/>
      <c r="C203" s="511" t="s">
        <v>31</v>
      </c>
      <c r="D203" s="514"/>
      <c r="E203" s="406"/>
      <c r="F203" s="513"/>
      <c r="G203" s="513"/>
      <c r="H203" s="513"/>
      <c r="I203" s="513"/>
      <c r="J203" s="513"/>
      <c r="K203" s="406"/>
      <c r="L203" s="504"/>
      <c r="M203" s="538"/>
    </row>
    <row r="204" spans="1:13" s="251" customFormat="1" ht="17.25" customHeight="1">
      <c r="A204" s="550"/>
      <c r="B204" s="2437"/>
      <c r="C204" s="511" t="s">
        <v>32</v>
      </c>
      <c r="D204" s="514"/>
      <c r="E204" s="483"/>
      <c r="F204" s="513"/>
      <c r="G204" s="513"/>
      <c r="H204" s="513"/>
      <c r="I204" s="513"/>
      <c r="J204" s="513"/>
      <c r="K204" s="406"/>
      <c r="L204" s="504"/>
      <c r="M204" s="552"/>
    </row>
    <row r="205" spans="1:13" s="251" customFormat="1" ht="15.75" customHeight="1">
      <c r="A205" s="497"/>
      <c r="B205" s="1959" t="s">
        <v>276</v>
      </c>
      <c r="C205" s="530" t="s">
        <v>277</v>
      </c>
      <c r="D205" s="531"/>
      <c r="E205" s="525">
        <f>SUM(E206,E271)</f>
        <v>13198187</v>
      </c>
      <c r="F205" s="525">
        <f>SUM(F206,F271)</f>
        <v>15406104</v>
      </c>
      <c r="G205" s="525"/>
      <c r="H205" s="525">
        <f>SUM(H206,H271)</f>
        <v>18543044</v>
      </c>
      <c r="I205" s="532">
        <f>H205/E205</f>
        <v>1.4049690309737239</v>
      </c>
      <c r="J205" s="525">
        <f>SUM(J206,J271)</f>
        <v>32000</v>
      </c>
      <c r="K205" s="445">
        <f>SUM(K206,K271)</f>
        <v>18575044</v>
      </c>
      <c r="L205" s="532">
        <f t="shared" si="14"/>
        <v>1.4073936064097288</v>
      </c>
      <c r="M205" s="2438" t="s">
        <v>627</v>
      </c>
    </row>
    <row r="206" spans="1:13" s="251" customFormat="1" ht="15.75" customHeight="1">
      <c r="A206" s="498"/>
      <c r="B206" s="2445"/>
      <c r="C206" s="526" t="s">
        <v>18</v>
      </c>
      <c r="D206" s="527"/>
      <c r="E206" s="447">
        <v>13158477</v>
      </c>
      <c r="F206" s="528">
        <f>SUM(F207,F229:F231)</f>
        <v>15366394</v>
      </c>
      <c r="G206" s="528"/>
      <c r="H206" s="528">
        <f>SUM(H207,H229:H231)</f>
        <v>18527044</v>
      </c>
      <c r="I206" s="533">
        <f>H206/E206</f>
        <v>1.4079930374921048</v>
      </c>
      <c r="J206" s="528">
        <f>SUM(J207,J229:J231)</f>
        <v>0</v>
      </c>
      <c r="K206" s="447">
        <f>SUM(K207,K229:K231)</f>
        <v>18527044</v>
      </c>
      <c r="L206" s="553">
        <f t="shared" si="14"/>
        <v>1.4079930374921048</v>
      </c>
      <c r="M206" s="2439"/>
    </row>
    <row r="207" spans="1:13" s="251" customFormat="1" ht="15.75" customHeight="1">
      <c r="A207" s="498"/>
      <c r="B207" s="2445"/>
      <c r="C207" s="511" t="s">
        <v>19</v>
      </c>
      <c r="D207" s="514"/>
      <c r="E207" s="513">
        <f>SUM(E208,E217)</f>
        <v>13083792</v>
      </c>
      <c r="F207" s="513">
        <f>SUM(F208,F217)</f>
        <v>14879923</v>
      </c>
      <c r="G207" s="513"/>
      <c r="H207" s="513">
        <f>SUM(H208,H217)</f>
        <v>18355151</v>
      </c>
      <c r="I207" s="515">
        <f t="shared" ref="I207:I266" si="20">H207/E207</f>
        <v>1.402892296056067</v>
      </c>
      <c r="J207" s="513">
        <f>SUM(J208,J217)</f>
        <v>0</v>
      </c>
      <c r="K207" s="406">
        <f>SUM(K208,K217)</f>
        <v>18355151</v>
      </c>
      <c r="L207" s="504">
        <f t="shared" si="14"/>
        <v>1.402892296056067</v>
      </c>
      <c r="M207" s="2439"/>
    </row>
    <row r="208" spans="1:13" s="251" customFormat="1" ht="15.75" customHeight="1">
      <c r="A208" s="498"/>
      <c r="B208" s="2445"/>
      <c r="C208" s="2461" t="s">
        <v>20</v>
      </c>
      <c r="D208" s="514" t="s">
        <v>22</v>
      </c>
      <c r="E208" s="406">
        <f>SUM(E209:E216)</f>
        <v>12054522</v>
      </c>
      <c r="F208" s="513">
        <f>SUM(F209:F216)</f>
        <v>13602758</v>
      </c>
      <c r="G208" s="513"/>
      <c r="H208" s="513">
        <f>SUM(H209:H216)</f>
        <v>16394932</v>
      </c>
      <c r="I208" s="515">
        <f t="shared" si="20"/>
        <v>1.3600648785576068</v>
      </c>
      <c r="J208" s="513">
        <f>SUM(J209:J216)</f>
        <v>0</v>
      </c>
      <c r="K208" s="406">
        <f>SUM(K209:K216)</f>
        <v>16394932</v>
      </c>
      <c r="L208" s="504">
        <f t="shared" si="14"/>
        <v>1.3600648785576068</v>
      </c>
      <c r="M208" s="2439"/>
    </row>
    <row r="209" spans="1:13" s="251" customFormat="1" ht="15.75" customHeight="1">
      <c r="A209" s="498"/>
      <c r="B209" s="2445"/>
      <c r="C209" s="2462"/>
      <c r="D209" s="541" t="s">
        <v>278</v>
      </c>
      <c r="E209" s="471">
        <v>5485566</v>
      </c>
      <c r="F209" s="502">
        <v>5718846</v>
      </c>
      <c r="G209" s="502"/>
      <c r="H209" s="502">
        <v>8558837</v>
      </c>
      <c r="I209" s="503">
        <f t="shared" si="20"/>
        <v>1.5602468368806428</v>
      </c>
      <c r="J209" s="502">
        <v>0</v>
      </c>
      <c r="K209" s="471">
        <f>SUM(H209,J209)</f>
        <v>8558837</v>
      </c>
      <c r="L209" s="504">
        <f t="shared" si="14"/>
        <v>1.5602468368806428</v>
      </c>
      <c r="M209" s="2439"/>
    </row>
    <row r="210" spans="1:13" s="251" customFormat="1" ht="15.75" customHeight="1">
      <c r="A210" s="498"/>
      <c r="B210" s="2445"/>
      <c r="C210" s="2462"/>
      <c r="D210" s="541" t="s">
        <v>279</v>
      </c>
      <c r="E210" s="471">
        <v>415340</v>
      </c>
      <c r="F210" s="502">
        <v>415340</v>
      </c>
      <c r="G210" s="502"/>
      <c r="H210" s="502">
        <v>583292</v>
      </c>
      <c r="I210" s="503">
        <f t="shared" si="20"/>
        <v>1.4043723214715655</v>
      </c>
      <c r="J210" s="502">
        <v>0</v>
      </c>
      <c r="K210" s="471">
        <f t="shared" ref="K210:K216" si="21">SUM(H210,J210)</f>
        <v>583292</v>
      </c>
      <c r="L210" s="504">
        <f t="shared" si="14"/>
        <v>1.4043723214715655</v>
      </c>
      <c r="M210" s="2439"/>
    </row>
    <row r="211" spans="1:13" s="251" customFormat="1" ht="15.75" customHeight="1">
      <c r="A211" s="498"/>
      <c r="B211" s="2445"/>
      <c r="C211" s="2462"/>
      <c r="D211" s="541" t="s">
        <v>280</v>
      </c>
      <c r="E211" s="471">
        <v>1692809</v>
      </c>
      <c r="F211" s="502">
        <v>1862938</v>
      </c>
      <c r="G211" s="502"/>
      <c r="H211" s="502">
        <v>2348807</v>
      </c>
      <c r="I211" s="503">
        <f t="shared" si="20"/>
        <v>1.3875203877106042</v>
      </c>
      <c r="J211" s="502">
        <v>0</v>
      </c>
      <c r="K211" s="471">
        <f t="shared" si="21"/>
        <v>2348807</v>
      </c>
      <c r="L211" s="504">
        <f t="shared" si="14"/>
        <v>1.3875203877106042</v>
      </c>
      <c r="M211" s="2439"/>
    </row>
    <row r="212" spans="1:13" s="251" customFormat="1" ht="15.75" customHeight="1">
      <c r="A212" s="498"/>
      <c r="B212" s="2445"/>
      <c r="C212" s="2462"/>
      <c r="D212" s="541" t="s">
        <v>281</v>
      </c>
      <c r="E212" s="471">
        <v>241287</v>
      </c>
      <c r="F212" s="502">
        <v>258772</v>
      </c>
      <c r="G212" s="502"/>
      <c r="H212" s="502">
        <v>334376</v>
      </c>
      <c r="I212" s="503">
        <f t="shared" si="20"/>
        <v>1.3858019702677724</v>
      </c>
      <c r="J212" s="502">
        <v>0</v>
      </c>
      <c r="K212" s="471">
        <f t="shared" si="21"/>
        <v>334376</v>
      </c>
      <c r="L212" s="504">
        <f t="shared" si="14"/>
        <v>1.3858019702677724</v>
      </c>
      <c r="M212" s="2439"/>
    </row>
    <row r="213" spans="1:13" s="251" customFormat="1" ht="15.75" customHeight="1">
      <c r="A213" s="498"/>
      <c r="B213" s="2445"/>
      <c r="C213" s="2462"/>
      <c r="D213" s="554" t="s">
        <v>236</v>
      </c>
      <c r="E213" s="471">
        <v>0</v>
      </c>
      <c r="F213" s="502">
        <v>6900</v>
      </c>
      <c r="G213" s="502"/>
      <c r="H213" s="502">
        <v>0</v>
      </c>
      <c r="I213" s="503"/>
      <c r="J213" s="502">
        <v>0</v>
      </c>
      <c r="K213" s="471">
        <f t="shared" si="21"/>
        <v>0</v>
      </c>
      <c r="L213" s="504"/>
      <c r="M213" s="2439"/>
    </row>
    <row r="214" spans="1:13" s="251" customFormat="1" ht="15.75" customHeight="1">
      <c r="A214" s="498"/>
      <c r="B214" s="2445"/>
      <c r="C214" s="2462"/>
      <c r="D214" s="555" t="s">
        <v>237</v>
      </c>
      <c r="E214" s="471">
        <v>91370</v>
      </c>
      <c r="F214" s="502">
        <v>93779</v>
      </c>
      <c r="G214" s="502"/>
      <c r="H214" s="502">
        <v>47953</v>
      </c>
      <c r="I214" s="503">
        <f t="shared" si="20"/>
        <v>0.52482215169092705</v>
      </c>
      <c r="J214" s="502">
        <v>0</v>
      </c>
      <c r="K214" s="471">
        <f t="shared" si="21"/>
        <v>47953</v>
      </c>
      <c r="L214" s="504">
        <f t="shared" si="14"/>
        <v>0.52482215169092705</v>
      </c>
      <c r="M214" s="2439"/>
    </row>
    <row r="215" spans="1:13" s="251" customFormat="1" ht="15.75" customHeight="1">
      <c r="A215" s="498"/>
      <c r="B215" s="2445"/>
      <c r="C215" s="2462"/>
      <c r="D215" s="555" t="s">
        <v>238</v>
      </c>
      <c r="E215" s="471">
        <v>3813674</v>
      </c>
      <c r="F215" s="502">
        <v>4857333</v>
      </c>
      <c r="G215" s="502"/>
      <c r="H215" s="502">
        <v>4187785</v>
      </c>
      <c r="I215" s="503">
        <f t="shared" si="20"/>
        <v>1.0980972678839356</v>
      </c>
      <c r="J215" s="502">
        <v>0</v>
      </c>
      <c r="K215" s="471">
        <f t="shared" si="21"/>
        <v>4187785</v>
      </c>
      <c r="L215" s="504">
        <f t="shared" si="14"/>
        <v>1.0980972678839356</v>
      </c>
      <c r="M215" s="2439"/>
    </row>
    <row r="216" spans="1:13" s="251" customFormat="1" ht="15.75" customHeight="1">
      <c r="A216" s="498"/>
      <c r="B216" s="2445"/>
      <c r="C216" s="2463"/>
      <c r="D216" s="555" t="s">
        <v>239</v>
      </c>
      <c r="E216" s="471">
        <v>314476</v>
      </c>
      <c r="F216" s="502">
        <v>388850</v>
      </c>
      <c r="G216" s="502"/>
      <c r="H216" s="502">
        <v>333882</v>
      </c>
      <c r="I216" s="503">
        <f t="shared" si="20"/>
        <v>1.0617090016408248</v>
      </c>
      <c r="J216" s="502">
        <v>0</v>
      </c>
      <c r="K216" s="471">
        <f t="shared" si="21"/>
        <v>333882</v>
      </c>
      <c r="L216" s="504">
        <f t="shared" si="14"/>
        <v>1.0617090016408248</v>
      </c>
      <c r="M216" s="2439"/>
    </row>
    <row r="217" spans="1:13" s="251" customFormat="1" ht="15.75" customHeight="1">
      <c r="A217" s="498"/>
      <c r="B217" s="2445"/>
      <c r="C217" s="2464" t="s">
        <v>21</v>
      </c>
      <c r="D217" s="514" t="s">
        <v>22</v>
      </c>
      <c r="E217" s="513">
        <f>SUM(E218:E228)</f>
        <v>1029270</v>
      </c>
      <c r="F217" s="513">
        <f>SUM(F218:F228)</f>
        <v>1277165</v>
      </c>
      <c r="G217" s="513"/>
      <c r="H217" s="513">
        <f>SUM(H218:H228)</f>
        <v>1960219</v>
      </c>
      <c r="I217" s="515">
        <f t="shared" si="20"/>
        <v>1.9044750162736697</v>
      </c>
      <c r="J217" s="513">
        <f>SUM(J218:J228)</f>
        <v>0</v>
      </c>
      <c r="K217" s="406">
        <f>SUM(K218:K228)</f>
        <v>1960219</v>
      </c>
      <c r="L217" s="504">
        <f t="shared" ref="L217:L280" si="22">K217/E217</f>
        <v>1.9044750162736697</v>
      </c>
      <c r="M217" s="2439"/>
    </row>
    <row r="218" spans="1:13" s="251" customFormat="1" ht="15.75" customHeight="1">
      <c r="A218" s="498"/>
      <c r="B218" s="2445"/>
      <c r="C218" s="2465"/>
      <c r="D218" s="541" t="s">
        <v>240</v>
      </c>
      <c r="E218" s="471">
        <v>36513</v>
      </c>
      <c r="F218" s="502">
        <v>36513</v>
      </c>
      <c r="G218" s="502"/>
      <c r="H218" s="502">
        <v>38244</v>
      </c>
      <c r="I218" s="503">
        <f t="shared" si="20"/>
        <v>1.0474077725741517</v>
      </c>
      <c r="J218" s="502">
        <v>0</v>
      </c>
      <c r="K218" s="471">
        <f>SUM(H218,J218)</f>
        <v>38244</v>
      </c>
      <c r="L218" s="504">
        <f t="shared" si="22"/>
        <v>1.0474077725741517</v>
      </c>
      <c r="M218" s="2439"/>
    </row>
    <row r="219" spans="1:13" s="251" customFormat="1" ht="15.75" customHeight="1">
      <c r="A219" s="498"/>
      <c r="B219" s="2445"/>
      <c r="C219" s="2465"/>
      <c r="D219" s="541" t="s">
        <v>232</v>
      </c>
      <c r="E219" s="471">
        <v>0</v>
      </c>
      <c r="F219" s="502">
        <v>2000</v>
      </c>
      <c r="G219" s="502"/>
      <c r="H219" s="502">
        <v>253000</v>
      </c>
      <c r="I219" s="515"/>
      <c r="J219" s="502">
        <v>0</v>
      </c>
      <c r="K219" s="471">
        <f t="shared" ref="K219:K230" si="23">SUM(H219,J219)</f>
        <v>253000</v>
      </c>
      <c r="L219" s="504"/>
      <c r="M219" s="2439"/>
    </row>
    <row r="220" spans="1:13" s="251" customFormat="1" ht="15.75" customHeight="1">
      <c r="A220" s="498"/>
      <c r="B220" s="2445"/>
      <c r="C220" s="2465"/>
      <c r="D220" s="541" t="s">
        <v>242</v>
      </c>
      <c r="E220" s="471">
        <v>246011</v>
      </c>
      <c r="F220" s="502">
        <v>246011</v>
      </c>
      <c r="G220" s="502"/>
      <c r="H220" s="502">
        <v>282900</v>
      </c>
      <c r="I220" s="503">
        <f t="shared" si="20"/>
        <v>1.1499485795350615</v>
      </c>
      <c r="J220" s="502">
        <v>0</v>
      </c>
      <c r="K220" s="471">
        <f t="shared" si="23"/>
        <v>282900</v>
      </c>
      <c r="L220" s="504">
        <f t="shared" si="22"/>
        <v>1.1499485795350615</v>
      </c>
      <c r="M220" s="2439"/>
    </row>
    <row r="221" spans="1:13" s="251" customFormat="1" ht="15.75" customHeight="1">
      <c r="A221" s="498"/>
      <c r="B221" s="2445"/>
      <c r="C221" s="2465"/>
      <c r="D221" s="541" t="s">
        <v>243</v>
      </c>
      <c r="E221" s="471">
        <v>347880</v>
      </c>
      <c r="F221" s="502">
        <v>347880</v>
      </c>
      <c r="G221" s="502"/>
      <c r="H221" s="502">
        <v>884805</v>
      </c>
      <c r="I221" s="515">
        <f t="shared" si="20"/>
        <v>2.543420144877544</v>
      </c>
      <c r="J221" s="502">
        <v>0</v>
      </c>
      <c r="K221" s="471">
        <f t="shared" si="23"/>
        <v>884805</v>
      </c>
      <c r="L221" s="504">
        <f t="shared" si="22"/>
        <v>2.543420144877544</v>
      </c>
      <c r="M221" s="2439"/>
    </row>
    <row r="222" spans="1:13" s="251" customFormat="1" ht="15.75" customHeight="1">
      <c r="A222" s="498"/>
      <c r="B222" s="2445"/>
      <c r="C222" s="2465"/>
      <c r="D222" s="541" t="s">
        <v>244</v>
      </c>
      <c r="E222" s="471">
        <v>9500</v>
      </c>
      <c r="F222" s="502">
        <v>14100</v>
      </c>
      <c r="G222" s="502"/>
      <c r="H222" s="502">
        <v>26250</v>
      </c>
      <c r="I222" s="503">
        <f t="shared" si="20"/>
        <v>2.763157894736842</v>
      </c>
      <c r="J222" s="502">
        <v>0</v>
      </c>
      <c r="K222" s="471">
        <f t="shared" si="23"/>
        <v>26250</v>
      </c>
      <c r="L222" s="504">
        <f t="shared" si="22"/>
        <v>2.763157894736842</v>
      </c>
      <c r="M222" s="2439"/>
    </row>
    <row r="223" spans="1:13" s="251" customFormat="1" ht="15.75" customHeight="1">
      <c r="A223" s="498"/>
      <c r="B223" s="2445"/>
      <c r="C223" s="2465"/>
      <c r="D223" s="542" t="s">
        <v>222</v>
      </c>
      <c r="E223" s="471">
        <v>34493</v>
      </c>
      <c r="F223" s="502">
        <v>73493</v>
      </c>
      <c r="G223" s="502"/>
      <c r="H223" s="502">
        <v>52040</v>
      </c>
      <c r="I223" s="515">
        <f t="shared" si="20"/>
        <v>1.508711912561969</v>
      </c>
      <c r="J223" s="502">
        <v>0</v>
      </c>
      <c r="K223" s="471">
        <f t="shared" si="23"/>
        <v>52040</v>
      </c>
      <c r="L223" s="504">
        <f t="shared" si="22"/>
        <v>1.508711912561969</v>
      </c>
      <c r="M223" s="2439"/>
    </row>
    <row r="224" spans="1:13" s="251" customFormat="1" ht="15.75" hidden="1" customHeight="1">
      <c r="A224" s="498"/>
      <c r="B224" s="2445"/>
      <c r="C224" s="2465"/>
      <c r="D224" s="556" t="s">
        <v>262</v>
      </c>
      <c r="E224" s="557">
        <v>0</v>
      </c>
      <c r="F224" s="558"/>
      <c r="G224" s="558"/>
      <c r="H224" s="558"/>
      <c r="I224" s="559" t="e">
        <f t="shared" si="20"/>
        <v>#DIV/0!</v>
      </c>
      <c r="J224" s="558"/>
      <c r="K224" s="557">
        <f t="shared" si="23"/>
        <v>0</v>
      </c>
      <c r="L224" s="560" t="e">
        <f t="shared" si="22"/>
        <v>#DIV/0!</v>
      </c>
      <c r="M224" s="2439"/>
    </row>
    <row r="225" spans="1:13" s="251" customFormat="1" ht="15.75" customHeight="1">
      <c r="A225" s="498"/>
      <c r="B225" s="2445"/>
      <c r="C225" s="2465"/>
      <c r="D225" s="561" t="s">
        <v>247</v>
      </c>
      <c r="E225" s="471">
        <v>26504</v>
      </c>
      <c r="F225" s="472">
        <v>36504</v>
      </c>
      <c r="G225" s="472"/>
      <c r="H225" s="472">
        <v>30202</v>
      </c>
      <c r="I225" s="468">
        <f t="shared" si="20"/>
        <v>1.1395261092665259</v>
      </c>
      <c r="J225" s="472">
        <v>0</v>
      </c>
      <c r="K225" s="471">
        <f t="shared" si="23"/>
        <v>30202</v>
      </c>
      <c r="L225" s="469">
        <f t="shared" si="22"/>
        <v>1.1395261092665259</v>
      </c>
      <c r="M225" s="2439"/>
    </row>
    <row r="226" spans="1:13" s="251" customFormat="1" ht="15.75" customHeight="1">
      <c r="A226" s="498"/>
      <c r="B226" s="2445"/>
      <c r="C226" s="2465"/>
      <c r="D226" s="562" t="s">
        <v>249</v>
      </c>
      <c r="E226" s="471">
        <v>313080</v>
      </c>
      <c r="F226" s="472">
        <v>359275</v>
      </c>
      <c r="G226" s="472"/>
      <c r="H226" s="472">
        <v>375278</v>
      </c>
      <c r="I226" s="473">
        <f t="shared" si="20"/>
        <v>1.198664877986457</v>
      </c>
      <c r="J226" s="472">
        <v>0</v>
      </c>
      <c r="K226" s="471">
        <f t="shared" si="23"/>
        <v>375278</v>
      </c>
      <c r="L226" s="469">
        <f t="shared" si="22"/>
        <v>1.198664877986457</v>
      </c>
      <c r="M226" s="2439"/>
    </row>
    <row r="227" spans="1:13" s="251" customFormat="1" ht="15.75" customHeight="1">
      <c r="A227" s="498"/>
      <c r="B227" s="2445"/>
      <c r="C227" s="2465"/>
      <c r="D227" s="562" t="s">
        <v>282</v>
      </c>
      <c r="E227" s="471">
        <v>200</v>
      </c>
      <c r="F227" s="472">
        <v>200</v>
      </c>
      <c r="G227" s="472"/>
      <c r="H227" s="472">
        <v>200</v>
      </c>
      <c r="I227" s="468">
        <f t="shared" si="20"/>
        <v>1</v>
      </c>
      <c r="J227" s="472">
        <v>0</v>
      </c>
      <c r="K227" s="471">
        <f t="shared" si="23"/>
        <v>200</v>
      </c>
      <c r="L227" s="469">
        <f t="shared" si="22"/>
        <v>1</v>
      </c>
      <c r="M227" s="2439"/>
    </row>
    <row r="228" spans="1:13" s="251" customFormat="1" ht="15.75" customHeight="1">
      <c r="A228" s="550"/>
      <c r="B228" s="2437"/>
      <c r="C228" s="2466"/>
      <c r="D228" s="563" t="s">
        <v>250</v>
      </c>
      <c r="E228" s="471">
        <v>15089</v>
      </c>
      <c r="F228" s="472">
        <v>161189</v>
      </c>
      <c r="G228" s="472"/>
      <c r="H228" s="472">
        <v>17300</v>
      </c>
      <c r="I228" s="473">
        <f t="shared" si="20"/>
        <v>1.1465305851945125</v>
      </c>
      <c r="J228" s="472">
        <v>0</v>
      </c>
      <c r="K228" s="471">
        <f t="shared" si="23"/>
        <v>17300</v>
      </c>
      <c r="L228" s="469">
        <f t="shared" si="22"/>
        <v>1.1465305851945125</v>
      </c>
      <c r="M228" s="2454"/>
    </row>
    <row r="229" spans="1:13" s="251" customFormat="1" ht="15.75" customHeight="1">
      <c r="A229" s="497"/>
      <c r="B229" s="480"/>
      <c r="C229" s="450" t="s">
        <v>23</v>
      </c>
      <c r="D229" s="449"/>
      <c r="E229" s="406"/>
      <c r="F229" s="263"/>
      <c r="G229" s="263"/>
      <c r="H229" s="263"/>
      <c r="I229" s="263"/>
      <c r="J229" s="263"/>
      <c r="K229" s="406"/>
      <c r="L229" s="469"/>
      <c r="M229" s="2438" t="s">
        <v>283</v>
      </c>
    </row>
    <row r="230" spans="1:13" s="251" customFormat="1" ht="15.75" customHeight="1">
      <c r="A230" s="498"/>
      <c r="B230" s="537"/>
      <c r="C230" s="450" t="s">
        <v>24</v>
      </c>
      <c r="D230" s="449" t="s">
        <v>257</v>
      </c>
      <c r="E230" s="406">
        <v>14600</v>
      </c>
      <c r="F230" s="263">
        <v>14600</v>
      </c>
      <c r="G230" s="263"/>
      <c r="H230" s="263">
        <v>26250</v>
      </c>
      <c r="I230" s="468">
        <f t="shared" si="20"/>
        <v>1.797945205479452</v>
      </c>
      <c r="J230" s="263">
        <v>0</v>
      </c>
      <c r="K230" s="406">
        <f t="shared" si="23"/>
        <v>26250</v>
      </c>
      <c r="L230" s="469">
        <f t="shared" si="22"/>
        <v>1.797945205479452</v>
      </c>
      <c r="M230" s="2439"/>
    </row>
    <row r="231" spans="1:13" s="251" customFormat="1" ht="14.25" customHeight="1">
      <c r="A231" s="498"/>
      <c r="B231" s="537"/>
      <c r="C231" s="2175" t="s">
        <v>45</v>
      </c>
      <c r="D231" s="449" t="s">
        <v>22</v>
      </c>
      <c r="E231" s="406">
        <f>SUM(E233:E268)</f>
        <v>60085</v>
      </c>
      <c r="F231" s="263">
        <f>SUM(F233:F268)</f>
        <v>471871</v>
      </c>
      <c r="G231" s="263"/>
      <c r="H231" s="263">
        <f>SUM(H233:H268)</f>
        <v>145643</v>
      </c>
      <c r="I231" s="468">
        <f t="shared" si="20"/>
        <v>2.4239494050095698</v>
      </c>
      <c r="J231" s="263">
        <f>SUM(J233:J268)</f>
        <v>0</v>
      </c>
      <c r="K231" s="406">
        <f>SUM(K233:K268)</f>
        <v>145643</v>
      </c>
      <c r="L231" s="469">
        <f t="shared" si="22"/>
        <v>2.4239494050095698</v>
      </c>
      <c r="M231" s="2439"/>
    </row>
    <row r="232" spans="1:13" s="251" customFormat="1" ht="14.25" hidden="1" customHeight="1">
      <c r="A232" s="498"/>
      <c r="B232" s="537"/>
      <c r="C232" s="2455"/>
      <c r="D232" s="474" t="s">
        <v>284</v>
      </c>
      <c r="E232" s="471">
        <v>0</v>
      </c>
      <c r="F232" s="472"/>
      <c r="G232" s="472"/>
      <c r="H232" s="472"/>
      <c r="I232" s="472"/>
      <c r="J232" s="472"/>
      <c r="K232" s="471"/>
      <c r="L232" s="469" t="e">
        <f t="shared" si="22"/>
        <v>#DIV/0!</v>
      </c>
      <c r="M232" s="2439"/>
    </row>
    <row r="233" spans="1:13" s="251" customFormat="1" ht="14.25" customHeight="1">
      <c r="A233" s="498"/>
      <c r="B233" s="537"/>
      <c r="C233" s="2455"/>
      <c r="D233" s="564" t="s">
        <v>285</v>
      </c>
      <c r="E233" s="471">
        <v>27165</v>
      </c>
      <c r="F233" s="472">
        <v>82445</v>
      </c>
      <c r="G233" s="472"/>
      <c r="H233" s="472">
        <v>19515</v>
      </c>
      <c r="I233" s="473">
        <f t="shared" si="20"/>
        <v>0.71838763114301496</v>
      </c>
      <c r="J233" s="472">
        <v>0</v>
      </c>
      <c r="K233" s="471">
        <f>SUM(H233,J233)</f>
        <v>19515</v>
      </c>
      <c r="L233" s="469">
        <f t="shared" si="22"/>
        <v>0.71838763114301496</v>
      </c>
      <c r="M233" s="2439"/>
    </row>
    <row r="234" spans="1:13" s="251" customFormat="1" ht="14.25" customHeight="1">
      <c r="A234" s="498"/>
      <c r="B234" s="537"/>
      <c r="C234" s="2455"/>
      <c r="D234" s="564" t="s">
        <v>286</v>
      </c>
      <c r="E234" s="471">
        <v>4933</v>
      </c>
      <c r="F234" s="472">
        <v>14973</v>
      </c>
      <c r="G234" s="472"/>
      <c r="H234" s="472">
        <v>3544</v>
      </c>
      <c r="I234" s="473">
        <f t="shared" si="20"/>
        <v>0.71842692073788772</v>
      </c>
      <c r="J234" s="472">
        <v>0</v>
      </c>
      <c r="K234" s="471">
        <f t="shared" ref="K234:K268" si="24">SUM(H234,J234)</f>
        <v>3544</v>
      </c>
      <c r="L234" s="469">
        <f t="shared" si="22"/>
        <v>0.71842692073788772</v>
      </c>
      <c r="M234" s="2439"/>
    </row>
    <row r="235" spans="1:13" s="251" customFormat="1" ht="14.25" hidden="1" customHeight="1">
      <c r="A235" s="498"/>
      <c r="B235" s="537"/>
      <c r="C235" s="2455"/>
      <c r="D235" s="564" t="s">
        <v>287</v>
      </c>
      <c r="E235" s="471">
        <v>0</v>
      </c>
      <c r="F235" s="472"/>
      <c r="G235" s="472"/>
      <c r="H235" s="472"/>
      <c r="I235" s="473" t="e">
        <f t="shared" si="20"/>
        <v>#DIV/0!</v>
      </c>
      <c r="J235" s="472"/>
      <c r="K235" s="471">
        <f t="shared" si="24"/>
        <v>0</v>
      </c>
      <c r="L235" s="469" t="e">
        <f t="shared" si="22"/>
        <v>#DIV/0!</v>
      </c>
      <c r="M235" s="2439"/>
    </row>
    <row r="236" spans="1:13" s="251" customFormat="1" ht="14.25" customHeight="1">
      <c r="A236" s="498"/>
      <c r="B236" s="2445" t="s">
        <v>276</v>
      </c>
      <c r="C236" s="2455"/>
      <c r="D236" s="564" t="s">
        <v>265</v>
      </c>
      <c r="E236" s="471">
        <v>4670</v>
      </c>
      <c r="F236" s="472">
        <v>34714</v>
      </c>
      <c r="G236" s="472"/>
      <c r="H236" s="472">
        <v>15629</v>
      </c>
      <c r="I236" s="473">
        <f t="shared" si="20"/>
        <v>3.3466809421841544</v>
      </c>
      <c r="J236" s="472">
        <v>0</v>
      </c>
      <c r="K236" s="471">
        <f t="shared" si="24"/>
        <v>15629</v>
      </c>
      <c r="L236" s="469">
        <f t="shared" si="22"/>
        <v>3.3466809421841544</v>
      </c>
      <c r="M236" s="2439"/>
    </row>
    <row r="237" spans="1:13" s="251" customFormat="1" ht="14.25" customHeight="1">
      <c r="A237" s="498"/>
      <c r="B237" s="2445"/>
      <c r="C237" s="2455"/>
      <c r="D237" s="564" t="s">
        <v>266</v>
      </c>
      <c r="E237" s="471">
        <v>848</v>
      </c>
      <c r="F237" s="472">
        <v>6326</v>
      </c>
      <c r="G237" s="472"/>
      <c r="H237" s="472">
        <v>2839</v>
      </c>
      <c r="I237" s="473">
        <f t="shared" si="20"/>
        <v>3.3478773584905661</v>
      </c>
      <c r="J237" s="472">
        <v>0</v>
      </c>
      <c r="K237" s="471">
        <f t="shared" si="24"/>
        <v>2839</v>
      </c>
      <c r="L237" s="469">
        <f t="shared" si="22"/>
        <v>3.3478773584905661</v>
      </c>
      <c r="M237" s="2439"/>
    </row>
    <row r="238" spans="1:13" s="251" customFormat="1" ht="14.25" hidden="1" customHeight="1">
      <c r="A238" s="498"/>
      <c r="B238" s="2445"/>
      <c r="C238" s="2455"/>
      <c r="D238" s="564" t="s">
        <v>288</v>
      </c>
      <c r="E238" s="471">
        <v>0</v>
      </c>
      <c r="F238" s="472"/>
      <c r="G238" s="472"/>
      <c r="H238" s="472"/>
      <c r="I238" s="473" t="e">
        <f t="shared" si="20"/>
        <v>#DIV/0!</v>
      </c>
      <c r="J238" s="472"/>
      <c r="K238" s="471">
        <f t="shared" si="24"/>
        <v>0</v>
      </c>
      <c r="L238" s="469" t="e">
        <f t="shared" si="22"/>
        <v>#DIV/0!</v>
      </c>
      <c r="M238" s="2439"/>
    </row>
    <row r="239" spans="1:13" s="251" customFormat="1" ht="14.25" customHeight="1">
      <c r="A239" s="498"/>
      <c r="B239" s="2445"/>
      <c r="C239" s="2455"/>
      <c r="D239" s="564" t="s">
        <v>267</v>
      </c>
      <c r="E239" s="471">
        <v>665</v>
      </c>
      <c r="F239" s="472">
        <v>4836</v>
      </c>
      <c r="G239" s="472"/>
      <c r="H239" s="472">
        <v>2196</v>
      </c>
      <c r="I239" s="473">
        <f t="shared" si="20"/>
        <v>3.3022556390977442</v>
      </c>
      <c r="J239" s="472">
        <v>0</v>
      </c>
      <c r="K239" s="471">
        <f t="shared" si="24"/>
        <v>2196</v>
      </c>
      <c r="L239" s="469">
        <f t="shared" si="22"/>
        <v>3.3022556390977442</v>
      </c>
      <c r="M239" s="2439"/>
    </row>
    <row r="240" spans="1:13" s="251" customFormat="1" ht="14.25" customHeight="1">
      <c r="A240" s="498"/>
      <c r="B240" s="2445"/>
      <c r="C240" s="2455"/>
      <c r="D240" s="564" t="s">
        <v>268</v>
      </c>
      <c r="E240" s="471">
        <v>121</v>
      </c>
      <c r="F240" s="472">
        <v>883</v>
      </c>
      <c r="G240" s="472"/>
      <c r="H240" s="472">
        <v>399</v>
      </c>
      <c r="I240" s="473">
        <f t="shared" si="20"/>
        <v>3.2975206611570247</v>
      </c>
      <c r="J240" s="472">
        <v>0</v>
      </c>
      <c r="K240" s="471">
        <f t="shared" si="24"/>
        <v>399</v>
      </c>
      <c r="L240" s="469">
        <f t="shared" si="22"/>
        <v>3.2975206611570247</v>
      </c>
      <c r="M240" s="2439"/>
    </row>
    <row r="241" spans="1:13" s="251" customFormat="1" ht="14.25" hidden="1" customHeight="1">
      <c r="A241" s="498"/>
      <c r="B241" s="2445"/>
      <c r="C241" s="2455"/>
      <c r="D241" s="564" t="s">
        <v>289</v>
      </c>
      <c r="E241" s="471">
        <v>0</v>
      </c>
      <c r="F241" s="472"/>
      <c r="G241" s="472"/>
      <c r="H241" s="472"/>
      <c r="I241" s="473" t="e">
        <f t="shared" si="20"/>
        <v>#DIV/0!</v>
      </c>
      <c r="J241" s="472"/>
      <c r="K241" s="471">
        <f t="shared" si="24"/>
        <v>0</v>
      </c>
      <c r="L241" s="469" t="e">
        <f t="shared" si="22"/>
        <v>#DIV/0!</v>
      </c>
      <c r="M241" s="2439"/>
    </row>
    <row r="242" spans="1:13" s="251" customFormat="1" ht="14.25" customHeight="1">
      <c r="A242" s="498"/>
      <c r="B242" s="2445"/>
      <c r="C242" s="2455"/>
      <c r="D242" s="564" t="s">
        <v>269</v>
      </c>
      <c r="E242" s="471">
        <v>4668</v>
      </c>
      <c r="F242" s="472">
        <v>52919</v>
      </c>
      <c r="G242" s="472"/>
      <c r="H242" s="472">
        <v>25389</v>
      </c>
      <c r="I242" s="473">
        <f t="shared" si="20"/>
        <v>5.4389460154241647</v>
      </c>
      <c r="J242" s="472">
        <v>0</v>
      </c>
      <c r="K242" s="471">
        <f t="shared" si="24"/>
        <v>25389</v>
      </c>
      <c r="L242" s="469">
        <f t="shared" si="22"/>
        <v>5.4389460154241647</v>
      </c>
      <c r="M242" s="2439"/>
    </row>
    <row r="243" spans="1:13" s="251" customFormat="1" ht="15.75" customHeight="1">
      <c r="A243" s="498"/>
      <c r="B243" s="2445"/>
      <c r="C243" s="2455"/>
      <c r="D243" s="564" t="s">
        <v>270</v>
      </c>
      <c r="E243" s="471">
        <v>848</v>
      </c>
      <c r="F243" s="472">
        <v>9609</v>
      </c>
      <c r="G243" s="472"/>
      <c r="H243" s="472">
        <v>4611</v>
      </c>
      <c r="I243" s="473">
        <f t="shared" si="20"/>
        <v>5.4375</v>
      </c>
      <c r="J243" s="472">
        <v>0</v>
      </c>
      <c r="K243" s="471">
        <f t="shared" si="24"/>
        <v>4611</v>
      </c>
      <c r="L243" s="469">
        <f t="shared" si="22"/>
        <v>5.4375</v>
      </c>
      <c r="M243" s="2439"/>
    </row>
    <row r="244" spans="1:13" s="251" customFormat="1" ht="15.75" hidden="1" customHeight="1">
      <c r="A244" s="498"/>
      <c r="B244" s="2445"/>
      <c r="C244" s="2455"/>
      <c r="D244" s="564" t="s">
        <v>290</v>
      </c>
      <c r="E244" s="471">
        <v>0</v>
      </c>
      <c r="F244" s="472"/>
      <c r="G244" s="472"/>
      <c r="H244" s="472"/>
      <c r="I244" s="473" t="e">
        <f t="shared" si="20"/>
        <v>#DIV/0!</v>
      </c>
      <c r="J244" s="472"/>
      <c r="K244" s="471">
        <f t="shared" si="24"/>
        <v>0</v>
      </c>
      <c r="L244" s="469" t="e">
        <f t="shared" si="22"/>
        <v>#DIV/0!</v>
      </c>
      <c r="M244" s="2439"/>
    </row>
    <row r="245" spans="1:13" s="251" customFormat="1" ht="13.5" customHeight="1">
      <c r="A245" s="498"/>
      <c r="B245" s="2445"/>
      <c r="C245" s="2455"/>
      <c r="D245" s="564" t="s">
        <v>291</v>
      </c>
      <c r="E245" s="471">
        <v>85</v>
      </c>
      <c r="F245" s="472">
        <v>41569</v>
      </c>
      <c r="G245" s="472"/>
      <c r="H245" s="472">
        <v>1571</v>
      </c>
      <c r="I245" s="473">
        <f t="shared" si="20"/>
        <v>18.482352941176469</v>
      </c>
      <c r="J245" s="472">
        <v>0</v>
      </c>
      <c r="K245" s="471">
        <f t="shared" si="24"/>
        <v>1571</v>
      </c>
      <c r="L245" s="565">
        <f t="shared" si="22"/>
        <v>18.482352941176469</v>
      </c>
      <c r="M245" s="2439"/>
    </row>
    <row r="246" spans="1:13" s="251" customFormat="1" ht="14.25" customHeight="1">
      <c r="A246" s="498"/>
      <c r="B246" s="2445"/>
      <c r="C246" s="2455"/>
      <c r="D246" s="564" t="s">
        <v>292</v>
      </c>
      <c r="E246" s="471">
        <v>15</v>
      </c>
      <c r="F246" s="472">
        <v>7722</v>
      </c>
      <c r="G246" s="472"/>
      <c r="H246" s="472">
        <v>285</v>
      </c>
      <c r="I246" s="473">
        <f t="shared" si="20"/>
        <v>19</v>
      </c>
      <c r="J246" s="472">
        <v>0</v>
      </c>
      <c r="K246" s="471">
        <f t="shared" si="24"/>
        <v>285</v>
      </c>
      <c r="L246" s="565">
        <f t="shared" si="22"/>
        <v>19</v>
      </c>
      <c r="M246" s="2439"/>
    </row>
    <row r="247" spans="1:13" s="251" customFormat="1" ht="14.25" hidden="1" customHeight="1">
      <c r="A247" s="498"/>
      <c r="B247" s="2445"/>
      <c r="C247" s="2455"/>
      <c r="D247" s="564" t="s">
        <v>293</v>
      </c>
      <c r="E247" s="471">
        <v>0</v>
      </c>
      <c r="F247" s="472"/>
      <c r="G247" s="472"/>
      <c r="H247" s="472"/>
      <c r="I247" s="473" t="e">
        <f t="shared" si="20"/>
        <v>#DIV/0!</v>
      </c>
      <c r="J247" s="472"/>
      <c r="K247" s="471">
        <f t="shared" si="24"/>
        <v>0</v>
      </c>
      <c r="L247" s="469" t="e">
        <f t="shared" si="22"/>
        <v>#DIV/0!</v>
      </c>
      <c r="M247" s="2439"/>
    </row>
    <row r="248" spans="1:13" s="251" customFormat="1" ht="14.25" customHeight="1">
      <c r="A248" s="498"/>
      <c r="B248" s="2445"/>
      <c r="C248" s="2455"/>
      <c r="D248" s="564" t="s">
        <v>294</v>
      </c>
      <c r="E248" s="471">
        <v>11510</v>
      </c>
      <c r="F248" s="472">
        <v>34510</v>
      </c>
      <c r="G248" s="472"/>
      <c r="H248" s="472">
        <v>9394</v>
      </c>
      <c r="I248" s="473">
        <f t="shared" si="20"/>
        <v>0.81615986099044313</v>
      </c>
      <c r="J248" s="472">
        <v>0</v>
      </c>
      <c r="K248" s="471">
        <f t="shared" si="24"/>
        <v>9394</v>
      </c>
      <c r="L248" s="469">
        <f t="shared" si="22"/>
        <v>0.81615986099044313</v>
      </c>
      <c r="M248" s="2439"/>
    </row>
    <row r="249" spans="1:13" s="251" customFormat="1" ht="14.25" customHeight="1">
      <c r="A249" s="498"/>
      <c r="B249" s="2445"/>
      <c r="C249" s="2455"/>
      <c r="D249" s="564" t="s">
        <v>295</v>
      </c>
      <c r="E249" s="471">
        <v>2090</v>
      </c>
      <c r="F249" s="472">
        <v>6269</v>
      </c>
      <c r="G249" s="472"/>
      <c r="H249" s="472">
        <v>1706</v>
      </c>
      <c r="I249" s="473">
        <f t="shared" si="20"/>
        <v>0.81626794258373203</v>
      </c>
      <c r="J249" s="472">
        <v>0</v>
      </c>
      <c r="K249" s="471">
        <f t="shared" si="24"/>
        <v>1706</v>
      </c>
      <c r="L249" s="469">
        <f t="shared" si="22"/>
        <v>0.81626794258373203</v>
      </c>
      <c r="M249" s="2439"/>
    </row>
    <row r="250" spans="1:13" s="251" customFormat="1" ht="14.25" customHeight="1">
      <c r="A250" s="498"/>
      <c r="B250" s="2445"/>
      <c r="C250" s="2455"/>
      <c r="D250" s="564" t="s">
        <v>296</v>
      </c>
      <c r="E250" s="471">
        <v>0</v>
      </c>
      <c r="F250" s="472">
        <v>19691</v>
      </c>
      <c r="G250" s="472"/>
      <c r="H250" s="472">
        <v>0</v>
      </c>
      <c r="I250" s="473"/>
      <c r="J250" s="472">
        <v>0</v>
      </c>
      <c r="K250" s="471">
        <f t="shared" si="24"/>
        <v>0</v>
      </c>
      <c r="L250" s="469"/>
      <c r="M250" s="2439"/>
    </row>
    <row r="251" spans="1:13" s="251" customFormat="1" ht="14.25" customHeight="1">
      <c r="A251" s="498"/>
      <c r="B251" s="2445"/>
      <c r="C251" s="2455"/>
      <c r="D251" s="564" t="s">
        <v>297</v>
      </c>
      <c r="E251" s="471">
        <v>0</v>
      </c>
      <c r="F251" s="472">
        <v>3576</v>
      </c>
      <c r="G251" s="472"/>
      <c r="H251" s="472">
        <v>0</v>
      </c>
      <c r="I251" s="473"/>
      <c r="J251" s="472">
        <v>0</v>
      </c>
      <c r="K251" s="471">
        <f t="shared" si="24"/>
        <v>0</v>
      </c>
      <c r="L251" s="469"/>
      <c r="M251" s="2439"/>
    </row>
    <row r="252" spans="1:13" s="251" customFormat="1" ht="14.25" customHeight="1">
      <c r="A252" s="498"/>
      <c r="B252" s="2445"/>
      <c r="C252" s="2455"/>
      <c r="D252" s="564" t="s">
        <v>298</v>
      </c>
      <c r="E252" s="471">
        <v>0</v>
      </c>
      <c r="F252" s="472">
        <v>1016</v>
      </c>
      <c r="G252" s="472"/>
      <c r="H252" s="472">
        <v>422</v>
      </c>
      <c r="I252" s="473"/>
      <c r="J252" s="472">
        <v>0</v>
      </c>
      <c r="K252" s="471">
        <f t="shared" si="24"/>
        <v>422</v>
      </c>
      <c r="L252" s="469"/>
      <c r="M252" s="2439"/>
    </row>
    <row r="253" spans="1:13" s="251" customFormat="1" ht="14.25" customHeight="1">
      <c r="A253" s="498"/>
      <c r="B253" s="2445"/>
      <c r="C253" s="2455"/>
      <c r="D253" s="564" t="s">
        <v>299</v>
      </c>
      <c r="E253" s="471">
        <v>0</v>
      </c>
      <c r="F253" s="472">
        <v>184</v>
      </c>
      <c r="G253" s="472"/>
      <c r="H253" s="472">
        <v>78</v>
      </c>
      <c r="I253" s="473"/>
      <c r="J253" s="472">
        <v>0</v>
      </c>
      <c r="K253" s="471">
        <f t="shared" si="24"/>
        <v>78</v>
      </c>
      <c r="L253" s="469"/>
      <c r="M253" s="2439"/>
    </row>
    <row r="254" spans="1:13" s="251" customFormat="1" ht="14.25" hidden="1" customHeight="1">
      <c r="A254" s="498"/>
      <c r="B254" s="2445"/>
      <c r="C254" s="2455"/>
      <c r="D254" s="564" t="s">
        <v>300</v>
      </c>
      <c r="E254" s="471">
        <v>0</v>
      </c>
      <c r="F254" s="566"/>
      <c r="G254" s="566"/>
      <c r="H254" s="270"/>
      <c r="I254" s="473" t="e">
        <f t="shared" si="20"/>
        <v>#DIV/0!</v>
      </c>
      <c r="J254" s="566"/>
      <c r="K254" s="471">
        <f t="shared" si="24"/>
        <v>0</v>
      </c>
      <c r="L254" s="469" t="e">
        <f t="shared" si="22"/>
        <v>#DIV/0!</v>
      </c>
      <c r="M254" s="2439"/>
    </row>
    <row r="255" spans="1:13" s="251" customFormat="1" ht="14.25" customHeight="1">
      <c r="A255" s="498"/>
      <c r="B255" s="2445"/>
      <c r="C255" s="2455"/>
      <c r="D255" s="564" t="s">
        <v>273</v>
      </c>
      <c r="E255" s="471">
        <v>86</v>
      </c>
      <c r="F255" s="472">
        <v>4422</v>
      </c>
      <c r="G255" s="472"/>
      <c r="H255" s="472">
        <v>914</v>
      </c>
      <c r="I255" s="473">
        <f t="shared" si="20"/>
        <v>10.627906976744185</v>
      </c>
      <c r="J255" s="472">
        <v>0</v>
      </c>
      <c r="K255" s="471">
        <f t="shared" si="24"/>
        <v>914</v>
      </c>
      <c r="L255" s="565">
        <f t="shared" si="22"/>
        <v>10.627906976744185</v>
      </c>
      <c r="M255" s="2439"/>
    </row>
    <row r="256" spans="1:13" s="251" customFormat="1" ht="14.25" customHeight="1">
      <c r="A256" s="498"/>
      <c r="B256" s="2445"/>
      <c r="C256" s="2455"/>
      <c r="D256" s="564" t="s">
        <v>274</v>
      </c>
      <c r="E256" s="471">
        <v>16</v>
      </c>
      <c r="F256" s="472">
        <v>804</v>
      </c>
      <c r="G256" s="472"/>
      <c r="H256" s="472">
        <v>166</v>
      </c>
      <c r="I256" s="473">
        <f t="shared" si="20"/>
        <v>10.375</v>
      </c>
      <c r="J256" s="472">
        <v>0</v>
      </c>
      <c r="K256" s="471">
        <f t="shared" si="24"/>
        <v>166</v>
      </c>
      <c r="L256" s="565">
        <f t="shared" si="22"/>
        <v>10.375</v>
      </c>
      <c r="M256" s="2439"/>
    </row>
    <row r="257" spans="1:13" s="251" customFormat="1" ht="14.25" hidden="1" customHeight="1">
      <c r="A257" s="498"/>
      <c r="B257" s="2445"/>
      <c r="C257" s="2455"/>
      <c r="D257" s="564" t="s">
        <v>301</v>
      </c>
      <c r="E257" s="471">
        <v>0</v>
      </c>
      <c r="F257" s="472"/>
      <c r="G257" s="472"/>
      <c r="H257" s="472"/>
      <c r="I257" s="473" t="e">
        <f t="shared" si="20"/>
        <v>#DIV/0!</v>
      </c>
      <c r="J257" s="472"/>
      <c r="K257" s="471">
        <f t="shared" si="24"/>
        <v>0</v>
      </c>
      <c r="L257" s="469" t="e">
        <f t="shared" si="22"/>
        <v>#DIV/0!</v>
      </c>
      <c r="M257" s="2439"/>
    </row>
    <row r="258" spans="1:13" s="251" customFormat="1" ht="14.25" customHeight="1">
      <c r="A258" s="498"/>
      <c r="B258" s="2445"/>
      <c r="C258" s="2455"/>
      <c r="D258" s="564" t="s">
        <v>302</v>
      </c>
      <c r="E258" s="471">
        <v>0</v>
      </c>
      <c r="F258" s="472">
        <v>508</v>
      </c>
      <c r="G258" s="472"/>
      <c r="H258" s="472">
        <v>212</v>
      </c>
      <c r="I258" s="473"/>
      <c r="J258" s="472">
        <v>0</v>
      </c>
      <c r="K258" s="471">
        <f t="shared" si="24"/>
        <v>212</v>
      </c>
      <c r="L258" s="469"/>
      <c r="M258" s="2439"/>
    </row>
    <row r="259" spans="1:13" s="251" customFormat="1" ht="14.25" customHeight="1">
      <c r="A259" s="498"/>
      <c r="B259" s="2445"/>
      <c r="C259" s="2455"/>
      <c r="D259" s="564" t="s">
        <v>303</v>
      </c>
      <c r="E259" s="471">
        <v>0</v>
      </c>
      <c r="F259" s="472">
        <v>92</v>
      </c>
      <c r="G259" s="472"/>
      <c r="H259" s="472">
        <v>38</v>
      </c>
      <c r="I259" s="473"/>
      <c r="J259" s="472">
        <v>0</v>
      </c>
      <c r="K259" s="471">
        <f t="shared" si="24"/>
        <v>38</v>
      </c>
      <c r="L259" s="469"/>
      <c r="M259" s="2439"/>
    </row>
    <row r="260" spans="1:13" s="251" customFormat="1" ht="14.25" hidden="1" customHeight="1">
      <c r="A260" s="498"/>
      <c r="B260" s="2445"/>
      <c r="C260" s="2455"/>
      <c r="D260" s="564" t="s">
        <v>304</v>
      </c>
      <c r="E260" s="471">
        <v>0</v>
      </c>
      <c r="F260" s="472"/>
      <c r="G260" s="472"/>
      <c r="H260" s="472"/>
      <c r="I260" s="473" t="e">
        <f t="shared" si="20"/>
        <v>#DIV/0!</v>
      </c>
      <c r="J260" s="472"/>
      <c r="K260" s="471">
        <f t="shared" si="24"/>
        <v>0</v>
      </c>
      <c r="L260" s="469" t="e">
        <f t="shared" si="22"/>
        <v>#DIV/0!</v>
      </c>
      <c r="M260" s="2439"/>
    </row>
    <row r="261" spans="1:13" s="251" customFormat="1" ht="14.25" hidden="1" customHeight="1">
      <c r="A261" s="498"/>
      <c r="B261" s="2445"/>
      <c r="C261" s="2455"/>
      <c r="D261" s="564" t="s">
        <v>305</v>
      </c>
      <c r="E261" s="471">
        <v>0</v>
      </c>
      <c r="F261" s="472"/>
      <c r="G261" s="472"/>
      <c r="H261" s="472"/>
      <c r="I261" s="473" t="e">
        <f t="shared" si="20"/>
        <v>#DIV/0!</v>
      </c>
      <c r="J261" s="472"/>
      <c r="K261" s="471">
        <f t="shared" si="24"/>
        <v>0</v>
      </c>
      <c r="L261" s="469" t="e">
        <f t="shared" si="22"/>
        <v>#DIV/0!</v>
      </c>
      <c r="M261" s="2439"/>
    </row>
    <row r="262" spans="1:13" s="251" customFormat="1" ht="14.25" hidden="1" customHeight="1">
      <c r="A262" s="498"/>
      <c r="B262" s="2445"/>
      <c r="C262" s="2455"/>
      <c r="D262" s="564" t="s">
        <v>306</v>
      </c>
      <c r="E262" s="471">
        <v>0</v>
      </c>
      <c r="F262" s="472"/>
      <c r="G262" s="472"/>
      <c r="H262" s="472"/>
      <c r="I262" s="473" t="e">
        <f t="shared" si="20"/>
        <v>#DIV/0!</v>
      </c>
      <c r="J262" s="472"/>
      <c r="K262" s="471">
        <f t="shared" si="24"/>
        <v>0</v>
      </c>
      <c r="L262" s="469" t="e">
        <f t="shared" si="22"/>
        <v>#DIV/0!</v>
      </c>
      <c r="M262" s="2439"/>
    </row>
    <row r="263" spans="1:13" s="251" customFormat="1" ht="14.25" customHeight="1">
      <c r="A263" s="498"/>
      <c r="B263" s="2445"/>
      <c r="C263" s="2455"/>
      <c r="D263" s="564" t="s">
        <v>307</v>
      </c>
      <c r="E263" s="471">
        <v>1593</v>
      </c>
      <c r="F263" s="472">
        <v>8395</v>
      </c>
      <c r="G263" s="472"/>
      <c r="H263" s="472">
        <v>0</v>
      </c>
      <c r="I263" s="473">
        <f t="shared" si="20"/>
        <v>0</v>
      </c>
      <c r="J263" s="472">
        <v>0</v>
      </c>
      <c r="K263" s="471">
        <f t="shared" si="24"/>
        <v>0</v>
      </c>
      <c r="L263" s="469">
        <f t="shared" si="22"/>
        <v>0</v>
      </c>
      <c r="M263" s="2439"/>
    </row>
    <row r="264" spans="1:13" s="251" customFormat="1" ht="14.25" customHeight="1">
      <c r="A264" s="498"/>
      <c r="B264" s="2445"/>
      <c r="C264" s="2455"/>
      <c r="D264" s="564" t="s">
        <v>308</v>
      </c>
      <c r="E264" s="471">
        <v>290</v>
      </c>
      <c r="F264" s="472">
        <v>1526</v>
      </c>
      <c r="G264" s="472"/>
      <c r="H264" s="472">
        <v>0</v>
      </c>
      <c r="I264" s="473">
        <f t="shared" si="20"/>
        <v>0</v>
      </c>
      <c r="J264" s="472">
        <v>0</v>
      </c>
      <c r="K264" s="471">
        <f t="shared" si="24"/>
        <v>0</v>
      </c>
      <c r="L264" s="469">
        <f t="shared" si="22"/>
        <v>0</v>
      </c>
      <c r="M264" s="2439"/>
    </row>
    <row r="265" spans="1:13" s="251" customFormat="1" ht="14.25" customHeight="1">
      <c r="A265" s="498"/>
      <c r="B265" s="2445"/>
      <c r="C265" s="2455"/>
      <c r="D265" s="564" t="s">
        <v>271</v>
      </c>
      <c r="E265" s="471">
        <v>408</v>
      </c>
      <c r="F265" s="472">
        <v>5129</v>
      </c>
      <c r="G265" s="472"/>
      <c r="H265" s="472">
        <v>1088</v>
      </c>
      <c r="I265" s="473">
        <f t="shared" si="20"/>
        <v>2.6666666666666665</v>
      </c>
      <c r="J265" s="472">
        <v>0</v>
      </c>
      <c r="K265" s="471">
        <f t="shared" si="24"/>
        <v>1088</v>
      </c>
      <c r="L265" s="469">
        <f t="shared" si="22"/>
        <v>2.6666666666666665</v>
      </c>
      <c r="M265" s="2439"/>
    </row>
    <row r="266" spans="1:13" s="251" customFormat="1" ht="14.25" customHeight="1">
      <c r="A266" s="498"/>
      <c r="B266" s="2445"/>
      <c r="C266" s="2455"/>
      <c r="D266" s="564" t="s">
        <v>272</v>
      </c>
      <c r="E266" s="471">
        <v>74</v>
      </c>
      <c r="F266" s="472">
        <v>933</v>
      </c>
      <c r="G266" s="472"/>
      <c r="H266" s="472">
        <v>197</v>
      </c>
      <c r="I266" s="473">
        <f t="shared" si="20"/>
        <v>2.6621621621621623</v>
      </c>
      <c r="J266" s="472">
        <v>0</v>
      </c>
      <c r="K266" s="471">
        <f t="shared" si="24"/>
        <v>197</v>
      </c>
      <c r="L266" s="469">
        <f t="shared" si="22"/>
        <v>2.6621621621621623</v>
      </c>
      <c r="M266" s="2439"/>
    </row>
    <row r="267" spans="1:13" s="251" customFormat="1" ht="14.25" customHeight="1">
      <c r="A267" s="498"/>
      <c r="B267" s="2445"/>
      <c r="C267" s="2455"/>
      <c r="D267" s="564" t="s">
        <v>309</v>
      </c>
      <c r="E267" s="471">
        <v>0</v>
      </c>
      <c r="F267" s="472">
        <v>108909</v>
      </c>
      <c r="G267" s="472"/>
      <c r="H267" s="472">
        <v>46927</v>
      </c>
      <c r="I267" s="473"/>
      <c r="J267" s="472">
        <v>0</v>
      </c>
      <c r="K267" s="471">
        <f t="shared" si="24"/>
        <v>46927</v>
      </c>
      <c r="L267" s="469"/>
      <c r="M267" s="2439"/>
    </row>
    <row r="268" spans="1:13" s="251" customFormat="1" ht="14.25" customHeight="1">
      <c r="A268" s="498"/>
      <c r="B268" s="2445"/>
      <c r="C268" s="2456"/>
      <c r="D268" s="564" t="s">
        <v>310</v>
      </c>
      <c r="E268" s="471">
        <v>0</v>
      </c>
      <c r="F268" s="472">
        <v>19911</v>
      </c>
      <c r="G268" s="472"/>
      <c r="H268" s="472">
        <v>8523</v>
      </c>
      <c r="I268" s="473"/>
      <c r="J268" s="472">
        <v>0</v>
      </c>
      <c r="K268" s="471">
        <f t="shared" si="24"/>
        <v>8523</v>
      </c>
      <c r="L268" s="469"/>
      <c r="M268" s="2439"/>
    </row>
    <row r="269" spans="1:13" s="251" customFormat="1" ht="11.25" customHeight="1">
      <c r="A269" s="498"/>
      <c r="B269" s="2445"/>
      <c r="C269" s="448" t="s">
        <v>26</v>
      </c>
      <c r="D269" s="449"/>
      <c r="E269" s="406"/>
      <c r="F269" s="263"/>
      <c r="G269" s="263"/>
      <c r="H269" s="263"/>
      <c r="I269" s="263"/>
      <c r="J269" s="263"/>
      <c r="K269" s="406"/>
      <c r="L269" s="469"/>
      <c r="M269" s="2439"/>
    </row>
    <row r="270" spans="1:13" s="251" customFormat="1" ht="11.25" customHeight="1">
      <c r="A270" s="498"/>
      <c r="B270" s="2445"/>
      <c r="C270" s="448" t="s">
        <v>27</v>
      </c>
      <c r="D270" s="449"/>
      <c r="E270" s="406"/>
      <c r="F270" s="263"/>
      <c r="G270" s="263"/>
      <c r="H270" s="263"/>
      <c r="I270" s="263"/>
      <c r="J270" s="263"/>
      <c r="K270" s="406"/>
      <c r="L270" s="469"/>
      <c r="M270" s="2439"/>
    </row>
    <row r="271" spans="1:13" s="251" customFormat="1" ht="13.5" customHeight="1">
      <c r="A271" s="498"/>
      <c r="B271" s="2445"/>
      <c r="C271" s="453" t="s">
        <v>28</v>
      </c>
      <c r="D271" s="446"/>
      <c r="E271" s="447">
        <f>SUM(E274)</f>
        <v>39710</v>
      </c>
      <c r="F271" s="261">
        <f>SUM(F274)</f>
        <v>39710</v>
      </c>
      <c r="G271" s="261"/>
      <c r="H271" s="261">
        <f>SUM(H274)</f>
        <v>16000</v>
      </c>
      <c r="I271" s="465">
        <f>H271/E271</f>
        <v>0.40292117854444726</v>
      </c>
      <c r="J271" s="261">
        <f>SUM(J274)</f>
        <v>32000</v>
      </c>
      <c r="K271" s="447">
        <f>SUM(K274)</f>
        <v>48000</v>
      </c>
      <c r="L271" s="466">
        <f t="shared" si="22"/>
        <v>1.2087635356333417</v>
      </c>
      <c r="M271" s="2439"/>
    </row>
    <row r="272" spans="1:13" s="251" customFormat="1" ht="11.25" hidden="1" customHeight="1">
      <c r="A272" s="498"/>
      <c r="B272" s="2445"/>
      <c r="C272" s="2054" t="s">
        <v>29</v>
      </c>
      <c r="D272" s="449" t="s">
        <v>22</v>
      </c>
      <c r="E272" s="406">
        <v>39710</v>
      </c>
      <c r="F272" s="263"/>
      <c r="G272" s="263"/>
      <c r="H272" s="263"/>
      <c r="I272" s="468">
        <f t="shared" ref="I272" si="25">H272/E272</f>
        <v>0</v>
      </c>
      <c r="J272" s="263"/>
      <c r="K272" s="406"/>
      <c r="L272" s="469">
        <f t="shared" si="22"/>
        <v>0</v>
      </c>
      <c r="M272" s="2439"/>
    </row>
    <row r="273" spans="1:13" s="251" customFormat="1" ht="11.25" hidden="1" customHeight="1" thickBot="1">
      <c r="A273" s="498"/>
      <c r="B273" s="2445"/>
      <c r="C273" s="2453"/>
      <c r="D273" s="536" t="s">
        <v>311</v>
      </c>
      <c r="E273" s="471">
        <v>0</v>
      </c>
      <c r="F273" s="472"/>
      <c r="G273" s="472"/>
      <c r="H273" s="472"/>
      <c r="I273" s="472"/>
      <c r="J273" s="472"/>
      <c r="K273" s="471"/>
      <c r="L273" s="469" t="e">
        <f t="shared" si="22"/>
        <v>#DIV/0!</v>
      </c>
      <c r="M273" s="2439"/>
    </row>
    <row r="274" spans="1:13" s="251" customFormat="1" ht="12.75" customHeight="1">
      <c r="A274" s="498"/>
      <c r="B274" s="2445"/>
      <c r="C274" s="2453"/>
      <c r="D274" s="567" t="s">
        <v>275</v>
      </c>
      <c r="E274" s="406">
        <v>39710</v>
      </c>
      <c r="F274" s="263">
        <v>39710</v>
      </c>
      <c r="G274" s="263"/>
      <c r="H274" s="263">
        <v>16000</v>
      </c>
      <c r="I274" s="468">
        <f t="shared" ref="I274" si="26">H274/E274</f>
        <v>0.40292117854444726</v>
      </c>
      <c r="J274" s="472">
        <v>32000</v>
      </c>
      <c r="K274" s="471">
        <f>SUM(H274,J274)</f>
        <v>48000</v>
      </c>
      <c r="L274" s="469">
        <f t="shared" si="22"/>
        <v>1.2087635356333417</v>
      </c>
      <c r="M274" s="2439"/>
    </row>
    <row r="275" spans="1:13" s="251" customFormat="1" ht="21.75" customHeight="1">
      <c r="A275" s="498"/>
      <c r="B275" s="2445"/>
      <c r="C275" s="451" t="s">
        <v>89</v>
      </c>
      <c r="D275" s="449"/>
      <c r="E275" s="406"/>
      <c r="F275" s="263"/>
      <c r="G275" s="263"/>
      <c r="H275" s="263"/>
      <c r="I275" s="263"/>
      <c r="J275" s="263"/>
      <c r="K275" s="406"/>
      <c r="L275" s="469"/>
      <c r="M275" s="2439"/>
    </row>
    <row r="276" spans="1:13" s="251" customFormat="1" ht="11.25" customHeight="1">
      <c r="A276" s="498"/>
      <c r="B276" s="2445"/>
      <c r="C276" s="448" t="s">
        <v>31</v>
      </c>
      <c r="D276" s="449"/>
      <c r="E276" s="406"/>
      <c r="F276" s="263"/>
      <c r="G276" s="263"/>
      <c r="H276" s="263"/>
      <c r="I276" s="263"/>
      <c r="J276" s="263"/>
      <c r="K276" s="406"/>
      <c r="L276" s="469"/>
      <c r="M276" s="2439"/>
    </row>
    <row r="277" spans="1:13" s="251" customFormat="1" ht="11.25" customHeight="1">
      <c r="A277" s="550"/>
      <c r="B277" s="2437"/>
      <c r="C277" s="448" t="s">
        <v>32</v>
      </c>
      <c r="D277" s="449"/>
      <c r="E277" s="483"/>
      <c r="F277" s="263"/>
      <c r="G277" s="263"/>
      <c r="H277" s="263"/>
      <c r="I277" s="263"/>
      <c r="J277" s="263"/>
      <c r="K277" s="406"/>
      <c r="L277" s="469"/>
      <c r="M277" s="2454"/>
    </row>
    <row r="278" spans="1:13" s="251" customFormat="1" ht="18" customHeight="1">
      <c r="A278" s="497"/>
      <c r="B278" s="1959" t="s">
        <v>312</v>
      </c>
      <c r="C278" s="443" t="s">
        <v>313</v>
      </c>
      <c r="D278" s="444"/>
      <c r="E278" s="445">
        <f>SUM(E279,E322)</f>
        <v>11760834</v>
      </c>
      <c r="F278" s="258">
        <f>SUM(F279,F322)</f>
        <v>12122656</v>
      </c>
      <c r="G278" s="258"/>
      <c r="H278" s="258">
        <f>SUM(H279,H322)</f>
        <v>11041358</v>
      </c>
      <c r="I278" s="464">
        <f>H278/E278</f>
        <v>0.93882440650042331</v>
      </c>
      <c r="J278" s="258">
        <f>SUM(J279,J322)</f>
        <v>0</v>
      </c>
      <c r="K278" s="445">
        <f>SUM(K279,K322)</f>
        <v>11041358</v>
      </c>
      <c r="L278" s="464">
        <f t="shared" si="22"/>
        <v>0.93882440650042331</v>
      </c>
      <c r="M278" s="2438" t="s">
        <v>314</v>
      </c>
    </row>
    <row r="279" spans="1:13" s="251" customFormat="1" ht="15" customHeight="1">
      <c r="A279" s="498"/>
      <c r="B279" s="2445"/>
      <c r="C279" s="268" t="s">
        <v>18</v>
      </c>
      <c r="D279" s="446"/>
      <c r="E279" s="447">
        <f>SUM(E280,E308:E309)</f>
        <v>11760834</v>
      </c>
      <c r="F279" s="261">
        <f>SUM(F280,F308:F309)</f>
        <v>12122656</v>
      </c>
      <c r="G279" s="261"/>
      <c r="H279" s="261">
        <f>SUM(H280,H308:H309)</f>
        <v>11014478</v>
      </c>
      <c r="I279" s="465">
        <f>H279/E279</f>
        <v>0.93653885430233941</v>
      </c>
      <c r="J279" s="261">
        <f>SUM(J280,J308:J309)</f>
        <v>0</v>
      </c>
      <c r="K279" s="447">
        <f>SUM(K280,K308:K309)</f>
        <v>11014478</v>
      </c>
      <c r="L279" s="466">
        <f t="shared" si="22"/>
        <v>0.93653885430233941</v>
      </c>
      <c r="M279" s="2439"/>
    </row>
    <row r="280" spans="1:13" s="251" customFormat="1" ht="13.5" customHeight="1">
      <c r="A280" s="498"/>
      <c r="B280" s="2445"/>
      <c r="C280" s="448" t="s">
        <v>19</v>
      </c>
      <c r="D280" s="449"/>
      <c r="E280" s="406">
        <f>SUM(E281,E290)</f>
        <v>11744638</v>
      </c>
      <c r="F280" s="263">
        <f>SUM(F281,F290)</f>
        <v>12060863</v>
      </c>
      <c r="G280" s="263"/>
      <c r="H280" s="263">
        <f>SUM(H281,H290)</f>
        <v>10998282</v>
      </c>
      <c r="I280" s="468">
        <f t="shared" ref="I280:I308" si="27">H280/E280</f>
        <v>0.93645134060326085</v>
      </c>
      <c r="J280" s="263">
        <f>SUM(J281,J290)</f>
        <v>0</v>
      </c>
      <c r="K280" s="406">
        <f>SUM(K281,K290)</f>
        <v>10998282</v>
      </c>
      <c r="L280" s="469">
        <f t="shared" si="22"/>
        <v>0.93645134060326085</v>
      </c>
      <c r="M280" s="2439"/>
    </row>
    <row r="281" spans="1:13" s="251" customFormat="1" ht="15" customHeight="1">
      <c r="A281" s="498"/>
      <c r="B281" s="2445"/>
      <c r="C281" s="2054" t="s">
        <v>20</v>
      </c>
      <c r="D281" s="449" t="s">
        <v>22</v>
      </c>
      <c r="E281" s="406">
        <f>SUM(E282:E289)</f>
        <v>8757294</v>
      </c>
      <c r="F281" s="263">
        <f>SUM(F282:F289)</f>
        <v>8779996</v>
      </c>
      <c r="G281" s="263"/>
      <c r="H281" s="263">
        <f>SUM(H282:H289)</f>
        <v>7346668</v>
      </c>
      <c r="I281" s="468">
        <f t="shared" si="27"/>
        <v>0.83891987639104038</v>
      </c>
      <c r="J281" s="263">
        <f>SUM(J282:J289)</f>
        <v>0</v>
      </c>
      <c r="K281" s="406">
        <f>SUM(K282:K289)</f>
        <v>7346668</v>
      </c>
      <c r="L281" s="469">
        <f t="shared" ref="L281:L344" si="28">K281/E281</f>
        <v>0.83891987639104038</v>
      </c>
      <c r="M281" s="2439"/>
    </row>
    <row r="282" spans="1:13" s="251" customFormat="1" ht="15" customHeight="1">
      <c r="A282" s="498"/>
      <c r="B282" s="2445"/>
      <c r="C282" s="2453"/>
      <c r="D282" s="536">
        <v>4010</v>
      </c>
      <c r="E282" s="471">
        <v>1340105</v>
      </c>
      <c r="F282" s="472">
        <v>1340105</v>
      </c>
      <c r="G282" s="472"/>
      <c r="H282" s="472">
        <v>0</v>
      </c>
      <c r="I282" s="473">
        <f t="shared" si="27"/>
        <v>0</v>
      </c>
      <c r="J282" s="472">
        <v>0</v>
      </c>
      <c r="K282" s="471">
        <f>SUM(H282,J282)</f>
        <v>0</v>
      </c>
      <c r="L282" s="469">
        <f t="shared" si="28"/>
        <v>0</v>
      </c>
      <c r="M282" s="2439"/>
    </row>
    <row r="283" spans="1:13" s="251" customFormat="1" ht="15" customHeight="1">
      <c r="A283" s="498"/>
      <c r="B283" s="2445"/>
      <c r="C283" s="2453"/>
      <c r="D283" s="536">
        <v>4040</v>
      </c>
      <c r="E283" s="471">
        <v>96286</v>
      </c>
      <c r="F283" s="472">
        <v>98482</v>
      </c>
      <c r="G283" s="472"/>
      <c r="H283" s="472">
        <v>0</v>
      </c>
      <c r="I283" s="473">
        <f t="shared" si="27"/>
        <v>0</v>
      </c>
      <c r="J283" s="472">
        <v>0</v>
      </c>
      <c r="K283" s="471">
        <f t="shared" ref="K283:K306" si="29">SUM(H283,J283)</f>
        <v>0</v>
      </c>
      <c r="L283" s="469">
        <f t="shared" si="28"/>
        <v>0</v>
      </c>
      <c r="M283" s="2439"/>
    </row>
    <row r="284" spans="1:13" s="251" customFormat="1" ht="15" customHeight="1">
      <c r="A284" s="498"/>
      <c r="B284" s="2445"/>
      <c r="C284" s="2453"/>
      <c r="D284" s="536">
        <v>4110</v>
      </c>
      <c r="E284" s="471">
        <v>1259727</v>
      </c>
      <c r="F284" s="472">
        <v>1260329</v>
      </c>
      <c r="G284" s="472"/>
      <c r="H284" s="472">
        <v>1009915</v>
      </c>
      <c r="I284" s="473">
        <f t="shared" si="27"/>
        <v>0.80169354153717431</v>
      </c>
      <c r="J284" s="472">
        <v>0</v>
      </c>
      <c r="K284" s="471">
        <f t="shared" si="29"/>
        <v>1009915</v>
      </c>
      <c r="L284" s="469">
        <f t="shared" si="28"/>
        <v>0.80169354153717431</v>
      </c>
      <c r="M284" s="2439"/>
    </row>
    <row r="285" spans="1:13" s="251" customFormat="1" ht="15" customHeight="1">
      <c r="A285" s="498"/>
      <c r="B285" s="2445"/>
      <c r="C285" s="2453"/>
      <c r="D285" s="536">
        <v>4120</v>
      </c>
      <c r="E285" s="471">
        <v>143923</v>
      </c>
      <c r="F285" s="472">
        <v>144009</v>
      </c>
      <c r="G285" s="472"/>
      <c r="H285" s="472">
        <v>143937</v>
      </c>
      <c r="I285" s="473">
        <f t="shared" si="27"/>
        <v>1.0000972742369183</v>
      </c>
      <c r="J285" s="472">
        <v>0</v>
      </c>
      <c r="K285" s="471">
        <f t="shared" si="29"/>
        <v>143937</v>
      </c>
      <c r="L285" s="469">
        <f t="shared" si="28"/>
        <v>1.0000972742369183</v>
      </c>
      <c r="M285" s="2439"/>
    </row>
    <row r="286" spans="1:13" s="251" customFormat="1" ht="15" customHeight="1">
      <c r="A286" s="498"/>
      <c r="B286" s="2445"/>
      <c r="C286" s="2453"/>
      <c r="D286" s="536">
        <v>4170</v>
      </c>
      <c r="E286" s="471">
        <v>17000</v>
      </c>
      <c r="F286" s="472">
        <v>17000</v>
      </c>
      <c r="G286" s="472"/>
      <c r="H286" s="472">
        <v>20000</v>
      </c>
      <c r="I286" s="473">
        <f t="shared" si="27"/>
        <v>1.1764705882352942</v>
      </c>
      <c r="J286" s="472">
        <v>0</v>
      </c>
      <c r="K286" s="471">
        <f t="shared" si="29"/>
        <v>20000</v>
      </c>
      <c r="L286" s="469">
        <f t="shared" si="28"/>
        <v>1.1764705882352942</v>
      </c>
      <c r="M286" s="2439"/>
    </row>
    <row r="287" spans="1:13" s="251" customFormat="1" ht="15" customHeight="1">
      <c r="A287" s="498"/>
      <c r="B287" s="2445"/>
      <c r="C287" s="2453"/>
      <c r="D287" s="474" t="s">
        <v>237</v>
      </c>
      <c r="E287" s="471">
        <v>23367</v>
      </c>
      <c r="F287" s="472">
        <v>23367</v>
      </c>
      <c r="G287" s="472"/>
      <c r="H287" s="472">
        <v>21000</v>
      </c>
      <c r="I287" s="473">
        <f t="shared" si="27"/>
        <v>0.89870329952497108</v>
      </c>
      <c r="J287" s="472">
        <v>0</v>
      </c>
      <c r="K287" s="471">
        <f t="shared" si="29"/>
        <v>21000</v>
      </c>
      <c r="L287" s="469">
        <f t="shared" si="28"/>
        <v>0.89870329952497108</v>
      </c>
      <c r="M287" s="2439"/>
    </row>
    <row r="288" spans="1:13" s="251" customFormat="1" ht="15" customHeight="1">
      <c r="A288" s="498"/>
      <c r="B288" s="2445"/>
      <c r="C288" s="2453"/>
      <c r="D288" s="568" t="s">
        <v>238</v>
      </c>
      <c r="E288" s="471">
        <v>5426176</v>
      </c>
      <c r="F288" s="472">
        <v>5460430</v>
      </c>
      <c r="G288" s="472"/>
      <c r="H288" s="472">
        <v>5691561</v>
      </c>
      <c r="I288" s="473">
        <f t="shared" si="27"/>
        <v>1.0489082919536705</v>
      </c>
      <c r="J288" s="472">
        <v>0</v>
      </c>
      <c r="K288" s="471">
        <f t="shared" si="29"/>
        <v>5691561</v>
      </c>
      <c r="L288" s="469">
        <f t="shared" si="28"/>
        <v>1.0489082919536705</v>
      </c>
      <c r="M288" s="2439"/>
    </row>
    <row r="289" spans="1:13" s="251" customFormat="1" ht="15" customHeight="1">
      <c r="A289" s="498"/>
      <c r="B289" s="2445"/>
      <c r="C289" s="2441"/>
      <c r="D289" s="568" t="s">
        <v>239</v>
      </c>
      <c r="E289" s="471">
        <v>450710</v>
      </c>
      <c r="F289" s="472">
        <v>436274</v>
      </c>
      <c r="G289" s="472"/>
      <c r="H289" s="472">
        <v>460255</v>
      </c>
      <c r="I289" s="473">
        <f t="shared" si="27"/>
        <v>1.0211776974107518</v>
      </c>
      <c r="J289" s="472">
        <v>0</v>
      </c>
      <c r="K289" s="471">
        <f t="shared" si="29"/>
        <v>460255</v>
      </c>
      <c r="L289" s="469">
        <f t="shared" si="28"/>
        <v>1.0211776974107518</v>
      </c>
      <c r="M289" s="2439"/>
    </row>
    <row r="290" spans="1:13" s="251" customFormat="1" ht="15" customHeight="1">
      <c r="A290" s="498"/>
      <c r="B290" s="2445"/>
      <c r="C290" s="2175" t="s">
        <v>21</v>
      </c>
      <c r="D290" s="482" t="s">
        <v>22</v>
      </c>
      <c r="E290" s="263">
        <f>SUM(E291:E306)</f>
        <v>2987344</v>
      </c>
      <c r="F290" s="263">
        <f>SUM(F291:F306)</f>
        <v>3280867</v>
      </c>
      <c r="G290" s="263"/>
      <c r="H290" s="263">
        <f>SUM(H291:H306)</f>
        <v>3651614</v>
      </c>
      <c r="I290" s="468">
        <f t="shared" si="27"/>
        <v>1.222361401967768</v>
      </c>
      <c r="J290" s="263">
        <f>SUM(J291:J306)</f>
        <v>0</v>
      </c>
      <c r="K290" s="406">
        <f>SUM(K291:K306)</f>
        <v>3651614</v>
      </c>
      <c r="L290" s="469">
        <f t="shared" si="28"/>
        <v>1.222361401967768</v>
      </c>
      <c r="M290" s="2439"/>
    </row>
    <row r="291" spans="1:13" s="251" customFormat="1" ht="15" customHeight="1">
      <c r="A291" s="498"/>
      <c r="B291" s="2445"/>
      <c r="C291" s="2455"/>
      <c r="D291" s="544" t="s">
        <v>240</v>
      </c>
      <c r="E291" s="471">
        <v>51780</v>
      </c>
      <c r="F291" s="472">
        <v>47450</v>
      </c>
      <c r="G291" s="472"/>
      <c r="H291" s="472">
        <v>0</v>
      </c>
      <c r="I291" s="473">
        <f t="shared" si="27"/>
        <v>0</v>
      </c>
      <c r="J291" s="472">
        <v>0</v>
      </c>
      <c r="K291" s="471">
        <f t="shared" si="29"/>
        <v>0</v>
      </c>
      <c r="L291" s="469">
        <f t="shared" si="28"/>
        <v>0</v>
      </c>
      <c r="M291" s="2439"/>
    </row>
    <row r="292" spans="1:13" s="251" customFormat="1" ht="15" customHeight="1">
      <c r="A292" s="498"/>
      <c r="B292" s="2445"/>
      <c r="C292" s="2455"/>
      <c r="D292" s="562" t="s">
        <v>232</v>
      </c>
      <c r="E292" s="471">
        <v>512980</v>
      </c>
      <c r="F292" s="472">
        <v>521880</v>
      </c>
      <c r="G292" s="472"/>
      <c r="H292" s="472">
        <v>653920</v>
      </c>
      <c r="I292" s="473">
        <f t="shared" si="27"/>
        <v>1.2747475535108581</v>
      </c>
      <c r="J292" s="472">
        <v>0</v>
      </c>
      <c r="K292" s="471">
        <f t="shared" si="29"/>
        <v>653920</v>
      </c>
      <c r="L292" s="469">
        <f t="shared" si="28"/>
        <v>1.2747475535108581</v>
      </c>
      <c r="M292" s="2439"/>
    </row>
    <row r="293" spans="1:13" s="251" customFormat="1" ht="15" customHeight="1">
      <c r="A293" s="498"/>
      <c r="B293" s="2445"/>
      <c r="C293" s="2455"/>
      <c r="D293" s="562" t="s">
        <v>315</v>
      </c>
      <c r="E293" s="471">
        <v>1000</v>
      </c>
      <c r="F293" s="472">
        <v>1000</v>
      </c>
      <c r="G293" s="472"/>
      <c r="H293" s="472">
        <v>0</v>
      </c>
      <c r="I293" s="473">
        <f t="shared" si="27"/>
        <v>0</v>
      </c>
      <c r="J293" s="472">
        <v>0</v>
      </c>
      <c r="K293" s="471">
        <f t="shared" si="29"/>
        <v>0</v>
      </c>
      <c r="L293" s="469">
        <f t="shared" si="28"/>
        <v>0</v>
      </c>
      <c r="M293" s="2439"/>
    </row>
    <row r="294" spans="1:13" s="251" customFormat="1" ht="15" customHeight="1">
      <c r="A294" s="498"/>
      <c r="B294" s="2445"/>
      <c r="C294" s="2455"/>
      <c r="D294" s="562" t="s">
        <v>241</v>
      </c>
      <c r="E294" s="471">
        <v>171000</v>
      </c>
      <c r="F294" s="472">
        <v>171000</v>
      </c>
      <c r="G294" s="472"/>
      <c r="H294" s="472">
        <v>207000</v>
      </c>
      <c r="I294" s="473">
        <f t="shared" si="27"/>
        <v>1.2105263157894737</v>
      </c>
      <c r="J294" s="472">
        <v>0</v>
      </c>
      <c r="K294" s="471">
        <f t="shared" si="29"/>
        <v>207000</v>
      </c>
      <c r="L294" s="469">
        <f t="shared" si="28"/>
        <v>1.2105263157894737</v>
      </c>
      <c r="M294" s="2439"/>
    </row>
    <row r="295" spans="1:13" s="251" customFormat="1" ht="15" customHeight="1">
      <c r="A295" s="498"/>
      <c r="B295" s="2445"/>
      <c r="C295" s="2455"/>
      <c r="D295" s="562" t="s">
        <v>242</v>
      </c>
      <c r="E295" s="471">
        <v>590837</v>
      </c>
      <c r="F295" s="472">
        <v>902447</v>
      </c>
      <c r="G295" s="472"/>
      <c r="H295" s="472">
        <v>658347</v>
      </c>
      <c r="I295" s="473">
        <f t="shared" si="27"/>
        <v>1.114261632226824</v>
      </c>
      <c r="J295" s="472">
        <v>0</v>
      </c>
      <c r="K295" s="471">
        <f t="shared" si="29"/>
        <v>658347</v>
      </c>
      <c r="L295" s="469">
        <f t="shared" si="28"/>
        <v>1.114261632226824</v>
      </c>
      <c r="M295" s="2439"/>
    </row>
    <row r="296" spans="1:13" s="251" customFormat="1" ht="15" customHeight="1">
      <c r="A296" s="498"/>
      <c r="B296" s="2445"/>
      <c r="C296" s="2455"/>
      <c r="D296" s="562" t="s">
        <v>243</v>
      </c>
      <c r="E296" s="471">
        <v>273500</v>
      </c>
      <c r="F296" s="472">
        <v>273500</v>
      </c>
      <c r="G296" s="472"/>
      <c r="H296" s="472">
        <v>623460</v>
      </c>
      <c r="I296" s="473">
        <f t="shared" si="27"/>
        <v>2.2795612431444243</v>
      </c>
      <c r="J296" s="472">
        <v>0</v>
      </c>
      <c r="K296" s="471">
        <f t="shared" si="29"/>
        <v>623460</v>
      </c>
      <c r="L296" s="469">
        <f t="shared" si="28"/>
        <v>2.2795612431444243</v>
      </c>
      <c r="M296" s="2439"/>
    </row>
    <row r="297" spans="1:13" s="251" customFormat="1" ht="15" customHeight="1">
      <c r="A297" s="498"/>
      <c r="B297" s="2445"/>
      <c r="C297" s="2455"/>
      <c r="D297" s="562" t="s">
        <v>244</v>
      </c>
      <c r="E297" s="471">
        <v>11210</v>
      </c>
      <c r="F297" s="472">
        <v>9310</v>
      </c>
      <c r="G297" s="472"/>
      <c r="H297" s="472">
        <v>7200</v>
      </c>
      <c r="I297" s="473">
        <f t="shared" si="27"/>
        <v>0.6422836752899197</v>
      </c>
      <c r="J297" s="472">
        <v>0</v>
      </c>
      <c r="K297" s="471">
        <f t="shared" si="29"/>
        <v>7200</v>
      </c>
      <c r="L297" s="469">
        <f t="shared" si="28"/>
        <v>0.6422836752899197</v>
      </c>
      <c r="M297" s="2439"/>
    </row>
    <row r="298" spans="1:13" s="251" customFormat="1" ht="15" customHeight="1">
      <c r="A298" s="498"/>
      <c r="B298" s="2445"/>
      <c r="C298" s="2455"/>
      <c r="D298" s="562" t="s">
        <v>222</v>
      </c>
      <c r="E298" s="471">
        <v>498034</v>
      </c>
      <c r="F298" s="472">
        <v>472399</v>
      </c>
      <c r="G298" s="472"/>
      <c r="H298" s="472">
        <v>733814</v>
      </c>
      <c r="I298" s="473">
        <f t="shared" si="27"/>
        <v>1.4734214933117016</v>
      </c>
      <c r="J298" s="472">
        <v>0</v>
      </c>
      <c r="K298" s="471">
        <f t="shared" si="29"/>
        <v>733814</v>
      </c>
      <c r="L298" s="469">
        <f t="shared" si="28"/>
        <v>1.4734214933117016</v>
      </c>
      <c r="M298" s="2439"/>
    </row>
    <row r="299" spans="1:13" s="251" customFormat="1" ht="15" customHeight="1">
      <c r="A299" s="498"/>
      <c r="B299" s="2445"/>
      <c r="C299" s="2455"/>
      <c r="D299" s="562" t="s">
        <v>245</v>
      </c>
      <c r="E299" s="471">
        <v>101381</v>
      </c>
      <c r="F299" s="472">
        <v>96981</v>
      </c>
      <c r="G299" s="472"/>
      <c r="H299" s="472">
        <v>99072</v>
      </c>
      <c r="I299" s="473">
        <f t="shared" si="27"/>
        <v>0.97722452925104308</v>
      </c>
      <c r="J299" s="472">
        <v>0</v>
      </c>
      <c r="K299" s="471">
        <f t="shared" si="29"/>
        <v>99072</v>
      </c>
      <c r="L299" s="469">
        <f t="shared" si="28"/>
        <v>0.97722452925104308</v>
      </c>
      <c r="M299" s="2439"/>
    </row>
    <row r="300" spans="1:13" s="251" customFormat="1" ht="15" customHeight="1">
      <c r="A300" s="498"/>
      <c r="B300" s="2445"/>
      <c r="C300" s="2455"/>
      <c r="D300" s="562" t="s">
        <v>246</v>
      </c>
      <c r="E300" s="471">
        <v>370777</v>
      </c>
      <c r="F300" s="472">
        <v>370777</v>
      </c>
      <c r="G300" s="472"/>
      <c r="H300" s="472">
        <v>290015</v>
      </c>
      <c r="I300" s="473">
        <f t="shared" si="27"/>
        <v>0.7821817426647284</v>
      </c>
      <c r="J300" s="472">
        <v>0</v>
      </c>
      <c r="K300" s="471">
        <f t="shared" si="29"/>
        <v>290015</v>
      </c>
      <c r="L300" s="469">
        <f t="shared" si="28"/>
        <v>0.7821817426647284</v>
      </c>
      <c r="M300" s="2439"/>
    </row>
    <row r="301" spans="1:13" s="251" customFormat="1" ht="15" customHeight="1">
      <c r="A301" s="498"/>
      <c r="B301" s="2445"/>
      <c r="C301" s="2455"/>
      <c r="D301" s="562" t="s">
        <v>247</v>
      </c>
      <c r="E301" s="471">
        <v>20218</v>
      </c>
      <c r="F301" s="472">
        <v>24218</v>
      </c>
      <c r="G301" s="472"/>
      <c r="H301" s="472">
        <v>19500</v>
      </c>
      <c r="I301" s="473">
        <f t="shared" si="27"/>
        <v>0.96448709071124739</v>
      </c>
      <c r="J301" s="472">
        <v>0</v>
      </c>
      <c r="K301" s="471">
        <f t="shared" si="29"/>
        <v>19500</v>
      </c>
      <c r="L301" s="469">
        <f t="shared" si="28"/>
        <v>0.96448709071124739</v>
      </c>
      <c r="M301" s="2439"/>
    </row>
    <row r="302" spans="1:13" s="251" customFormat="1" ht="15" customHeight="1">
      <c r="A302" s="498"/>
      <c r="B302" s="2445"/>
      <c r="C302" s="2455"/>
      <c r="D302" s="562" t="s">
        <v>248</v>
      </c>
      <c r="E302" s="471">
        <v>33800</v>
      </c>
      <c r="F302" s="472">
        <v>29300</v>
      </c>
      <c r="G302" s="472"/>
      <c r="H302" s="472">
        <v>32700</v>
      </c>
      <c r="I302" s="473">
        <f t="shared" si="27"/>
        <v>0.96745562130177509</v>
      </c>
      <c r="J302" s="472">
        <v>0</v>
      </c>
      <c r="K302" s="471">
        <f t="shared" si="29"/>
        <v>32700</v>
      </c>
      <c r="L302" s="469">
        <f t="shared" si="28"/>
        <v>0.96745562130177509</v>
      </c>
      <c r="M302" s="2439"/>
    </row>
    <row r="303" spans="1:13" s="251" customFormat="1" ht="15" customHeight="1">
      <c r="A303" s="498"/>
      <c r="B303" s="2445"/>
      <c r="C303" s="2455"/>
      <c r="D303" s="562" t="s">
        <v>249</v>
      </c>
      <c r="E303" s="471">
        <v>314977</v>
      </c>
      <c r="F303" s="472">
        <v>324755</v>
      </c>
      <c r="G303" s="472"/>
      <c r="H303" s="472">
        <v>283086</v>
      </c>
      <c r="I303" s="473">
        <f t="shared" si="27"/>
        <v>0.89875133739923863</v>
      </c>
      <c r="J303" s="472">
        <v>0</v>
      </c>
      <c r="K303" s="471">
        <f t="shared" si="29"/>
        <v>283086</v>
      </c>
      <c r="L303" s="469">
        <f t="shared" si="28"/>
        <v>0.89875133739923863</v>
      </c>
      <c r="M303" s="2439"/>
    </row>
    <row r="304" spans="1:13" s="251" customFormat="1" ht="15" customHeight="1">
      <c r="A304" s="498"/>
      <c r="B304" s="2445"/>
      <c r="C304" s="2455"/>
      <c r="D304" s="562" t="s">
        <v>264</v>
      </c>
      <c r="E304" s="471">
        <v>1800</v>
      </c>
      <c r="F304" s="472">
        <v>1800</v>
      </c>
      <c r="G304" s="472"/>
      <c r="H304" s="472">
        <v>10500</v>
      </c>
      <c r="I304" s="473">
        <f t="shared" si="27"/>
        <v>5.833333333333333</v>
      </c>
      <c r="J304" s="472">
        <v>0</v>
      </c>
      <c r="K304" s="471">
        <f t="shared" si="29"/>
        <v>10500</v>
      </c>
      <c r="L304" s="469">
        <f t="shared" si="28"/>
        <v>5.833333333333333</v>
      </c>
      <c r="M304" s="2439"/>
    </row>
    <row r="305" spans="1:13" s="251" customFormat="1" ht="15" customHeight="1">
      <c r="A305" s="498"/>
      <c r="B305" s="2445"/>
      <c r="C305" s="2455"/>
      <c r="D305" s="562" t="s">
        <v>282</v>
      </c>
      <c r="E305" s="471">
        <v>5000</v>
      </c>
      <c r="F305" s="472">
        <v>5000</v>
      </c>
      <c r="G305" s="472"/>
      <c r="H305" s="472">
        <v>2000</v>
      </c>
      <c r="I305" s="473">
        <f t="shared" si="27"/>
        <v>0.4</v>
      </c>
      <c r="J305" s="472">
        <v>0</v>
      </c>
      <c r="K305" s="471">
        <f t="shared" si="29"/>
        <v>2000</v>
      </c>
      <c r="L305" s="469">
        <f t="shared" si="28"/>
        <v>0.4</v>
      </c>
      <c r="M305" s="2439"/>
    </row>
    <row r="306" spans="1:13" s="251" customFormat="1" ht="15" customHeight="1">
      <c r="A306" s="498"/>
      <c r="B306" s="2445"/>
      <c r="C306" s="2455"/>
      <c r="D306" s="562" t="s">
        <v>250</v>
      </c>
      <c r="E306" s="471">
        <v>29050</v>
      </c>
      <c r="F306" s="472">
        <v>29050</v>
      </c>
      <c r="G306" s="472"/>
      <c r="H306" s="472">
        <v>31000</v>
      </c>
      <c r="I306" s="473">
        <f t="shared" si="27"/>
        <v>1.0671256454388984</v>
      </c>
      <c r="J306" s="472">
        <v>0</v>
      </c>
      <c r="K306" s="471">
        <f t="shared" si="29"/>
        <v>31000</v>
      </c>
      <c r="L306" s="469">
        <f t="shared" si="28"/>
        <v>1.0671256454388984</v>
      </c>
      <c r="M306" s="2439"/>
    </row>
    <row r="307" spans="1:13" s="251" customFormat="1" ht="16.5" customHeight="1">
      <c r="A307" s="498"/>
      <c r="B307" s="2445"/>
      <c r="C307" s="448" t="s">
        <v>23</v>
      </c>
      <c r="D307" s="449"/>
      <c r="E307" s="406"/>
      <c r="F307" s="263"/>
      <c r="G307" s="263"/>
      <c r="H307" s="263"/>
      <c r="I307" s="473"/>
      <c r="J307" s="263"/>
      <c r="K307" s="406"/>
      <c r="L307" s="469"/>
      <c r="M307" s="2439"/>
    </row>
    <row r="308" spans="1:13" s="251" customFormat="1" ht="18.75" customHeight="1">
      <c r="A308" s="498"/>
      <c r="B308" s="2445"/>
      <c r="C308" s="450" t="s">
        <v>24</v>
      </c>
      <c r="D308" s="449" t="s">
        <v>257</v>
      </c>
      <c r="E308" s="406">
        <v>16196</v>
      </c>
      <c r="F308" s="263">
        <v>16196</v>
      </c>
      <c r="G308" s="263"/>
      <c r="H308" s="263">
        <v>16196</v>
      </c>
      <c r="I308" s="468">
        <f t="shared" si="27"/>
        <v>1</v>
      </c>
      <c r="J308" s="263">
        <v>0</v>
      </c>
      <c r="K308" s="406">
        <f t="shared" ref="K308:K319" si="30">SUM(H308,J308)</f>
        <v>16196</v>
      </c>
      <c r="L308" s="469">
        <f t="shared" si="28"/>
        <v>1</v>
      </c>
      <c r="M308" s="2439"/>
    </row>
    <row r="309" spans="1:13" s="251" customFormat="1" ht="15.75" customHeight="1">
      <c r="A309" s="498"/>
      <c r="B309" s="2445"/>
      <c r="C309" s="2175" t="s">
        <v>25</v>
      </c>
      <c r="D309" s="569"/>
      <c r="E309" s="406">
        <f>SUM(E310:E319)</f>
        <v>0</v>
      </c>
      <c r="F309" s="263">
        <f>SUM(F310:F319)</f>
        <v>45597</v>
      </c>
      <c r="G309" s="263"/>
      <c r="H309" s="263">
        <f>SUM(H310:H319)</f>
        <v>0</v>
      </c>
      <c r="I309" s="473"/>
      <c r="J309" s="263">
        <f>SUM(J310:J319)</f>
        <v>0</v>
      </c>
      <c r="K309" s="406">
        <f>SUM(K310:K319)</f>
        <v>0</v>
      </c>
      <c r="L309" s="469"/>
      <c r="M309" s="2439"/>
    </row>
    <row r="310" spans="1:13" s="251" customFormat="1" ht="14.25" customHeight="1">
      <c r="A310" s="498"/>
      <c r="B310" s="537"/>
      <c r="C310" s="2455"/>
      <c r="D310" s="474" t="s">
        <v>285</v>
      </c>
      <c r="E310" s="471">
        <v>0</v>
      </c>
      <c r="F310" s="472">
        <v>1906</v>
      </c>
      <c r="G310" s="472"/>
      <c r="H310" s="472">
        <v>0</v>
      </c>
      <c r="I310" s="473"/>
      <c r="J310" s="472">
        <v>0</v>
      </c>
      <c r="K310" s="471">
        <f t="shared" si="30"/>
        <v>0</v>
      </c>
      <c r="L310" s="469"/>
      <c r="M310" s="2439"/>
    </row>
    <row r="311" spans="1:13" s="251" customFormat="1" ht="14.25" customHeight="1">
      <c r="A311" s="498"/>
      <c r="B311" s="537"/>
      <c r="C311" s="2455"/>
      <c r="D311" s="474" t="s">
        <v>286</v>
      </c>
      <c r="E311" s="471">
        <v>0</v>
      </c>
      <c r="F311" s="472">
        <v>356</v>
      </c>
      <c r="G311" s="472"/>
      <c r="H311" s="472">
        <v>0</v>
      </c>
      <c r="I311" s="473"/>
      <c r="J311" s="472">
        <v>0</v>
      </c>
      <c r="K311" s="471">
        <f t="shared" si="30"/>
        <v>0</v>
      </c>
      <c r="L311" s="469"/>
      <c r="M311" s="2439"/>
    </row>
    <row r="312" spans="1:13" s="251" customFormat="1" ht="14.25" customHeight="1">
      <c r="A312" s="550"/>
      <c r="B312" s="570"/>
      <c r="C312" s="2467"/>
      <c r="D312" s="474" t="s">
        <v>265</v>
      </c>
      <c r="E312" s="471">
        <v>0</v>
      </c>
      <c r="F312" s="472">
        <v>2842</v>
      </c>
      <c r="G312" s="472"/>
      <c r="H312" s="472">
        <v>0</v>
      </c>
      <c r="I312" s="473"/>
      <c r="J312" s="472">
        <v>0</v>
      </c>
      <c r="K312" s="471">
        <f t="shared" si="30"/>
        <v>0</v>
      </c>
      <c r="L312" s="469"/>
      <c r="M312" s="2454"/>
    </row>
    <row r="313" spans="1:13" s="251" customFormat="1" ht="14.25" customHeight="1">
      <c r="A313" s="497"/>
      <c r="B313" s="480"/>
      <c r="C313" s="571"/>
      <c r="D313" s="474" t="s">
        <v>266</v>
      </c>
      <c r="E313" s="471">
        <v>0</v>
      </c>
      <c r="F313" s="472">
        <v>530</v>
      </c>
      <c r="G313" s="472"/>
      <c r="H313" s="472">
        <v>0</v>
      </c>
      <c r="I313" s="473"/>
      <c r="J313" s="472">
        <v>0</v>
      </c>
      <c r="K313" s="471">
        <f t="shared" si="30"/>
        <v>0</v>
      </c>
      <c r="L313" s="469"/>
      <c r="M313" s="510"/>
    </row>
    <row r="314" spans="1:13" s="251" customFormat="1" ht="14.25" customHeight="1">
      <c r="A314" s="498"/>
      <c r="B314" s="537"/>
      <c r="C314" s="572"/>
      <c r="D314" s="474" t="s">
        <v>267</v>
      </c>
      <c r="E314" s="471">
        <v>0</v>
      </c>
      <c r="F314" s="472">
        <v>436</v>
      </c>
      <c r="G314" s="472"/>
      <c r="H314" s="472">
        <v>0</v>
      </c>
      <c r="I314" s="473"/>
      <c r="J314" s="472">
        <v>0</v>
      </c>
      <c r="K314" s="471">
        <f t="shared" si="30"/>
        <v>0</v>
      </c>
      <c r="L314" s="469"/>
      <c r="M314" s="505"/>
    </row>
    <row r="315" spans="1:13" s="251" customFormat="1" ht="14.25" customHeight="1">
      <c r="A315" s="498"/>
      <c r="B315" s="537"/>
      <c r="C315" s="572"/>
      <c r="D315" s="474" t="s">
        <v>268</v>
      </c>
      <c r="E315" s="471">
        <v>0</v>
      </c>
      <c r="F315" s="472">
        <v>81</v>
      </c>
      <c r="G315" s="472"/>
      <c r="H315" s="472">
        <v>0</v>
      </c>
      <c r="I315" s="473"/>
      <c r="J315" s="472">
        <v>0</v>
      </c>
      <c r="K315" s="471">
        <f t="shared" si="30"/>
        <v>0</v>
      </c>
      <c r="L315" s="469"/>
      <c r="M315" s="505"/>
    </row>
    <row r="316" spans="1:13" s="251" customFormat="1" ht="14.25" customHeight="1">
      <c r="A316" s="498"/>
      <c r="B316" s="537"/>
      <c r="C316" s="572"/>
      <c r="D316" s="474" t="s">
        <v>309</v>
      </c>
      <c r="E316" s="471">
        <v>0</v>
      </c>
      <c r="F316" s="472">
        <v>19768</v>
      </c>
      <c r="G316" s="472"/>
      <c r="H316" s="472">
        <v>0</v>
      </c>
      <c r="I316" s="473"/>
      <c r="J316" s="472">
        <v>0</v>
      </c>
      <c r="K316" s="471">
        <f t="shared" si="30"/>
        <v>0</v>
      </c>
      <c r="L316" s="469"/>
      <c r="M316" s="505"/>
    </row>
    <row r="317" spans="1:13" s="251" customFormat="1" ht="14.25" customHeight="1">
      <c r="A317" s="498"/>
      <c r="B317" s="537"/>
      <c r="C317" s="572"/>
      <c r="D317" s="474" t="s">
        <v>310</v>
      </c>
      <c r="E317" s="471">
        <v>0</v>
      </c>
      <c r="F317" s="472">
        <v>3687</v>
      </c>
      <c r="G317" s="472"/>
      <c r="H317" s="472">
        <v>0</v>
      </c>
      <c r="I317" s="473"/>
      <c r="J317" s="472">
        <v>0</v>
      </c>
      <c r="K317" s="471">
        <f t="shared" si="30"/>
        <v>0</v>
      </c>
      <c r="L317" s="469"/>
      <c r="M317" s="505"/>
    </row>
    <row r="318" spans="1:13" s="251" customFormat="1" ht="14.25" customHeight="1">
      <c r="A318" s="498"/>
      <c r="B318" s="537"/>
      <c r="C318" s="572"/>
      <c r="D318" s="474" t="s">
        <v>296</v>
      </c>
      <c r="E318" s="471">
        <v>0</v>
      </c>
      <c r="F318" s="472">
        <v>13477</v>
      </c>
      <c r="G318" s="472"/>
      <c r="H318" s="472">
        <v>0</v>
      </c>
      <c r="I318" s="473"/>
      <c r="J318" s="472">
        <v>0</v>
      </c>
      <c r="K318" s="471">
        <f t="shared" si="30"/>
        <v>0</v>
      </c>
      <c r="L318" s="469"/>
      <c r="M318" s="505"/>
    </row>
    <row r="319" spans="1:13" s="251" customFormat="1" ht="14.25" customHeight="1">
      <c r="A319" s="498"/>
      <c r="B319" s="537"/>
      <c r="C319" s="573"/>
      <c r="D319" s="474" t="s">
        <v>297</v>
      </c>
      <c r="E319" s="471">
        <v>0</v>
      </c>
      <c r="F319" s="472">
        <v>2514</v>
      </c>
      <c r="G319" s="472"/>
      <c r="H319" s="472">
        <v>0</v>
      </c>
      <c r="I319" s="473"/>
      <c r="J319" s="472">
        <v>0</v>
      </c>
      <c r="K319" s="471">
        <f t="shared" si="30"/>
        <v>0</v>
      </c>
      <c r="L319" s="469"/>
      <c r="M319" s="505"/>
    </row>
    <row r="320" spans="1:13" s="251" customFormat="1" ht="14.25" customHeight="1">
      <c r="A320" s="498"/>
      <c r="B320" s="2445" t="s">
        <v>312</v>
      </c>
      <c r="C320" s="448" t="s">
        <v>26</v>
      </c>
      <c r="D320" s="449"/>
      <c r="E320" s="406"/>
      <c r="F320" s="263"/>
      <c r="G320" s="263"/>
      <c r="H320" s="263"/>
      <c r="I320" s="263"/>
      <c r="J320" s="263"/>
      <c r="K320" s="406"/>
      <c r="L320" s="469"/>
      <c r="M320" s="505"/>
    </row>
    <row r="321" spans="1:13" s="251" customFormat="1" ht="15.75" customHeight="1">
      <c r="A321" s="498"/>
      <c r="B321" s="2445"/>
      <c r="C321" s="448" t="s">
        <v>27</v>
      </c>
      <c r="D321" s="449"/>
      <c r="E321" s="406"/>
      <c r="F321" s="263"/>
      <c r="G321" s="263"/>
      <c r="H321" s="263"/>
      <c r="I321" s="263"/>
      <c r="J321" s="263"/>
      <c r="K321" s="406"/>
      <c r="L321" s="469"/>
      <c r="M321" s="505"/>
    </row>
    <row r="322" spans="1:13" s="251" customFormat="1" ht="16.5" customHeight="1">
      <c r="A322" s="498"/>
      <c r="B322" s="2445"/>
      <c r="C322" s="574" t="s">
        <v>28</v>
      </c>
      <c r="D322" s="575"/>
      <c r="E322" s="520">
        <f>SUM(E323,E325,E326)</f>
        <v>0</v>
      </c>
      <c r="F322" s="520">
        <f t="shared" ref="F322:K322" si="31">SUM(F323,F325,F326)</f>
        <v>0</v>
      </c>
      <c r="G322" s="520"/>
      <c r="H322" s="576">
        <f t="shared" si="31"/>
        <v>26880</v>
      </c>
      <c r="I322" s="577"/>
      <c r="J322" s="520">
        <f t="shared" si="31"/>
        <v>0</v>
      </c>
      <c r="K322" s="520">
        <f t="shared" si="31"/>
        <v>26880</v>
      </c>
      <c r="L322" s="578"/>
      <c r="M322" s="2439" t="s">
        <v>316</v>
      </c>
    </row>
    <row r="323" spans="1:13" s="251" customFormat="1" ht="15" customHeight="1">
      <c r="A323" s="498"/>
      <c r="B323" s="2445"/>
      <c r="C323" s="450" t="s">
        <v>29</v>
      </c>
      <c r="D323" s="449" t="s">
        <v>275</v>
      </c>
      <c r="E323" s="406">
        <v>0</v>
      </c>
      <c r="F323" s="263">
        <v>0</v>
      </c>
      <c r="G323" s="263"/>
      <c r="H323" s="263">
        <v>26880</v>
      </c>
      <c r="I323" s="468"/>
      <c r="J323" s="263">
        <v>0</v>
      </c>
      <c r="K323" s="471">
        <f t="shared" ref="K323" si="32">SUM(H323,J323)</f>
        <v>26880</v>
      </c>
      <c r="L323" s="469"/>
      <c r="M323" s="2439"/>
    </row>
    <row r="324" spans="1:13" s="251" customFormat="1" ht="22.5">
      <c r="A324" s="498"/>
      <c r="B324" s="2445"/>
      <c r="C324" s="452" t="s">
        <v>36</v>
      </c>
      <c r="D324" s="449"/>
      <c r="E324" s="406"/>
      <c r="F324" s="263"/>
      <c r="G324" s="263"/>
      <c r="H324" s="263"/>
      <c r="I324" s="263"/>
      <c r="J324" s="263"/>
      <c r="K324" s="406"/>
      <c r="L324" s="469"/>
      <c r="M324" s="2439"/>
    </row>
    <row r="325" spans="1:13" s="251" customFormat="1" ht="15" customHeight="1">
      <c r="A325" s="498"/>
      <c r="B325" s="2445"/>
      <c r="C325" s="448" t="s">
        <v>31</v>
      </c>
      <c r="D325" s="449"/>
      <c r="E325" s="406"/>
      <c r="F325" s="263"/>
      <c r="G325" s="263"/>
      <c r="H325" s="263"/>
      <c r="I325" s="263"/>
      <c r="J325" s="263"/>
      <c r="K325" s="406"/>
      <c r="L325" s="469"/>
      <c r="M325" s="2439"/>
    </row>
    <row r="326" spans="1:13" s="251" customFormat="1" ht="15" customHeight="1">
      <c r="A326" s="498"/>
      <c r="B326" s="2445"/>
      <c r="C326" s="450" t="s">
        <v>32</v>
      </c>
      <c r="D326" s="454"/>
      <c r="E326" s="455"/>
      <c r="F326" s="579"/>
      <c r="G326" s="579"/>
      <c r="H326" s="579"/>
      <c r="I326" s="579"/>
      <c r="J326" s="579"/>
      <c r="K326" s="455"/>
      <c r="L326" s="580"/>
      <c r="M326" s="2439"/>
    </row>
    <row r="327" spans="1:13" s="251" customFormat="1" ht="14.25" customHeight="1">
      <c r="A327" s="497"/>
      <c r="B327" s="1959" t="s">
        <v>139</v>
      </c>
      <c r="C327" s="443" t="s">
        <v>17</v>
      </c>
      <c r="D327" s="444"/>
      <c r="E327" s="258">
        <f>SUM(E328,E366)</f>
        <v>1336969</v>
      </c>
      <c r="F327" s="258">
        <f>SUM(F328,F366)</f>
        <v>1933529</v>
      </c>
      <c r="G327" s="258"/>
      <c r="H327" s="258">
        <f>SUM(H328,H366)</f>
        <v>1658432</v>
      </c>
      <c r="I327" s="464">
        <f>H327/E327</f>
        <v>1.2404416257968585</v>
      </c>
      <c r="J327" s="258">
        <f>SUM(J328,J366)</f>
        <v>892863</v>
      </c>
      <c r="K327" s="445">
        <f>SUM(K328,K366)</f>
        <v>2551295</v>
      </c>
      <c r="L327" s="464">
        <f t="shared" si="28"/>
        <v>1.9082678805566919</v>
      </c>
      <c r="M327" s="2438" t="s">
        <v>628</v>
      </c>
    </row>
    <row r="328" spans="1:13" s="251" customFormat="1" ht="21.75" customHeight="1">
      <c r="A328" s="498"/>
      <c r="B328" s="2445"/>
      <c r="C328" s="268" t="s">
        <v>18</v>
      </c>
      <c r="D328" s="446"/>
      <c r="E328" s="261">
        <f>SUM(E329,E347:E348,E352,E364:E365)</f>
        <v>1336969</v>
      </c>
      <c r="F328" s="261">
        <f>SUM(F329,F347:F348,F352,F364:F365)</f>
        <v>1933529</v>
      </c>
      <c r="G328" s="261"/>
      <c r="H328" s="261">
        <f>SUM(H329,H347:H348,H352,H364:H365)</f>
        <v>1658432</v>
      </c>
      <c r="I328" s="465">
        <f>H328/E328</f>
        <v>1.2404416257968585</v>
      </c>
      <c r="J328" s="261">
        <f>SUM(J329,J347:J348,J352,J364:J365)</f>
        <v>892863</v>
      </c>
      <c r="K328" s="447">
        <f>SUM(K329,K347:K348,K352,K364:K365)</f>
        <v>2551295</v>
      </c>
      <c r="L328" s="466">
        <f t="shared" si="28"/>
        <v>1.9082678805566919</v>
      </c>
      <c r="M328" s="2439"/>
    </row>
    <row r="329" spans="1:13" s="251" customFormat="1" ht="13.5" customHeight="1">
      <c r="A329" s="498"/>
      <c r="B329" s="2445"/>
      <c r="C329" s="448" t="s">
        <v>19</v>
      </c>
      <c r="D329" s="449"/>
      <c r="E329" s="263">
        <f>SUM(E330,E339)</f>
        <v>713320</v>
      </c>
      <c r="F329" s="263">
        <f>SUM(F330,F339)</f>
        <v>1244510</v>
      </c>
      <c r="G329" s="263"/>
      <c r="H329" s="263">
        <f>SUM(H330,H339)</f>
        <v>937583</v>
      </c>
      <c r="I329" s="468">
        <f t="shared" ref="I329:I351" si="33">H329/E329</f>
        <v>1.3143932596870969</v>
      </c>
      <c r="J329" s="263">
        <f>SUM(J330,J339)</f>
        <v>0</v>
      </c>
      <c r="K329" s="406">
        <f>SUM(K330,K339)</f>
        <v>937583</v>
      </c>
      <c r="L329" s="469">
        <f t="shared" si="28"/>
        <v>1.3143932596870969</v>
      </c>
      <c r="M329" s="2439"/>
    </row>
    <row r="330" spans="1:13" s="251" customFormat="1" ht="14.25" customHeight="1">
      <c r="A330" s="498"/>
      <c r="B330" s="2445"/>
      <c r="C330" s="2054" t="s">
        <v>20</v>
      </c>
      <c r="D330" s="449" t="s">
        <v>22</v>
      </c>
      <c r="E330" s="263">
        <f>SUM(E331:E338)</f>
        <v>3300</v>
      </c>
      <c r="F330" s="263">
        <f>SUM(F331:F338)</f>
        <v>77489</v>
      </c>
      <c r="G330" s="263"/>
      <c r="H330" s="263">
        <f>SUM(H331:H338)</f>
        <v>4400</v>
      </c>
      <c r="I330" s="468">
        <f t="shared" si="33"/>
        <v>1.3333333333333333</v>
      </c>
      <c r="J330" s="263">
        <f>SUM(J331:J338)</f>
        <v>0</v>
      </c>
      <c r="K330" s="406">
        <f>SUM(K331:K338)</f>
        <v>4400</v>
      </c>
      <c r="L330" s="469">
        <f t="shared" si="28"/>
        <v>1.3333333333333333</v>
      </c>
      <c r="M330" s="2439"/>
    </row>
    <row r="331" spans="1:13" s="251" customFormat="1" ht="14.25" customHeight="1">
      <c r="A331" s="498"/>
      <c r="B331" s="2445"/>
      <c r="C331" s="2453"/>
      <c r="D331" s="474" t="s">
        <v>278</v>
      </c>
      <c r="E331" s="471">
        <v>0</v>
      </c>
      <c r="F331" s="472">
        <v>19160</v>
      </c>
      <c r="G331" s="472"/>
      <c r="H331" s="472">
        <v>0</v>
      </c>
      <c r="I331" s="473"/>
      <c r="J331" s="472">
        <v>0</v>
      </c>
      <c r="K331" s="471">
        <f t="shared" ref="K331:K337" si="34">SUM(H331,J331)</f>
        <v>0</v>
      </c>
      <c r="L331" s="469"/>
      <c r="M331" s="2439"/>
    </row>
    <row r="332" spans="1:13" s="251" customFormat="1" ht="14.25" customHeight="1">
      <c r="A332" s="498"/>
      <c r="B332" s="2445"/>
      <c r="C332" s="2453"/>
      <c r="D332" s="474" t="s">
        <v>280</v>
      </c>
      <c r="E332" s="471">
        <v>0</v>
      </c>
      <c r="F332" s="472">
        <v>7326</v>
      </c>
      <c r="G332" s="472"/>
      <c r="H332" s="472">
        <v>0</v>
      </c>
      <c r="I332" s="473"/>
      <c r="J332" s="472">
        <v>0</v>
      </c>
      <c r="K332" s="471">
        <f t="shared" si="34"/>
        <v>0</v>
      </c>
      <c r="L332" s="469"/>
      <c r="M332" s="2439"/>
    </row>
    <row r="333" spans="1:13" s="251" customFormat="1" ht="14.25" customHeight="1">
      <c r="A333" s="498"/>
      <c r="B333" s="2445"/>
      <c r="C333" s="2453"/>
      <c r="D333" s="474" t="s">
        <v>281</v>
      </c>
      <c r="E333" s="471">
        <v>0</v>
      </c>
      <c r="F333" s="472">
        <v>887</v>
      </c>
      <c r="G333" s="472"/>
      <c r="H333" s="472">
        <v>0</v>
      </c>
      <c r="I333" s="473"/>
      <c r="J333" s="472">
        <v>0</v>
      </c>
      <c r="K333" s="471">
        <f t="shared" si="34"/>
        <v>0</v>
      </c>
      <c r="L333" s="469"/>
      <c r="M333" s="2439"/>
    </row>
    <row r="334" spans="1:13" s="251" customFormat="1" ht="14.25" customHeight="1">
      <c r="A334" s="498"/>
      <c r="B334" s="2445"/>
      <c r="C334" s="2453"/>
      <c r="D334" s="474" t="s">
        <v>236</v>
      </c>
      <c r="E334" s="471">
        <v>3300</v>
      </c>
      <c r="F334" s="472">
        <v>31300</v>
      </c>
      <c r="G334" s="472"/>
      <c r="H334" s="472">
        <f>4400</f>
        <v>4400</v>
      </c>
      <c r="I334" s="473">
        <f t="shared" si="33"/>
        <v>1.3333333333333333</v>
      </c>
      <c r="J334" s="472">
        <v>0</v>
      </c>
      <c r="K334" s="471">
        <f t="shared" si="34"/>
        <v>4400</v>
      </c>
      <c r="L334" s="469">
        <f t="shared" si="28"/>
        <v>1.3333333333333333</v>
      </c>
      <c r="M334" s="2439"/>
    </row>
    <row r="335" spans="1:13" s="251" customFormat="1" ht="14.25" customHeight="1">
      <c r="A335" s="498"/>
      <c r="B335" s="2445"/>
      <c r="C335" s="2453"/>
      <c r="D335" s="474" t="s">
        <v>237</v>
      </c>
      <c r="E335" s="471">
        <v>0</v>
      </c>
      <c r="F335" s="472">
        <v>265</v>
      </c>
      <c r="G335" s="472"/>
      <c r="H335" s="472">
        <v>0</v>
      </c>
      <c r="I335" s="473"/>
      <c r="J335" s="472">
        <v>0</v>
      </c>
      <c r="K335" s="471">
        <f t="shared" si="34"/>
        <v>0</v>
      </c>
      <c r="L335" s="469"/>
      <c r="M335" s="2439"/>
    </row>
    <row r="336" spans="1:13" s="251" customFormat="1" ht="15" hidden="1" customHeight="1">
      <c r="A336" s="498"/>
      <c r="B336" s="2445"/>
      <c r="C336" s="2453"/>
      <c r="D336" s="474" t="s">
        <v>317</v>
      </c>
      <c r="E336" s="471">
        <v>0</v>
      </c>
      <c r="F336" s="472"/>
      <c r="G336" s="472"/>
      <c r="H336" s="472"/>
      <c r="I336" s="473"/>
      <c r="J336" s="472"/>
      <c r="K336" s="471">
        <f t="shared" si="34"/>
        <v>0</v>
      </c>
      <c r="L336" s="469"/>
      <c r="M336" s="2439"/>
    </row>
    <row r="337" spans="1:13" s="251" customFormat="1" ht="14.25" customHeight="1">
      <c r="A337" s="498"/>
      <c r="B337" s="2445"/>
      <c r="C337" s="2453"/>
      <c r="D337" s="536" t="s">
        <v>238</v>
      </c>
      <c r="E337" s="581">
        <v>0</v>
      </c>
      <c r="F337" s="472">
        <v>18551</v>
      </c>
      <c r="G337" s="472"/>
      <c r="H337" s="472">
        <v>0</v>
      </c>
      <c r="I337" s="473"/>
      <c r="J337" s="472">
        <v>0</v>
      </c>
      <c r="K337" s="471">
        <f t="shared" si="34"/>
        <v>0</v>
      </c>
      <c r="L337" s="469"/>
      <c r="M337" s="2439"/>
    </row>
    <row r="338" spans="1:13" s="251" customFormat="1" ht="14.25" hidden="1" customHeight="1">
      <c r="A338" s="498"/>
      <c r="B338" s="2445"/>
      <c r="C338" s="2056"/>
      <c r="D338" s="582">
        <v>4850</v>
      </c>
      <c r="E338" s="583">
        <v>0</v>
      </c>
      <c r="F338" s="472"/>
      <c r="G338" s="472"/>
      <c r="H338" s="472"/>
      <c r="I338" s="473" t="e">
        <f t="shared" si="33"/>
        <v>#DIV/0!</v>
      </c>
      <c r="J338" s="472"/>
      <c r="K338" s="471"/>
      <c r="L338" s="469" t="e">
        <f t="shared" si="28"/>
        <v>#DIV/0!</v>
      </c>
      <c r="M338" s="2439"/>
    </row>
    <row r="339" spans="1:13" s="251" customFormat="1" ht="14.25" customHeight="1">
      <c r="A339" s="498"/>
      <c r="B339" s="2445"/>
      <c r="C339" s="2175" t="s">
        <v>21</v>
      </c>
      <c r="D339" s="449" t="s">
        <v>22</v>
      </c>
      <c r="E339" s="263">
        <f>SUM(E340:E346)</f>
        <v>710020</v>
      </c>
      <c r="F339" s="263">
        <f>SUM(F340:F346)</f>
        <v>1167021</v>
      </c>
      <c r="G339" s="263"/>
      <c r="H339" s="263">
        <f>SUM(H340:H346)</f>
        <v>933183</v>
      </c>
      <c r="I339" s="468">
        <f t="shared" si="33"/>
        <v>1.3143052308385679</v>
      </c>
      <c r="J339" s="263">
        <f>SUM(J340:J346)</f>
        <v>0</v>
      </c>
      <c r="K339" s="406">
        <f>SUM(K340:K346)</f>
        <v>933183</v>
      </c>
      <c r="L339" s="469">
        <f t="shared" si="28"/>
        <v>1.3143052308385679</v>
      </c>
      <c r="M339" s="2439"/>
    </row>
    <row r="340" spans="1:13" s="251" customFormat="1" ht="14.25" customHeight="1">
      <c r="A340" s="498"/>
      <c r="B340" s="2445"/>
      <c r="C340" s="2455"/>
      <c r="D340" s="474">
        <v>4210</v>
      </c>
      <c r="E340" s="471">
        <v>2000</v>
      </c>
      <c r="F340" s="472">
        <v>206888</v>
      </c>
      <c r="G340" s="472"/>
      <c r="H340" s="472">
        <f>150000+2000</f>
        <v>152000</v>
      </c>
      <c r="I340" s="473">
        <f t="shared" si="33"/>
        <v>76</v>
      </c>
      <c r="J340" s="472">
        <v>0</v>
      </c>
      <c r="K340" s="471">
        <f t="shared" ref="K340:K346" si="35">SUM(H340,J340)</f>
        <v>152000</v>
      </c>
      <c r="L340" s="565">
        <f t="shared" si="28"/>
        <v>76</v>
      </c>
      <c r="M340" s="2439"/>
    </row>
    <row r="341" spans="1:13" s="251" customFormat="1" ht="14.25" customHeight="1">
      <c r="A341" s="498"/>
      <c r="B341" s="2445"/>
      <c r="C341" s="2455"/>
      <c r="D341" s="474" t="s">
        <v>315</v>
      </c>
      <c r="E341" s="471">
        <v>0</v>
      </c>
      <c r="F341" s="472">
        <v>51243</v>
      </c>
      <c r="G341" s="472"/>
      <c r="H341" s="472">
        <v>0</v>
      </c>
      <c r="I341" s="473"/>
      <c r="J341" s="472">
        <v>0</v>
      </c>
      <c r="K341" s="471">
        <f t="shared" si="35"/>
        <v>0</v>
      </c>
      <c r="L341" s="469"/>
      <c r="M341" s="2439"/>
    </row>
    <row r="342" spans="1:13" s="251" customFormat="1" ht="14.25" customHeight="1">
      <c r="A342" s="498"/>
      <c r="B342" s="2445"/>
      <c r="C342" s="2455"/>
      <c r="D342" s="474" t="s">
        <v>241</v>
      </c>
      <c r="E342" s="471">
        <v>0</v>
      </c>
      <c r="F342" s="472">
        <v>23190</v>
      </c>
      <c r="G342" s="472"/>
      <c r="H342" s="472">
        <v>0</v>
      </c>
      <c r="I342" s="473"/>
      <c r="J342" s="472">
        <v>0</v>
      </c>
      <c r="K342" s="471">
        <f t="shared" si="35"/>
        <v>0</v>
      </c>
      <c r="L342" s="469"/>
      <c r="M342" s="2439"/>
    </row>
    <row r="343" spans="1:13" s="251" customFormat="1" ht="14.25" customHeight="1">
      <c r="A343" s="498"/>
      <c r="B343" s="2445"/>
      <c r="C343" s="2455"/>
      <c r="D343" s="474">
        <v>4300</v>
      </c>
      <c r="E343" s="471">
        <v>26000</v>
      </c>
      <c r="F343" s="472">
        <v>200038</v>
      </c>
      <c r="G343" s="472"/>
      <c r="H343" s="472">
        <v>31100</v>
      </c>
      <c r="I343" s="473">
        <f t="shared" si="33"/>
        <v>1.1961538461538461</v>
      </c>
      <c r="J343" s="472">
        <v>0</v>
      </c>
      <c r="K343" s="471">
        <f t="shared" si="35"/>
        <v>31100</v>
      </c>
      <c r="L343" s="469">
        <f t="shared" si="28"/>
        <v>1.1961538461538461</v>
      </c>
      <c r="M343" s="2439"/>
    </row>
    <row r="344" spans="1:13" s="251" customFormat="1" ht="14.25" hidden="1" customHeight="1">
      <c r="A344" s="498"/>
      <c r="B344" s="2445"/>
      <c r="C344" s="2455"/>
      <c r="D344" s="474" t="s">
        <v>318</v>
      </c>
      <c r="E344" s="471">
        <v>0</v>
      </c>
      <c r="F344" s="472"/>
      <c r="G344" s="472"/>
      <c r="H344" s="472"/>
      <c r="I344" s="473" t="e">
        <f t="shared" si="33"/>
        <v>#DIV/0!</v>
      </c>
      <c r="J344" s="472"/>
      <c r="K344" s="471">
        <f t="shared" si="35"/>
        <v>0</v>
      </c>
      <c r="L344" s="469" t="e">
        <f t="shared" si="28"/>
        <v>#DIV/0!</v>
      </c>
      <c r="M344" s="2439"/>
    </row>
    <row r="345" spans="1:13" s="251" customFormat="1" ht="14.25" customHeight="1">
      <c r="A345" s="498"/>
      <c r="B345" s="2445"/>
      <c r="C345" s="2455"/>
      <c r="D345" s="474" t="s">
        <v>248</v>
      </c>
      <c r="E345" s="471">
        <v>0</v>
      </c>
      <c r="F345" s="472">
        <v>925</v>
      </c>
      <c r="G345" s="472"/>
      <c r="H345" s="472">
        <v>0</v>
      </c>
      <c r="I345" s="473"/>
      <c r="J345" s="472">
        <v>0</v>
      </c>
      <c r="K345" s="471">
        <f t="shared" si="35"/>
        <v>0</v>
      </c>
      <c r="L345" s="469"/>
      <c r="M345" s="2439"/>
    </row>
    <row r="346" spans="1:13" s="251" customFormat="1" ht="14.25" customHeight="1">
      <c r="A346" s="498"/>
      <c r="B346" s="2445"/>
      <c r="C346" s="2467"/>
      <c r="D346" s="474">
        <v>4440</v>
      </c>
      <c r="E346" s="471">
        <v>682020</v>
      </c>
      <c r="F346" s="472">
        <v>684737</v>
      </c>
      <c r="G346" s="472"/>
      <c r="H346" s="472">
        <v>750083</v>
      </c>
      <c r="I346" s="473">
        <f t="shared" si="33"/>
        <v>1.09979619366001</v>
      </c>
      <c r="J346" s="472">
        <v>0</v>
      </c>
      <c r="K346" s="471">
        <f t="shared" si="35"/>
        <v>750083</v>
      </c>
      <c r="L346" s="469">
        <f t="shared" ref="L346:L409" si="36">K346/E346</f>
        <v>1.09979619366001</v>
      </c>
      <c r="M346" s="2439"/>
    </row>
    <row r="347" spans="1:13" s="251" customFormat="1" ht="14.25" customHeight="1">
      <c r="A347" s="498"/>
      <c r="B347" s="2445"/>
      <c r="C347" s="450" t="s">
        <v>23</v>
      </c>
      <c r="D347" s="449"/>
      <c r="E347" s="471"/>
      <c r="F347" s="472"/>
      <c r="G347" s="472"/>
      <c r="H347" s="472"/>
      <c r="I347" s="473"/>
      <c r="J347" s="472"/>
      <c r="K347" s="471"/>
      <c r="L347" s="469"/>
      <c r="M347" s="2439"/>
    </row>
    <row r="348" spans="1:13" s="251" customFormat="1" ht="14.25" customHeight="1">
      <c r="A348" s="498"/>
      <c r="B348" s="2445"/>
      <c r="C348" s="2054" t="s">
        <v>24</v>
      </c>
      <c r="D348" s="449" t="s">
        <v>22</v>
      </c>
      <c r="E348" s="263">
        <f>SUM(E349:E351)</f>
        <v>623649</v>
      </c>
      <c r="F348" s="263">
        <f>SUM(F349:F351)</f>
        <v>623649</v>
      </c>
      <c r="G348" s="263"/>
      <c r="H348" s="263">
        <f>SUM(H349:H351)</f>
        <v>685000</v>
      </c>
      <c r="I348" s="468">
        <f t="shared" si="33"/>
        <v>1.0983742457696557</v>
      </c>
      <c r="J348" s="263">
        <f>SUM(J349:J351)</f>
        <v>0</v>
      </c>
      <c r="K348" s="406">
        <f>SUM(K349:K351)</f>
        <v>685000</v>
      </c>
      <c r="L348" s="469">
        <f t="shared" si="36"/>
        <v>1.0983742457696557</v>
      </c>
      <c r="M348" s="2439"/>
    </row>
    <row r="349" spans="1:13" s="251" customFormat="1" ht="14.25" customHeight="1">
      <c r="A349" s="498"/>
      <c r="B349" s="2445"/>
      <c r="C349" s="2453"/>
      <c r="D349" s="474">
        <v>3020</v>
      </c>
      <c r="E349" s="471">
        <v>46849</v>
      </c>
      <c r="F349" s="472">
        <v>46849</v>
      </c>
      <c r="G349" s="472"/>
      <c r="H349" s="472"/>
      <c r="I349" s="473">
        <f t="shared" si="33"/>
        <v>0</v>
      </c>
      <c r="J349" s="472">
        <v>0</v>
      </c>
      <c r="K349" s="471">
        <f t="shared" ref="K349:K363" si="37">SUM(H349,J349)</f>
        <v>0</v>
      </c>
      <c r="L349" s="469">
        <f t="shared" si="36"/>
        <v>0</v>
      </c>
      <c r="M349" s="2439"/>
    </row>
    <row r="350" spans="1:13" s="251" customFormat="1" ht="14.25" customHeight="1">
      <c r="A350" s="498"/>
      <c r="B350" s="2445"/>
      <c r="C350" s="2453"/>
      <c r="D350" s="474">
        <v>3040</v>
      </c>
      <c r="E350" s="471">
        <v>150000</v>
      </c>
      <c r="F350" s="472">
        <v>150000</v>
      </c>
      <c r="G350" s="472"/>
      <c r="H350" s="472">
        <v>185000</v>
      </c>
      <c r="I350" s="473">
        <f t="shared" si="33"/>
        <v>1.2333333333333334</v>
      </c>
      <c r="J350" s="472">
        <v>0</v>
      </c>
      <c r="K350" s="471">
        <f t="shared" si="37"/>
        <v>185000</v>
      </c>
      <c r="L350" s="469">
        <f t="shared" si="36"/>
        <v>1.2333333333333334</v>
      </c>
      <c r="M350" s="2439"/>
    </row>
    <row r="351" spans="1:13" s="251" customFormat="1" ht="14.25" customHeight="1">
      <c r="A351" s="550"/>
      <c r="B351" s="1961"/>
      <c r="C351" s="2056"/>
      <c r="D351" s="474">
        <v>3240</v>
      </c>
      <c r="E351" s="471">
        <v>426800</v>
      </c>
      <c r="F351" s="472">
        <v>426800</v>
      </c>
      <c r="G351" s="472"/>
      <c r="H351" s="472">
        <v>500000</v>
      </c>
      <c r="I351" s="473">
        <f t="shared" si="33"/>
        <v>1.1715089034676665</v>
      </c>
      <c r="J351" s="472">
        <v>0</v>
      </c>
      <c r="K351" s="471">
        <f t="shared" si="37"/>
        <v>500000</v>
      </c>
      <c r="L351" s="469">
        <f t="shared" si="36"/>
        <v>1.1715089034676665</v>
      </c>
      <c r="M351" s="2454"/>
    </row>
    <row r="352" spans="1:13" s="251" customFormat="1" ht="15" customHeight="1">
      <c r="A352" s="497"/>
      <c r="B352" s="480"/>
      <c r="C352" s="2175" t="s">
        <v>90</v>
      </c>
      <c r="D352" s="449" t="s">
        <v>22</v>
      </c>
      <c r="E352" s="263">
        <f>SUM(E353:E363)</f>
        <v>0</v>
      </c>
      <c r="F352" s="263">
        <f>SUM(F353:F363)</f>
        <v>65370</v>
      </c>
      <c r="G352" s="263"/>
      <c r="H352" s="263">
        <f>SUM(H353:H363)</f>
        <v>35849</v>
      </c>
      <c r="I352" s="473"/>
      <c r="J352" s="263">
        <f>SUM(J353:J363)</f>
        <v>892863</v>
      </c>
      <c r="K352" s="406">
        <f>SUM(K353:K363)</f>
        <v>928712</v>
      </c>
      <c r="L352" s="469"/>
      <c r="M352" s="2438" t="s">
        <v>629</v>
      </c>
    </row>
    <row r="353" spans="1:13" s="251" customFormat="1" ht="12.75" customHeight="1">
      <c r="A353" s="498"/>
      <c r="B353" s="537"/>
      <c r="C353" s="2455"/>
      <c r="D353" s="474" t="s">
        <v>319</v>
      </c>
      <c r="E353" s="471">
        <v>0</v>
      </c>
      <c r="F353" s="472">
        <v>7200</v>
      </c>
      <c r="G353" s="472"/>
      <c r="H353" s="472">
        <v>7200</v>
      </c>
      <c r="I353" s="473"/>
      <c r="J353" s="472">
        <v>80000</v>
      </c>
      <c r="K353" s="471">
        <f t="shared" si="37"/>
        <v>87200</v>
      </c>
      <c r="L353" s="469"/>
      <c r="M353" s="2439"/>
    </row>
    <row r="354" spans="1:13" s="251" customFormat="1" ht="12.75" customHeight="1">
      <c r="A354" s="498"/>
      <c r="B354" s="537"/>
      <c r="C354" s="2455"/>
      <c r="D354" s="474" t="s">
        <v>320</v>
      </c>
      <c r="E354" s="471">
        <v>0</v>
      </c>
      <c r="F354" s="472">
        <v>4014</v>
      </c>
      <c r="G354" s="472"/>
      <c r="H354" s="472">
        <v>1548</v>
      </c>
      <c r="I354" s="473"/>
      <c r="J354" s="472">
        <v>13752</v>
      </c>
      <c r="K354" s="471">
        <f t="shared" si="37"/>
        <v>15300</v>
      </c>
      <c r="L354" s="469"/>
      <c r="M354" s="2439"/>
    </row>
    <row r="355" spans="1:13" s="251" customFormat="1" ht="12.75" customHeight="1">
      <c r="A355" s="498"/>
      <c r="B355" s="537"/>
      <c r="C355" s="2455"/>
      <c r="D355" s="474" t="s">
        <v>321</v>
      </c>
      <c r="E355" s="471">
        <v>0</v>
      </c>
      <c r="F355" s="472">
        <v>573</v>
      </c>
      <c r="G355" s="472"/>
      <c r="H355" s="472">
        <v>221</v>
      </c>
      <c r="I355" s="473"/>
      <c r="J355" s="472">
        <v>1960</v>
      </c>
      <c r="K355" s="471">
        <f t="shared" si="37"/>
        <v>2181</v>
      </c>
      <c r="L355" s="469"/>
      <c r="M355" s="2439"/>
    </row>
    <row r="356" spans="1:13" s="251" customFormat="1" ht="12.75" customHeight="1">
      <c r="A356" s="498"/>
      <c r="B356" s="537"/>
      <c r="C356" s="2455"/>
      <c r="D356" s="584">
        <v>4171</v>
      </c>
      <c r="E356" s="471">
        <v>0</v>
      </c>
      <c r="F356" s="472">
        <v>14684</v>
      </c>
      <c r="G356" s="472"/>
      <c r="H356" s="472">
        <v>0</v>
      </c>
      <c r="I356" s="473"/>
      <c r="J356" s="472">
        <v>0</v>
      </c>
      <c r="K356" s="471">
        <f t="shared" si="37"/>
        <v>0</v>
      </c>
      <c r="L356" s="469"/>
      <c r="M356" s="2439"/>
    </row>
    <row r="357" spans="1:13" s="251" customFormat="1" ht="12.75" customHeight="1">
      <c r="A357" s="498"/>
      <c r="B357" s="537"/>
      <c r="C357" s="2455"/>
      <c r="D357" s="585">
        <v>4211</v>
      </c>
      <c r="E357" s="471">
        <v>0</v>
      </c>
      <c r="F357" s="472">
        <v>0</v>
      </c>
      <c r="G357" s="472"/>
      <c r="H357" s="472">
        <v>1600</v>
      </c>
      <c r="I357" s="473"/>
      <c r="J357" s="472">
        <v>2199</v>
      </c>
      <c r="K357" s="471">
        <f t="shared" si="37"/>
        <v>3799</v>
      </c>
      <c r="L357" s="469"/>
      <c r="M357" s="2439"/>
    </row>
    <row r="358" spans="1:13" s="251" customFormat="1" ht="12.75" customHeight="1">
      <c r="A358" s="498"/>
      <c r="B358" s="2445" t="s">
        <v>139</v>
      </c>
      <c r="C358" s="2455"/>
      <c r="D358" s="474" t="s">
        <v>322</v>
      </c>
      <c r="E358" s="471">
        <v>0</v>
      </c>
      <c r="F358" s="472">
        <v>2757</v>
      </c>
      <c r="G358" s="472"/>
      <c r="H358" s="472">
        <v>1000</v>
      </c>
      <c r="I358" s="473"/>
      <c r="J358" s="472">
        <v>785352</v>
      </c>
      <c r="K358" s="471">
        <f t="shared" si="37"/>
        <v>786352</v>
      </c>
      <c r="L358" s="469"/>
      <c r="M358" s="2439"/>
    </row>
    <row r="359" spans="1:13" s="251" customFormat="1" ht="12.75" customHeight="1">
      <c r="A359" s="498"/>
      <c r="B359" s="2445"/>
      <c r="C359" s="2455"/>
      <c r="D359" s="474" t="s">
        <v>323</v>
      </c>
      <c r="E359" s="586">
        <v>0</v>
      </c>
      <c r="F359" s="587">
        <v>2576</v>
      </c>
      <c r="G359" s="587"/>
      <c r="H359" s="587">
        <v>0</v>
      </c>
      <c r="I359" s="473"/>
      <c r="J359" s="587">
        <v>0</v>
      </c>
      <c r="K359" s="471">
        <f t="shared" si="37"/>
        <v>0</v>
      </c>
      <c r="L359" s="469"/>
      <c r="M359" s="2439"/>
    </row>
    <row r="360" spans="1:13" s="251" customFormat="1" ht="12.75" customHeight="1">
      <c r="A360" s="498"/>
      <c r="B360" s="2445"/>
      <c r="C360" s="2455"/>
      <c r="D360" s="474" t="s">
        <v>324</v>
      </c>
      <c r="E360" s="471">
        <v>0</v>
      </c>
      <c r="F360" s="472">
        <v>31572</v>
      </c>
      <c r="G360" s="472"/>
      <c r="H360" s="472">
        <v>22051</v>
      </c>
      <c r="I360" s="473"/>
      <c r="J360" s="472">
        <v>0</v>
      </c>
      <c r="K360" s="471">
        <f t="shared" si="37"/>
        <v>22051</v>
      </c>
      <c r="L360" s="469"/>
      <c r="M360" s="2439"/>
    </row>
    <row r="361" spans="1:13" s="251" customFormat="1" ht="12.75" customHeight="1">
      <c r="A361" s="498"/>
      <c r="B361" s="2445"/>
      <c r="C361" s="2455"/>
      <c r="D361" s="474" t="s">
        <v>325</v>
      </c>
      <c r="E361" s="471">
        <v>0</v>
      </c>
      <c r="F361" s="472">
        <v>374</v>
      </c>
      <c r="G361" s="472"/>
      <c r="H361" s="472">
        <v>400</v>
      </c>
      <c r="I361" s="473"/>
      <c r="J361" s="472">
        <v>8400</v>
      </c>
      <c r="K361" s="471">
        <f t="shared" si="37"/>
        <v>8800</v>
      </c>
      <c r="L361" s="469"/>
      <c r="M361" s="2439"/>
    </row>
    <row r="362" spans="1:13" s="251" customFormat="1" ht="12.75" customHeight="1">
      <c r="A362" s="498"/>
      <c r="B362" s="2445"/>
      <c r="C362" s="2455"/>
      <c r="D362" s="474" t="s">
        <v>326</v>
      </c>
      <c r="E362" s="471">
        <v>0</v>
      </c>
      <c r="F362" s="472">
        <v>154</v>
      </c>
      <c r="G362" s="472"/>
      <c r="H362" s="472">
        <v>26</v>
      </c>
      <c r="I362" s="473"/>
      <c r="J362" s="472">
        <v>1200</v>
      </c>
      <c r="K362" s="471">
        <f t="shared" si="37"/>
        <v>1226</v>
      </c>
      <c r="L362" s="469"/>
      <c r="M362" s="2439"/>
    </row>
    <row r="363" spans="1:13" s="251" customFormat="1" ht="12.75" customHeight="1">
      <c r="A363" s="498"/>
      <c r="B363" s="2445"/>
      <c r="C363" s="2467"/>
      <c r="D363" s="474" t="s">
        <v>327</v>
      </c>
      <c r="E363" s="586">
        <v>0</v>
      </c>
      <c r="F363" s="587">
        <v>1466</v>
      </c>
      <c r="G363" s="587"/>
      <c r="H363" s="587">
        <v>1803</v>
      </c>
      <c r="I363" s="473"/>
      <c r="J363" s="587">
        <v>0</v>
      </c>
      <c r="K363" s="471">
        <f t="shared" si="37"/>
        <v>1803</v>
      </c>
      <c r="L363" s="469"/>
      <c r="M363" s="2439"/>
    </row>
    <row r="364" spans="1:13" s="251" customFormat="1" ht="14.25" customHeight="1">
      <c r="A364" s="498"/>
      <c r="B364" s="2445"/>
      <c r="C364" s="448" t="s">
        <v>26</v>
      </c>
      <c r="D364" s="449"/>
      <c r="E364" s="406"/>
      <c r="F364" s="263"/>
      <c r="G364" s="263"/>
      <c r="H364" s="263"/>
      <c r="I364" s="263"/>
      <c r="J364" s="263"/>
      <c r="K364" s="406"/>
      <c r="L364" s="469"/>
      <c r="M364" s="2439"/>
    </row>
    <row r="365" spans="1:13" s="251" customFormat="1" ht="13.5" customHeight="1">
      <c r="A365" s="498"/>
      <c r="B365" s="2445"/>
      <c r="C365" s="448" t="s">
        <v>27</v>
      </c>
      <c r="D365" s="449"/>
      <c r="E365" s="406"/>
      <c r="F365" s="263"/>
      <c r="G365" s="263"/>
      <c r="H365" s="263"/>
      <c r="I365" s="263"/>
      <c r="J365" s="263"/>
      <c r="K365" s="406"/>
      <c r="L365" s="469"/>
      <c r="M365" s="2439"/>
    </row>
    <row r="366" spans="1:13" s="251" customFormat="1" ht="29.25" customHeight="1">
      <c r="A366" s="498"/>
      <c r="B366" s="2445"/>
      <c r="C366" s="453" t="s">
        <v>28</v>
      </c>
      <c r="D366" s="446"/>
      <c r="E366" s="447">
        <v>0</v>
      </c>
      <c r="F366" s="261">
        <v>0</v>
      </c>
      <c r="G366" s="261"/>
      <c r="H366" s="261">
        <v>0</v>
      </c>
      <c r="I366" s="261"/>
      <c r="J366" s="261">
        <v>0</v>
      </c>
      <c r="K366" s="447">
        <v>0</v>
      </c>
      <c r="L366" s="469"/>
      <c r="M366" s="2439"/>
    </row>
    <row r="367" spans="1:13" s="251" customFormat="1" ht="12.75" customHeight="1">
      <c r="A367" s="498"/>
      <c r="B367" s="2445"/>
      <c r="C367" s="450" t="s">
        <v>29</v>
      </c>
      <c r="D367" s="449"/>
      <c r="E367" s="406"/>
      <c r="F367" s="263"/>
      <c r="G367" s="263"/>
      <c r="H367" s="263"/>
      <c r="I367" s="263"/>
      <c r="J367" s="263"/>
      <c r="K367" s="406"/>
      <c r="L367" s="469"/>
      <c r="M367" s="2439"/>
    </row>
    <row r="368" spans="1:13" s="251" customFormat="1" ht="22.5">
      <c r="A368" s="498"/>
      <c r="B368" s="2445"/>
      <c r="C368" s="452" t="s">
        <v>36</v>
      </c>
      <c r="D368" s="449"/>
      <c r="E368" s="406"/>
      <c r="F368" s="263"/>
      <c r="G368" s="263"/>
      <c r="H368" s="263"/>
      <c r="I368" s="263"/>
      <c r="J368" s="263"/>
      <c r="K368" s="406"/>
      <c r="L368" s="469"/>
      <c r="M368" s="2439"/>
    </row>
    <row r="369" spans="1:13" s="251" customFormat="1" ht="12.75" customHeight="1">
      <c r="A369" s="498"/>
      <c r="B369" s="2445"/>
      <c r="C369" s="448" t="s">
        <v>31</v>
      </c>
      <c r="D369" s="449"/>
      <c r="E369" s="406"/>
      <c r="F369" s="263"/>
      <c r="G369" s="263"/>
      <c r="H369" s="263"/>
      <c r="I369" s="263"/>
      <c r="J369" s="263"/>
      <c r="K369" s="406"/>
      <c r="L369" s="469"/>
      <c r="M369" s="2439"/>
    </row>
    <row r="370" spans="1:13" s="251" customFormat="1" ht="12.75" customHeight="1">
      <c r="A370" s="550"/>
      <c r="B370" s="1961"/>
      <c r="C370" s="448" t="s">
        <v>32</v>
      </c>
      <c r="D370" s="449"/>
      <c r="E370" s="406"/>
      <c r="F370" s="263"/>
      <c r="G370" s="263"/>
      <c r="H370" s="263"/>
      <c r="I370" s="263"/>
      <c r="J370" s="263"/>
      <c r="K370" s="406"/>
      <c r="L370" s="469"/>
      <c r="M370" s="2454"/>
    </row>
    <row r="371" spans="1:13" s="251" customFormat="1" ht="14.25" customHeight="1">
      <c r="A371" s="588" t="s">
        <v>110</v>
      </c>
      <c r="B371" s="589"/>
      <c r="C371" s="590" t="s">
        <v>111</v>
      </c>
      <c r="D371" s="589"/>
      <c r="E371" s="488">
        <f>SUM(E372)</f>
        <v>10000</v>
      </c>
      <c r="F371" s="591">
        <f>SUM(F372)</f>
        <v>10000</v>
      </c>
      <c r="G371" s="591"/>
      <c r="H371" s="591">
        <f>SUM(H372)</f>
        <v>0</v>
      </c>
      <c r="I371" s="591">
        <f>H371/E371</f>
        <v>0</v>
      </c>
      <c r="J371" s="591">
        <f>SUM(J372)</f>
        <v>0</v>
      </c>
      <c r="K371" s="488">
        <f>SUM(K372)</f>
        <v>0</v>
      </c>
      <c r="L371" s="592">
        <f t="shared" si="36"/>
        <v>0</v>
      </c>
      <c r="M371" s="593"/>
    </row>
    <row r="372" spans="1:13" s="251" customFormat="1" ht="34.5" customHeight="1">
      <c r="A372" s="2045"/>
      <c r="B372" s="2427" t="s">
        <v>328</v>
      </c>
      <c r="C372" s="463" t="s">
        <v>329</v>
      </c>
      <c r="D372" s="444"/>
      <c r="E372" s="445">
        <f>SUM(E373,E382)</f>
        <v>10000</v>
      </c>
      <c r="F372" s="258">
        <f>SUM(F373,F382)</f>
        <v>10000</v>
      </c>
      <c r="G372" s="258"/>
      <c r="H372" s="258">
        <f>SUM(H373,H382)</f>
        <v>0</v>
      </c>
      <c r="I372" s="464">
        <f>H372/E372</f>
        <v>0</v>
      </c>
      <c r="J372" s="258">
        <f>SUM(J373,J382)</f>
        <v>0</v>
      </c>
      <c r="K372" s="445">
        <f>SUM(K373,K382)</f>
        <v>0</v>
      </c>
      <c r="L372" s="464">
        <f t="shared" si="36"/>
        <v>0</v>
      </c>
      <c r="M372" s="2460"/>
    </row>
    <row r="373" spans="1:13" s="251" customFormat="1" ht="13.5" customHeight="1">
      <c r="A373" s="2046"/>
      <c r="B373" s="2427"/>
      <c r="C373" s="594" t="s">
        <v>18</v>
      </c>
      <c r="D373" s="575"/>
      <c r="E373" s="520">
        <f>SUM(E374,E377:E381)</f>
        <v>10000</v>
      </c>
      <c r="F373" s="576">
        <f>SUM(F374,F377:F381)</f>
        <v>10000</v>
      </c>
      <c r="G373" s="576"/>
      <c r="H373" s="576">
        <f>SUM(H374,H377:H381)</f>
        <v>0</v>
      </c>
      <c r="I373" s="465">
        <f>H373/E373</f>
        <v>0</v>
      </c>
      <c r="J373" s="576">
        <f>SUM(J374,J377:J381)</f>
        <v>0</v>
      </c>
      <c r="K373" s="520">
        <f>SUM(K374,K377:K381)</f>
        <v>0</v>
      </c>
      <c r="L373" s="466">
        <f t="shared" si="36"/>
        <v>0</v>
      </c>
      <c r="M373" s="2439"/>
    </row>
    <row r="374" spans="1:13" s="251" customFormat="1" ht="13.5" customHeight="1">
      <c r="A374" s="2046"/>
      <c r="B374" s="2427"/>
      <c r="C374" s="448" t="s">
        <v>19</v>
      </c>
      <c r="D374" s="449"/>
      <c r="E374" s="406">
        <f>SUM(E375:E376)</f>
        <v>10000</v>
      </c>
      <c r="F374" s="263">
        <f>SUM(F375:F376)</f>
        <v>10000</v>
      </c>
      <c r="G374" s="263"/>
      <c r="H374" s="263">
        <f>SUM(H375:H376)</f>
        <v>0</v>
      </c>
      <c r="I374" s="468">
        <f t="shared" ref="I374:I376" si="38">H374/E374</f>
        <v>0</v>
      </c>
      <c r="J374" s="263">
        <f>SUM(J375:J376)</f>
        <v>0</v>
      </c>
      <c r="K374" s="406">
        <f>SUM(K375:K376)</f>
        <v>0</v>
      </c>
      <c r="L374" s="469">
        <f t="shared" si="36"/>
        <v>0</v>
      </c>
      <c r="M374" s="2439"/>
    </row>
    <row r="375" spans="1:13" s="251" customFormat="1" ht="12.75" customHeight="1">
      <c r="A375" s="2046"/>
      <c r="B375" s="2427"/>
      <c r="C375" s="448" t="s">
        <v>20</v>
      </c>
      <c r="D375" s="449"/>
      <c r="E375" s="406"/>
      <c r="F375" s="263"/>
      <c r="G375" s="263"/>
      <c r="H375" s="263"/>
      <c r="I375" s="468"/>
      <c r="J375" s="263"/>
      <c r="K375" s="406"/>
      <c r="L375" s="469"/>
      <c r="M375" s="2439"/>
    </row>
    <row r="376" spans="1:13" s="251" customFormat="1" ht="12.75" customHeight="1">
      <c r="A376" s="2046"/>
      <c r="B376" s="2427"/>
      <c r="C376" s="452" t="s">
        <v>21</v>
      </c>
      <c r="D376" s="449">
        <v>4130</v>
      </c>
      <c r="E376" s="406">
        <v>10000</v>
      </c>
      <c r="F376" s="263">
        <v>10000</v>
      </c>
      <c r="G376" s="263"/>
      <c r="H376" s="263">
        <v>0</v>
      </c>
      <c r="I376" s="468">
        <f t="shared" si="38"/>
        <v>0</v>
      </c>
      <c r="J376" s="263"/>
      <c r="K376" s="406">
        <f t="shared" ref="K376" si="39">SUM(H376,J376)</f>
        <v>0</v>
      </c>
      <c r="L376" s="469">
        <f t="shared" si="36"/>
        <v>0</v>
      </c>
      <c r="M376" s="2439"/>
    </row>
    <row r="377" spans="1:13" s="251" customFormat="1" ht="12.75" customHeight="1">
      <c r="A377" s="2046"/>
      <c r="B377" s="2427"/>
      <c r="C377" s="448" t="s">
        <v>23</v>
      </c>
      <c r="D377" s="449"/>
      <c r="E377" s="406"/>
      <c r="F377" s="263"/>
      <c r="G377" s="263"/>
      <c r="H377" s="263"/>
      <c r="I377" s="263"/>
      <c r="J377" s="263"/>
      <c r="K377" s="406"/>
      <c r="L377" s="469"/>
      <c r="M377" s="2439"/>
    </row>
    <row r="378" spans="1:13" s="251" customFormat="1" ht="12.75" customHeight="1">
      <c r="A378" s="2046"/>
      <c r="B378" s="2427"/>
      <c r="C378" s="448" t="s">
        <v>24</v>
      </c>
      <c r="D378" s="449"/>
      <c r="E378" s="406"/>
      <c r="F378" s="263"/>
      <c r="G378" s="263"/>
      <c r="H378" s="263"/>
      <c r="I378" s="263"/>
      <c r="J378" s="263"/>
      <c r="K378" s="406"/>
      <c r="L378" s="469"/>
      <c r="M378" s="2439"/>
    </row>
    <row r="379" spans="1:13" s="251" customFormat="1" ht="24" customHeight="1">
      <c r="A379" s="2046"/>
      <c r="B379" s="2427"/>
      <c r="C379" s="452" t="s">
        <v>25</v>
      </c>
      <c r="D379" s="449"/>
      <c r="E379" s="406"/>
      <c r="F379" s="263"/>
      <c r="G379" s="263"/>
      <c r="H379" s="263"/>
      <c r="I379" s="263"/>
      <c r="J379" s="263"/>
      <c r="K379" s="406"/>
      <c r="L379" s="469"/>
      <c r="M379" s="2439"/>
    </row>
    <row r="380" spans="1:13" s="251" customFormat="1" ht="12.75" customHeight="1">
      <c r="A380" s="2046"/>
      <c r="B380" s="2427"/>
      <c r="C380" s="448" t="s">
        <v>26</v>
      </c>
      <c r="D380" s="449"/>
      <c r="E380" s="406"/>
      <c r="F380" s="263"/>
      <c r="G380" s="263"/>
      <c r="H380" s="263"/>
      <c r="I380" s="263"/>
      <c r="J380" s="263"/>
      <c r="K380" s="406"/>
      <c r="L380" s="469"/>
      <c r="M380" s="2439"/>
    </row>
    <row r="381" spans="1:13" s="251" customFormat="1" ht="12.75" customHeight="1">
      <c r="A381" s="2046"/>
      <c r="B381" s="2427"/>
      <c r="C381" s="448" t="s">
        <v>27</v>
      </c>
      <c r="D381" s="449"/>
      <c r="E381" s="406"/>
      <c r="F381" s="263"/>
      <c r="G381" s="263"/>
      <c r="H381" s="263"/>
      <c r="I381" s="263"/>
      <c r="J381" s="263"/>
      <c r="K381" s="406"/>
      <c r="L381" s="469"/>
      <c r="M381" s="2439"/>
    </row>
    <row r="382" spans="1:13" s="251" customFormat="1" ht="14.25" customHeight="1">
      <c r="A382" s="2046"/>
      <c r="B382" s="2427"/>
      <c r="C382" s="453" t="s">
        <v>28</v>
      </c>
      <c r="D382" s="446"/>
      <c r="E382" s="447">
        <v>0</v>
      </c>
      <c r="F382" s="261">
        <v>0</v>
      </c>
      <c r="G382" s="261"/>
      <c r="H382" s="261">
        <v>0</v>
      </c>
      <c r="I382" s="261"/>
      <c r="J382" s="261">
        <v>0</v>
      </c>
      <c r="K382" s="447">
        <v>0</v>
      </c>
      <c r="L382" s="469"/>
      <c r="M382" s="2439"/>
    </row>
    <row r="383" spans="1:13" s="251" customFormat="1" ht="12" customHeight="1">
      <c r="A383" s="2046"/>
      <c r="B383" s="2427"/>
      <c r="C383" s="448" t="s">
        <v>29</v>
      </c>
      <c r="D383" s="449"/>
      <c r="E383" s="406"/>
      <c r="F383" s="263"/>
      <c r="G383" s="263"/>
      <c r="H383" s="263"/>
      <c r="I383" s="263"/>
      <c r="J383" s="263"/>
      <c r="K383" s="406"/>
      <c r="L383" s="469"/>
      <c r="M383" s="2439"/>
    </row>
    <row r="384" spans="1:13" s="251" customFormat="1" ht="22.5">
      <c r="A384" s="2046"/>
      <c r="B384" s="2427"/>
      <c r="C384" s="452" t="s">
        <v>36</v>
      </c>
      <c r="D384" s="449"/>
      <c r="E384" s="406"/>
      <c r="F384" s="263"/>
      <c r="G384" s="263"/>
      <c r="H384" s="263"/>
      <c r="I384" s="263"/>
      <c r="J384" s="263"/>
      <c r="K384" s="406"/>
      <c r="L384" s="469"/>
      <c r="M384" s="2439"/>
    </row>
    <row r="385" spans="1:13" s="251" customFormat="1" ht="12.75" customHeight="1">
      <c r="A385" s="2046"/>
      <c r="B385" s="2427"/>
      <c r="C385" s="448" t="s">
        <v>31</v>
      </c>
      <c r="D385" s="449"/>
      <c r="E385" s="406"/>
      <c r="F385" s="263"/>
      <c r="G385" s="263"/>
      <c r="H385" s="263"/>
      <c r="I385" s="263"/>
      <c r="J385" s="263"/>
      <c r="K385" s="406"/>
      <c r="L385" s="469"/>
      <c r="M385" s="2439"/>
    </row>
    <row r="386" spans="1:13" s="251" customFormat="1" ht="12.75" customHeight="1">
      <c r="A386" s="2053"/>
      <c r="B386" s="2427"/>
      <c r="C386" s="448" t="s">
        <v>32</v>
      </c>
      <c r="D386" s="446"/>
      <c r="E386" s="406"/>
      <c r="F386" s="263"/>
      <c r="G386" s="263"/>
      <c r="H386" s="263"/>
      <c r="I386" s="263"/>
      <c r="J386" s="263"/>
      <c r="K386" s="406"/>
      <c r="L386" s="469"/>
      <c r="M386" s="2454"/>
    </row>
    <row r="387" spans="1:13" s="251" customFormat="1" ht="0.75" customHeight="1">
      <c r="A387" s="588" t="s">
        <v>330</v>
      </c>
      <c r="B387" s="589"/>
      <c r="C387" s="590" t="s">
        <v>331</v>
      </c>
      <c r="D387" s="589"/>
      <c r="E387" s="488">
        <f>SUM(E388)</f>
        <v>0</v>
      </c>
      <c r="F387" s="591">
        <f>SUM(F388)</f>
        <v>225000</v>
      </c>
      <c r="G387" s="591"/>
      <c r="H387" s="591">
        <f>SUM(H388)</f>
        <v>0</v>
      </c>
      <c r="I387" s="591"/>
      <c r="J387" s="591">
        <f>SUM(J388)</f>
        <v>0</v>
      </c>
      <c r="K387" s="488">
        <f>SUM(K388)</f>
        <v>0</v>
      </c>
      <c r="L387" s="592"/>
      <c r="M387" s="593"/>
    </row>
    <row r="388" spans="1:13" s="251" customFormat="1" ht="14.25" hidden="1" customHeight="1">
      <c r="A388" s="2045"/>
      <c r="B388" s="2427" t="s">
        <v>332</v>
      </c>
      <c r="C388" s="463" t="s">
        <v>333</v>
      </c>
      <c r="D388" s="444"/>
      <c r="E388" s="445">
        <f>SUM(E389,E398)</f>
        <v>0</v>
      </c>
      <c r="F388" s="258">
        <f>SUM(F389,F398)</f>
        <v>225000</v>
      </c>
      <c r="G388" s="258"/>
      <c r="H388" s="258">
        <f>SUM(H389,H398)</f>
        <v>0</v>
      </c>
      <c r="I388" s="595"/>
      <c r="J388" s="258">
        <f>SUM(J389,J398)</f>
        <v>0</v>
      </c>
      <c r="K388" s="445">
        <f>SUM(K389,K398)</f>
        <v>0</v>
      </c>
      <c r="L388" s="464"/>
      <c r="M388" s="2438"/>
    </row>
    <row r="389" spans="1:13" s="251" customFormat="1" ht="13.5" hidden="1" customHeight="1">
      <c r="A389" s="2046"/>
      <c r="B389" s="2427"/>
      <c r="C389" s="594" t="s">
        <v>18</v>
      </c>
      <c r="D389" s="575"/>
      <c r="E389" s="520">
        <f>SUM(E390,E393:E397)</f>
        <v>0</v>
      </c>
      <c r="F389" s="576">
        <f>SUM(F390,F393:F397)</f>
        <v>225000</v>
      </c>
      <c r="G389" s="576"/>
      <c r="H389" s="576">
        <f>SUM(H390,H393:H397)</f>
        <v>0</v>
      </c>
      <c r="I389" s="465"/>
      <c r="J389" s="576">
        <f>SUM(J390,J393:J397)</f>
        <v>0</v>
      </c>
      <c r="K389" s="520">
        <f>SUM(K390,K393:K397)</f>
        <v>0</v>
      </c>
      <c r="L389" s="466"/>
      <c r="M389" s="2439"/>
    </row>
    <row r="390" spans="1:13" s="251" customFormat="1" ht="13.5" hidden="1" customHeight="1" thickBot="1">
      <c r="A390" s="2046"/>
      <c r="B390" s="2427"/>
      <c r="C390" s="448" t="s">
        <v>19</v>
      </c>
      <c r="D390" s="449"/>
      <c r="E390" s="406">
        <f>SUM(E391:E392)</f>
        <v>0</v>
      </c>
      <c r="F390" s="263">
        <f>SUM(F391:F392)</f>
        <v>225000</v>
      </c>
      <c r="G390" s="263"/>
      <c r="H390" s="263">
        <f>SUM(H391:H392)</f>
        <v>0</v>
      </c>
      <c r="I390" s="468"/>
      <c r="J390" s="263">
        <f>SUM(J391:J392)</f>
        <v>0</v>
      </c>
      <c r="K390" s="406">
        <f>SUM(K391:K392)</f>
        <v>0</v>
      </c>
      <c r="L390" s="469"/>
      <c r="M390" s="2439"/>
    </row>
    <row r="391" spans="1:13" s="251" customFormat="1" ht="12.75" hidden="1" customHeight="1" thickBot="1">
      <c r="A391" s="2046"/>
      <c r="B391" s="2427"/>
      <c r="C391" s="448" t="s">
        <v>20</v>
      </c>
      <c r="D391" s="449"/>
      <c r="E391" s="406"/>
      <c r="F391" s="263"/>
      <c r="G391" s="263"/>
      <c r="H391" s="263"/>
      <c r="I391" s="468"/>
      <c r="J391" s="263"/>
      <c r="K391" s="406"/>
      <c r="L391" s="469"/>
      <c r="M391" s="2439"/>
    </row>
    <row r="392" spans="1:13" s="251" customFormat="1" ht="12.75" hidden="1" customHeight="1">
      <c r="A392" s="2046"/>
      <c r="B392" s="2427"/>
      <c r="C392" s="452" t="s">
        <v>21</v>
      </c>
      <c r="D392" s="449" t="s">
        <v>222</v>
      </c>
      <c r="E392" s="406">
        <v>0</v>
      </c>
      <c r="F392" s="263">
        <v>225000</v>
      </c>
      <c r="G392" s="263"/>
      <c r="H392" s="263">
        <v>0</v>
      </c>
      <c r="I392" s="468"/>
      <c r="J392" s="263">
        <v>0</v>
      </c>
      <c r="K392" s="471">
        <f t="shared" ref="K392" si="40">SUM(H392,J392)</f>
        <v>0</v>
      </c>
      <c r="L392" s="469"/>
      <c r="M392" s="2439"/>
    </row>
    <row r="393" spans="1:13" s="251" customFormat="1" ht="12.75" hidden="1" customHeight="1">
      <c r="A393" s="2046"/>
      <c r="B393" s="2427"/>
      <c r="C393" s="448" t="s">
        <v>23</v>
      </c>
      <c r="D393" s="449"/>
      <c r="E393" s="406"/>
      <c r="F393" s="263"/>
      <c r="G393" s="263"/>
      <c r="H393" s="263"/>
      <c r="I393" s="263"/>
      <c r="J393" s="263"/>
      <c r="K393" s="406"/>
      <c r="L393" s="469"/>
      <c r="M393" s="2439"/>
    </row>
    <row r="394" spans="1:13" s="251" customFormat="1" ht="12.75" hidden="1" customHeight="1">
      <c r="A394" s="2046"/>
      <c r="B394" s="2427"/>
      <c r="C394" s="448" t="s">
        <v>24</v>
      </c>
      <c r="D394" s="449"/>
      <c r="E394" s="406"/>
      <c r="F394" s="263"/>
      <c r="G394" s="263"/>
      <c r="H394" s="263"/>
      <c r="I394" s="263"/>
      <c r="J394" s="263"/>
      <c r="K394" s="406"/>
      <c r="L394" s="469"/>
      <c r="M394" s="2439"/>
    </row>
    <row r="395" spans="1:13" s="251" customFormat="1" ht="24" hidden="1" customHeight="1">
      <c r="A395" s="2046"/>
      <c r="B395" s="2427"/>
      <c r="C395" s="452" t="s">
        <v>25</v>
      </c>
      <c r="D395" s="449"/>
      <c r="E395" s="406"/>
      <c r="F395" s="263"/>
      <c r="G395" s="263"/>
      <c r="H395" s="263"/>
      <c r="I395" s="263"/>
      <c r="J395" s="263"/>
      <c r="K395" s="406"/>
      <c r="L395" s="469"/>
      <c r="M395" s="2439"/>
    </row>
    <row r="396" spans="1:13" s="251" customFormat="1" ht="12.75" hidden="1" customHeight="1">
      <c r="A396" s="2046"/>
      <c r="B396" s="2427"/>
      <c r="C396" s="448" t="s">
        <v>26</v>
      </c>
      <c r="D396" s="449"/>
      <c r="E396" s="406"/>
      <c r="F396" s="263"/>
      <c r="G396" s="263"/>
      <c r="H396" s="263"/>
      <c r="I396" s="263"/>
      <c r="J396" s="263"/>
      <c r="K396" s="406"/>
      <c r="L396" s="469"/>
      <c r="M396" s="2439"/>
    </row>
    <row r="397" spans="1:13" s="251" customFormat="1" ht="12.75" hidden="1" customHeight="1">
      <c r="A397" s="2046"/>
      <c r="B397" s="2427"/>
      <c r="C397" s="448" t="s">
        <v>27</v>
      </c>
      <c r="D397" s="449"/>
      <c r="E397" s="406"/>
      <c r="F397" s="263"/>
      <c r="G397" s="263"/>
      <c r="H397" s="263"/>
      <c r="I397" s="263"/>
      <c r="J397" s="263"/>
      <c r="K397" s="406"/>
      <c r="L397" s="469"/>
      <c r="M397" s="2439"/>
    </row>
    <row r="398" spans="1:13" s="251" customFormat="1" ht="14.25" hidden="1" customHeight="1">
      <c r="A398" s="2046"/>
      <c r="B398" s="2427"/>
      <c r="C398" s="453" t="s">
        <v>28</v>
      </c>
      <c r="D398" s="446"/>
      <c r="E398" s="447">
        <v>0</v>
      </c>
      <c r="F398" s="261">
        <v>0</v>
      </c>
      <c r="G398" s="261"/>
      <c r="H398" s="261">
        <v>0</v>
      </c>
      <c r="I398" s="261"/>
      <c r="J398" s="261">
        <v>0</v>
      </c>
      <c r="K398" s="447">
        <v>0</v>
      </c>
      <c r="L398" s="469"/>
      <c r="M398" s="2439"/>
    </row>
    <row r="399" spans="1:13" s="251" customFormat="1" ht="12" hidden="1" customHeight="1">
      <c r="A399" s="2046"/>
      <c r="B399" s="2427"/>
      <c r="C399" s="448" t="s">
        <v>29</v>
      </c>
      <c r="D399" s="449"/>
      <c r="E399" s="406"/>
      <c r="F399" s="263"/>
      <c r="G399" s="263"/>
      <c r="H399" s="263"/>
      <c r="I399" s="263"/>
      <c r="J399" s="263"/>
      <c r="K399" s="406"/>
      <c r="L399" s="469"/>
      <c r="M399" s="2439"/>
    </row>
    <row r="400" spans="1:13" s="251" customFormat="1" ht="22.5" hidden="1">
      <c r="A400" s="2046"/>
      <c r="B400" s="2427"/>
      <c r="C400" s="452" t="s">
        <v>36</v>
      </c>
      <c r="D400" s="449"/>
      <c r="E400" s="406"/>
      <c r="F400" s="263"/>
      <c r="G400" s="263"/>
      <c r="H400" s="263"/>
      <c r="I400" s="263"/>
      <c r="J400" s="263"/>
      <c r="K400" s="406"/>
      <c r="L400" s="469"/>
      <c r="M400" s="2439"/>
    </row>
    <row r="401" spans="1:13" s="251" customFormat="1" ht="12.75" hidden="1" customHeight="1">
      <c r="A401" s="2046"/>
      <c r="B401" s="2427"/>
      <c r="C401" s="448" t="s">
        <v>31</v>
      </c>
      <c r="D401" s="449"/>
      <c r="E401" s="406"/>
      <c r="F401" s="263"/>
      <c r="G401" s="263"/>
      <c r="H401" s="263"/>
      <c r="I401" s="263"/>
      <c r="J401" s="263"/>
      <c r="K401" s="406"/>
      <c r="L401" s="469"/>
      <c r="M401" s="2439"/>
    </row>
    <row r="402" spans="1:13" s="251" customFormat="1" ht="12.75" hidden="1" customHeight="1">
      <c r="A402" s="2053"/>
      <c r="B402" s="2427"/>
      <c r="C402" s="448" t="s">
        <v>32</v>
      </c>
      <c r="D402" s="446"/>
      <c r="E402" s="406"/>
      <c r="F402" s="263"/>
      <c r="G402" s="263"/>
      <c r="H402" s="263"/>
      <c r="I402" s="263"/>
      <c r="J402" s="263"/>
      <c r="K402" s="406"/>
      <c r="L402" s="469"/>
      <c r="M402" s="2454"/>
    </row>
    <row r="403" spans="1:13" s="251" customFormat="1" ht="14.25" customHeight="1">
      <c r="A403" s="596" t="s">
        <v>334</v>
      </c>
      <c r="B403" s="597"/>
      <c r="C403" s="598" t="s">
        <v>335</v>
      </c>
      <c r="D403" s="597"/>
      <c r="E403" s="493">
        <f>SUM(E404,E433,E466,E496)</f>
        <v>6764367</v>
      </c>
      <c r="F403" s="493">
        <f>SUM(F404,F433,F466,F496)</f>
        <v>6954975</v>
      </c>
      <c r="G403" s="493"/>
      <c r="H403" s="493">
        <f>SUM(H404,H433,H466,H496)</f>
        <v>1819245</v>
      </c>
      <c r="I403" s="494">
        <f>H403/E403</f>
        <v>0.26894534255755193</v>
      </c>
      <c r="J403" s="493">
        <f>SUM(J404,J433,J466,J496)</f>
        <v>300000</v>
      </c>
      <c r="K403" s="495">
        <f>SUM(K404,K433,K466,K496)</f>
        <v>2119245</v>
      </c>
      <c r="L403" s="494">
        <f t="shared" si="36"/>
        <v>0.31329539038907855</v>
      </c>
      <c r="M403" s="599"/>
    </row>
    <row r="404" spans="1:13" s="251" customFormat="1" ht="13.5" customHeight="1">
      <c r="A404" s="600"/>
      <c r="B404" s="1959" t="s">
        <v>336</v>
      </c>
      <c r="C404" s="443" t="s">
        <v>337</v>
      </c>
      <c r="D404" s="444"/>
      <c r="E404" s="258">
        <f>SUM(E405,E428)</f>
        <v>954429</v>
      </c>
      <c r="F404" s="258">
        <f>SUM(F405,F428)</f>
        <v>954429</v>
      </c>
      <c r="G404" s="258"/>
      <c r="H404" s="258">
        <f>SUM(H405,H428)</f>
        <v>1222611</v>
      </c>
      <c r="I404" s="464">
        <f>H404/E404</f>
        <v>1.280986851824494</v>
      </c>
      <c r="J404" s="258">
        <f>SUM(J405,J428)</f>
        <v>0</v>
      </c>
      <c r="K404" s="445">
        <f>SUM(K405,K428)</f>
        <v>1222611</v>
      </c>
      <c r="L404" s="464">
        <f t="shared" si="36"/>
        <v>1.280986851824494</v>
      </c>
      <c r="M404" s="2438" t="s">
        <v>338</v>
      </c>
    </row>
    <row r="405" spans="1:13" s="251" customFormat="1" ht="14.25" customHeight="1">
      <c r="A405" s="475"/>
      <c r="B405" s="2445"/>
      <c r="C405" s="268" t="s">
        <v>18</v>
      </c>
      <c r="D405" s="446"/>
      <c r="E405" s="261">
        <f>SUM(E406,E423:E427)</f>
        <v>954429</v>
      </c>
      <c r="F405" s="261">
        <f>SUM(F406,F423:F427)</f>
        <v>954429</v>
      </c>
      <c r="G405" s="261"/>
      <c r="H405" s="261">
        <f>SUM(H406,H423:H427)</f>
        <v>1222611</v>
      </c>
      <c r="I405" s="465">
        <f>H405/E405</f>
        <v>1.280986851824494</v>
      </c>
      <c r="J405" s="261">
        <f>SUM(J406,J423:J427)</f>
        <v>0</v>
      </c>
      <c r="K405" s="447">
        <f>SUM(K406,K423:K427)</f>
        <v>1222611</v>
      </c>
      <c r="L405" s="466">
        <f t="shared" si="36"/>
        <v>1.280986851824494</v>
      </c>
      <c r="M405" s="2439"/>
    </row>
    <row r="406" spans="1:13" s="251" customFormat="1" ht="14.25" customHeight="1">
      <c r="A406" s="475"/>
      <c r="B406" s="2445"/>
      <c r="C406" s="448" t="s">
        <v>19</v>
      </c>
      <c r="D406" s="601"/>
      <c r="E406" s="263">
        <f>SUM(E407,E415)</f>
        <v>950986</v>
      </c>
      <c r="F406" s="263">
        <f>SUM(F407,F415)</f>
        <v>950986</v>
      </c>
      <c r="G406" s="263"/>
      <c r="H406" s="263">
        <f>SUM(H407,H415)</f>
        <v>1219168</v>
      </c>
      <c r="I406" s="468">
        <f t="shared" ref="I406:I424" si="41">H406/E406</f>
        <v>1.2820041514806737</v>
      </c>
      <c r="J406" s="263">
        <f>SUM(J407,J415)</f>
        <v>0</v>
      </c>
      <c r="K406" s="406">
        <f>SUM(K407,K415)</f>
        <v>1219168</v>
      </c>
      <c r="L406" s="469">
        <f t="shared" si="36"/>
        <v>1.2820041514806737</v>
      </c>
      <c r="M406" s="2439"/>
    </row>
    <row r="407" spans="1:13" s="251" customFormat="1" ht="14.25" customHeight="1">
      <c r="A407" s="475"/>
      <c r="B407" s="2445"/>
      <c r="C407" s="2054" t="s">
        <v>20</v>
      </c>
      <c r="D407" s="449" t="s">
        <v>22</v>
      </c>
      <c r="E407" s="263">
        <f>SUM(E408:E414)</f>
        <v>845580</v>
      </c>
      <c r="F407" s="263">
        <f>SUM(F408:F414)</f>
        <v>845580</v>
      </c>
      <c r="G407" s="263"/>
      <c r="H407" s="263">
        <f>SUM(H408:H414)</f>
        <v>1096176</v>
      </c>
      <c r="I407" s="468">
        <f t="shared" si="41"/>
        <v>1.296359894983325</v>
      </c>
      <c r="J407" s="263">
        <f>SUM(J408:J414)</f>
        <v>0</v>
      </c>
      <c r="K407" s="406">
        <f>SUM(K408:K414)</f>
        <v>1096176</v>
      </c>
      <c r="L407" s="469">
        <f t="shared" si="36"/>
        <v>1.296359894983325</v>
      </c>
      <c r="M407" s="2439"/>
    </row>
    <row r="408" spans="1:13" s="251" customFormat="1" ht="14.25" customHeight="1">
      <c r="A408" s="475"/>
      <c r="B408" s="2445"/>
      <c r="C408" s="2453"/>
      <c r="D408" s="536">
        <v>4010</v>
      </c>
      <c r="E408" s="471">
        <v>495767</v>
      </c>
      <c r="F408" s="472">
        <v>495767</v>
      </c>
      <c r="G408" s="472"/>
      <c r="H408" s="472">
        <v>647383</v>
      </c>
      <c r="I408" s="473">
        <f t="shared" si="41"/>
        <v>1.3058210812740663</v>
      </c>
      <c r="J408" s="472">
        <v>0</v>
      </c>
      <c r="K408" s="471">
        <f t="shared" ref="K408:K421" si="42">SUM(H408,J408)</f>
        <v>647383</v>
      </c>
      <c r="L408" s="469">
        <f t="shared" si="36"/>
        <v>1.3058210812740663</v>
      </c>
      <c r="M408" s="2439"/>
    </row>
    <row r="409" spans="1:13" s="251" customFormat="1" ht="14.25" customHeight="1">
      <c r="A409" s="475"/>
      <c r="B409" s="2445"/>
      <c r="C409" s="2453"/>
      <c r="D409" s="536">
        <v>4040</v>
      </c>
      <c r="E409" s="471">
        <v>36859</v>
      </c>
      <c r="F409" s="472">
        <v>36859</v>
      </c>
      <c r="G409" s="472"/>
      <c r="H409" s="472">
        <v>40127</v>
      </c>
      <c r="I409" s="473">
        <f t="shared" si="41"/>
        <v>1.0886621991915135</v>
      </c>
      <c r="J409" s="472">
        <v>0</v>
      </c>
      <c r="K409" s="471">
        <f t="shared" si="42"/>
        <v>40127</v>
      </c>
      <c r="L409" s="469">
        <f t="shared" si="36"/>
        <v>1.0886621991915135</v>
      </c>
      <c r="M409" s="2439"/>
    </row>
    <row r="410" spans="1:13" s="251" customFormat="1" ht="14.25" customHeight="1">
      <c r="A410" s="475"/>
      <c r="B410" s="2445"/>
      <c r="C410" s="2453"/>
      <c r="D410" s="536">
        <v>4110</v>
      </c>
      <c r="E410" s="471">
        <v>117738</v>
      </c>
      <c r="F410" s="472">
        <v>117738</v>
      </c>
      <c r="G410" s="472"/>
      <c r="H410" s="472">
        <v>149564</v>
      </c>
      <c r="I410" s="473">
        <f t="shared" si="41"/>
        <v>1.2703120487862882</v>
      </c>
      <c r="J410" s="472">
        <v>0</v>
      </c>
      <c r="K410" s="471">
        <f t="shared" si="42"/>
        <v>149564</v>
      </c>
      <c r="L410" s="469">
        <f t="shared" ref="L410:L473" si="43">K410/E410</f>
        <v>1.2703120487862882</v>
      </c>
      <c r="M410" s="2439"/>
    </row>
    <row r="411" spans="1:13" s="251" customFormat="1" ht="14.25" customHeight="1">
      <c r="A411" s="475"/>
      <c r="B411" s="2445"/>
      <c r="C411" s="2453"/>
      <c r="D411" s="536">
        <v>4120</v>
      </c>
      <c r="E411" s="471">
        <v>16783</v>
      </c>
      <c r="F411" s="472">
        <v>16783</v>
      </c>
      <c r="G411" s="472"/>
      <c r="H411" s="472">
        <v>21287</v>
      </c>
      <c r="I411" s="473">
        <f t="shared" si="41"/>
        <v>1.2683667997378298</v>
      </c>
      <c r="J411" s="472">
        <v>0</v>
      </c>
      <c r="K411" s="471">
        <f t="shared" si="42"/>
        <v>21287</v>
      </c>
      <c r="L411" s="469">
        <f t="shared" si="43"/>
        <v>1.2683667997378298</v>
      </c>
      <c r="M411" s="2439"/>
    </row>
    <row r="412" spans="1:13" s="251" customFormat="1" ht="14.25" customHeight="1">
      <c r="A412" s="475"/>
      <c r="B412" s="2445"/>
      <c r="C412" s="2453"/>
      <c r="D412" s="474" t="s">
        <v>237</v>
      </c>
      <c r="E412" s="471">
        <v>1647</v>
      </c>
      <c r="F412" s="472">
        <v>1647</v>
      </c>
      <c r="G412" s="472"/>
      <c r="H412" s="472">
        <v>1851</v>
      </c>
      <c r="I412" s="473">
        <f t="shared" si="41"/>
        <v>1.1238615664845173</v>
      </c>
      <c r="J412" s="472">
        <v>0</v>
      </c>
      <c r="K412" s="471">
        <f t="shared" si="42"/>
        <v>1851</v>
      </c>
      <c r="L412" s="469">
        <f t="shared" si="43"/>
        <v>1.1238615664845173</v>
      </c>
      <c r="M412" s="2439"/>
    </row>
    <row r="413" spans="1:13" s="251" customFormat="1" ht="14.25" customHeight="1">
      <c r="A413" s="475"/>
      <c r="B413" s="2445"/>
      <c r="C413" s="2453"/>
      <c r="D413" s="602" t="s">
        <v>238</v>
      </c>
      <c r="E413" s="471">
        <v>162644</v>
      </c>
      <c r="F413" s="472">
        <v>162644</v>
      </c>
      <c r="G413" s="472"/>
      <c r="H413" s="472">
        <v>222217</v>
      </c>
      <c r="I413" s="473">
        <f t="shared" si="41"/>
        <v>1.3662784978234672</v>
      </c>
      <c r="J413" s="472">
        <v>0</v>
      </c>
      <c r="K413" s="471">
        <f t="shared" si="42"/>
        <v>222217</v>
      </c>
      <c r="L413" s="469">
        <f t="shared" si="43"/>
        <v>1.3662784978234672</v>
      </c>
      <c r="M413" s="2439"/>
    </row>
    <row r="414" spans="1:13" s="251" customFormat="1" ht="14.25" customHeight="1">
      <c r="A414" s="475"/>
      <c r="B414" s="2445"/>
      <c r="C414" s="2056"/>
      <c r="D414" s="602" t="s">
        <v>239</v>
      </c>
      <c r="E414" s="471">
        <v>14142</v>
      </c>
      <c r="F414" s="472">
        <v>14142</v>
      </c>
      <c r="G414" s="472"/>
      <c r="H414" s="472">
        <v>13747</v>
      </c>
      <c r="I414" s="473">
        <f t="shared" si="41"/>
        <v>0.97206901428369397</v>
      </c>
      <c r="J414" s="472">
        <v>0</v>
      </c>
      <c r="K414" s="471">
        <f t="shared" si="42"/>
        <v>13747</v>
      </c>
      <c r="L414" s="469">
        <f t="shared" si="43"/>
        <v>0.97206901428369397</v>
      </c>
      <c r="M414" s="2439"/>
    </row>
    <row r="415" spans="1:13" s="251" customFormat="1" ht="14.25" customHeight="1">
      <c r="A415" s="475"/>
      <c r="B415" s="2445"/>
      <c r="C415" s="2175" t="s">
        <v>21</v>
      </c>
      <c r="D415" s="449" t="s">
        <v>22</v>
      </c>
      <c r="E415" s="263">
        <f>SUM(E416:E421)</f>
        <v>105406</v>
      </c>
      <c r="F415" s="263">
        <f>SUM(F416:F421)</f>
        <v>105406</v>
      </c>
      <c r="G415" s="263"/>
      <c r="H415" s="263">
        <f>SUM(H416:H421)</f>
        <v>122992</v>
      </c>
      <c r="I415" s="468">
        <f t="shared" si="41"/>
        <v>1.1668405973094511</v>
      </c>
      <c r="J415" s="263">
        <f>SUM(J416:J421)</f>
        <v>0</v>
      </c>
      <c r="K415" s="406">
        <f>SUM(K416:K421)</f>
        <v>122992</v>
      </c>
      <c r="L415" s="469">
        <f t="shared" si="43"/>
        <v>1.1668405973094511</v>
      </c>
      <c r="M415" s="2439"/>
    </row>
    <row r="416" spans="1:13" s="251" customFormat="1" ht="14.25" customHeight="1">
      <c r="A416" s="475"/>
      <c r="B416" s="2445"/>
      <c r="C416" s="2455"/>
      <c r="D416" s="562" t="s">
        <v>232</v>
      </c>
      <c r="E416" s="471">
        <v>31580</v>
      </c>
      <c r="F416" s="472">
        <v>31580</v>
      </c>
      <c r="G416" s="472"/>
      <c r="H416" s="472">
        <v>36317</v>
      </c>
      <c r="I416" s="473">
        <f t="shared" si="41"/>
        <v>1.1499999999999999</v>
      </c>
      <c r="J416" s="472">
        <v>0</v>
      </c>
      <c r="K416" s="471">
        <f t="shared" si="42"/>
        <v>36317</v>
      </c>
      <c r="L416" s="469">
        <f t="shared" si="43"/>
        <v>1.1499999999999999</v>
      </c>
      <c r="M416" s="2439"/>
    </row>
    <row r="417" spans="1:13" s="251" customFormat="1" ht="14.25" customHeight="1">
      <c r="A417" s="475"/>
      <c r="B417" s="2445"/>
      <c r="C417" s="2455"/>
      <c r="D417" s="562" t="s">
        <v>242</v>
      </c>
      <c r="E417" s="471">
        <v>41931</v>
      </c>
      <c r="F417" s="472">
        <v>41931</v>
      </c>
      <c r="G417" s="472"/>
      <c r="H417" s="472">
        <v>48220</v>
      </c>
      <c r="I417" s="473">
        <f t="shared" si="41"/>
        <v>1.1499844983425151</v>
      </c>
      <c r="J417" s="472">
        <v>0</v>
      </c>
      <c r="K417" s="471">
        <f t="shared" si="42"/>
        <v>48220</v>
      </c>
      <c r="L417" s="469">
        <f t="shared" si="43"/>
        <v>1.1499844983425151</v>
      </c>
      <c r="M417" s="2439"/>
    </row>
    <row r="418" spans="1:13" s="251" customFormat="1" ht="14.25" customHeight="1">
      <c r="A418" s="475"/>
      <c r="B418" s="2445"/>
      <c r="C418" s="2455"/>
      <c r="D418" s="562" t="s">
        <v>244</v>
      </c>
      <c r="E418" s="471">
        <v>1576</v>
      </c>
      <c r="F418" s="472">
        <v>1576</v>
      </c>
      <c r="G418" s="472"/>
      <c r="H418" s="472">
        <v>1812</v>
      </c>
      <c r="I418" s="473">
        <f t="shared" si="41"/>
        <v>1.149746192893401</v>
      </c>
      <c r="J418" s="472">
        <v>0</v>
      </c>
      <c r="K418" s="471">
        <f t="shared" si="42"/>
        <v>1812</v>
      </c>
      <c r="L418" s="469">
        <f t="shared" si="43"/>
        <v>1.149746192893401</v>
      </c>
      <c r="M418" s="2439"/>
    </row>
    <row r="419" spans="1:13" s="251" customFormat="1" ht="14.25" customHeight="1">
      <c r="A419" s="475"/>
      <c r="B419" s="2445"/>
      <c r="C419" s="2455"/>
      <c r="D419" s="562" t="s">
        <v>222</v>
      </c>
      <c r="E419" s="471">
        <v>6625</v>
      </c>
      <c r="F419" s="472">
        <v>6625</v>
      </c>
      <c r="G419" s="472"/>
      <c r="H419" s="472">
        <v>7618</v>
      </c>
      <c r="I419" s="473">
        <f t="shared" si="41"/>
        <v>1.1498867924528302</v>
      </c>
      <c r="J419" s="472">
        <v>0</v>
      </c>
      <c r="K419" s="471">
        <f t="shared" si="42"/>
        <v>7618</v>
      </c>
      <c r="L419" s="469">
        <f t="shared" si="43"/>
        <v>1.1498867924528302</v>
      </c>
      <c r="M419" s="2439"/>
    </row>
    <row r="420" spans="1:13" s="251" customFormat="1" ht="14.25" customHeight="1">
      <c r="A420" s="475"/>
      <c r="B420" s="2445"/>
      <c r="C420" s="2455"/>
      <c r="D420" s="562" t="s">
        <v>245</v>
      </c>
      <c r="E420" s="471">
        <v>620</v>
      </c>
      <c r="F420" s="472">
        <v>620</v>
      </c>
      <c r="G420" s="472"/>
      <c r="H420" s="472">
        <v>670</v>
      </c>
      <c r="I420" s="473">
        <f t="shared" si="41"/>
        <v>1.0806451612903225</v>
      </c>
      <c r="J420" s="472">
        <v>0</v>
      </c>
      <c r="K420" s="471">
        <f t="shared" si="42"/>
        <v>670</v>
      </c>
      <c r="L420" s="469">
        <f t="shared" si="43"/>
        <v>1.0806451612903225</v>
      </c>
      <c r="M420" s="2439"/>
    </row>
    <row r="421" spans="1:13" s="251" customFormat="1" ht="14.25" customHeight="1">
      <c r="A421" s="475"/>
      <c r="B421" s="2445"/>
      <c r="C421" s="2455"/>
      <c r="D421" s="603" t="s">
        <v>249</v>
      </c>
      <c r="E421" s="471">
        <v>23074</v>
      </c>
      <c r="F421" s="472">
        <v>23074</v>
      </c>
      <c r="G421" s="472"/>
      <c r="H421" s="472">
        <v>28355</v>
      </c>
      <c r="I421" s="473">
        <f t="shared" si="41"/>
        <v>1.2288723238276849</v>
      </c>
      <c r="J421" s="472">
        <v>0</v>
      </c>
      <c r="K421" s="471">
        <f t="shared" si="42"/>
        <v>28355</v>
      </c>
      <c r="L421" s="469">
        <f t="shared" si="43"/>
        <v>1.2288723238276849</v>
      </c>
      <c r="M421" s="2439"/>
    </row>
    <row r="422" spans="1:13" s="251" customFormat="1" ht="14.25" hidden="1" customHeight="1">
      <c r="A422" s="475"/>
      <c r="B422" s="2445"/>
      <c r="C422" s="2467"/>
      <c r="D422" s="604" t="s">
        <v>264</v>
      </c>
      <c r="E422" s="406">
        <v>0</v>
      </c>
      <c r="F422" s="263"/>
      <c r="G422" s="263"/>
      <c r="H422" s="263"/>
      <c r="I422" s="468" t="e">
        <f t="shared" si="41"/>
        <v>#DIV/0!</v>
      </c>
      <c r="J422" s="263"/>
      <c r="K422" s="406"/>
      <c r="L422" s="469" t="e">
        <f t="shared" si="43"/>
        <v>#DIV/0!</v>
      </c>
      <c r="M422" s="2439"/>
    </row>
    <row r="423" spans="1:13" s="251" customFormat="1" ht="14.25" customHeight="1">
      <c r="A423" s="475"/>
      <c r="B423" s="2445"/>
      <c r="C423" s="448" t="s">
        <v>23</v>
      </c>
      <c r="D423" s="449"/>
      <c r="E423" s="406"/>
      <c r="F423" s="263"/>
      <c r="G423" s="263"/>
      <c r="H423" s="263"/>
      <c r="I423" s="468"/>
      <c r="J423" s="263"/>
      <c r="K423" s="406"/>
      <c r="L423" s="469"/>
      <c r="M423" s="2439"/>
    </row>
    <row r="424" spans="1:13" s="251" customFormat="1" ht="13.5" customHeight="1">
      <c r="A424" s="475"/>
      <c r="B424" s="2445"/>
      <c r="C424" s="448" t="s">
        <v>24</v>
      </c>
      <c r="D424" s="449">
        <v>3020</v>
      </c>
      <c r="E424" s="406">
        <v>3443</v>
      </c>
      <c r="F424" s="263">
        <v>3443</v>
      </c>
      <c r="G424" s="263"/>
      <c r="H424" s="263">
        <v>3443</v>
      </c>
      <c r="I424" s="468">
        <f t="shared" si="41"/>
        <v>1</v>
      </c>
      <c r="J424" s="263">
        <v>0</v>
      </c>
      <c r="K424" s="406">
        <f t="shared" ref="K424" si="44">SUM(H424,J424)</f>
        <v>3443</v>
      </c>
      <c r="L424" s="469">
        <f t="shared" si="43"/>
        <v>1</v>
      </c>
      <c r="M424" s="2439"/>
    </row>
    <row r="425" spans="1:13" s="251" customFormat="1" ht="24" customHeight="1">
      <c r="A425" s="475"/>
      <c r="B425" s="2445"/>
      <c r="C425" s="452" t="s">
        <v>25</v>
      </c>
      <c r="D425" s="449"/>
      <c r="E425" s="406"/>
      <c r="F425" s="263"/>
      <c r="G425" s="263"/>
      <c r="H425" s="263"/>
      <c r="I425" s="263"/>
      <c r="J425" s="263"/>
      <c r="K425" s="406"/>
      <c r="L425" s="469"/>
      <c r="M425" s="2439"/>
    </row>
    <row r="426" spans="1:13" s="251" customFormat="1" ht="14.25" customHeight="1">
      <c r="A426" s="475"/>
      <c r="B426" s="2445"/>
      <c r="C426" s="448" t="s">
        <v>26</v>
      </c>
      <c r="D426" s="449"/>
      <c r="E426" s="406"/>
      <c r="F426" s="263"/>
      <c r="G426" s="263"/>
      <c r="H426" s="263"/>
      <c r="I426" s="263"/>
      <c r="J426" s="263"/>
      <c r="K426" s="406"/>
      <c r="L426" s="469"/>
      <c r="M426" s="2439"/>
    </row>
    <row r="427" spans="1:13" s="251" customFormat="1" ht="14.25" customHeight="1">
      <c r="A427" s="475"/>
      <c r="B427" s="2445"/>
      <c r="C427" s="448" t="s">
        <v>27</v>
      </c>
      <c r="D427" s="449"/>
      <c r="E427" s="406"/>
      <c r="F427" s="263"/>
      <c r="G427" s="263"/>
      <c r="H427" s="263"/>
      <c r="I427" s="263"/>
      <c r="J427" s="263"/>
      <c r="K427" s="406"/>
      <c r="L427" s="469"/>
      <c r="M427" s="2439"/>
    </row>
    <row r="428" spans="1:13" s="251" customFormat="1" ht="14.25" customHeight="1">
      <c r="A428" s="475"/>
      <c r="B428" s="2445"/>
      <c r="C428" s="453" t="s">
        <v>28</v>
      </c>
      <c r="D428" s="446"/>
      <c r="E428" s="447">
        <v>0</v>
      </c>
      <c r="F428" s="261">
        <v>0</v>
      </c>
      <c r="G428" s="261"/>
      <c r="H428" s="261">
        <v>0</v>
      </c>
      <c r="I428" s="261"/>
      <c r="J428" s="261">
        <v>0</v>
      </c>
      <c r="K428" s="447">
        <v>0</v>
      </c>
      <c r="L428" s="469"/>
      <c r="M428" s="2439"/>
    </row>
    <row r="429" spans="1:13" s="251" customFormat="1" ht="14.25" customHeight="1">
      <c r="A429" s="475"/>
      <c r="B429" s="2445"/>
      <c r="C429" s="448" t="s">
        <v>29</v>
      </c>
      <c r="D429" s="449"/>
      <c r="E429" s="406"/>
      <c r="F429" s="263"/>
      <c r="G429" s="263"/>
      <c r="H429" s="263"/>
      <c r="I429" s="263"/>
      <c r="J429" s="263"/>
      <c r="K429" s="406"/>
      <c r="L429" s="469"/>
      <c r="M429" s="2439"/>
    </row>
    <row r="430" spans="1:13" s="251" customFormat="1" ht="22.5">
      <c r="A430" s="475"/>
      <c r="B430" s="2445"/>
      <c r="C430" s="452" t="s">
        <v>89</v>
      </c>
      <c r="D430" s="449"/>
      <c r="E430" s="406"/>
      <c r="F430" s="263"/>
      <c r="G430" s="263"/>
      <c r="H430" s="263"/>
      <c r="I430" s="263"/>
      <c r="J430" s="263"/>
      <c r="K430" s="406"/>
      <c r="L430" s="469"/>
      <c r="M430" s="2439"/>
    </row>
    <row r="431" spans="1:13" s="251" customFormat="1" ht="13.5" customHeight="1">
      <c r="A431" s="475"/>
      <c r="B431" s="2445"/>
      <c r="C431" s="448" t="s">
        <v>31</v>
      </c>
      <c r="D431" s="449"/>
      <c r="E431" s="406"/>
      <c r="F431" s="263"/>
      <c r="G431" s="263"/>
      <c r="H431" s="263"/>
      <c r="I431" s="263"/>
      <c r="J431" s="263"/>
      <c r="K431" s="406"/>
      <c r="L431" s="469"/>
      <c r="M431" s="2439"/>
    </row>
    <row r="432" spans="1:13" s="251" customFormat="1" ht="12" customHeight="1">
      <c r="A432" s="475"/>
      <c r="B432" s="1961"/>
      <c r="C432" s="448" t="s">
        <v>32</v>
      </c>
      <c r="D432" s="446"/>
      <c r="E432" s="406"/>
      <c r="F432" s="263"/>
      <c r="G432" s="263"/>
      <c r="H432" s="263"/>
      <c r="I432" s="263"/>
      <c r="J432" s="263"/>
      <c r="K432" s="406"/>
      <c r="L432" s="469"/>
      <c r="M432" s="2454"/>
    </row>
    <row r="433" spans="1:13" s="251" customFormat="1" ht="22.5" customHeight="1">
      <c r="A433" s="475"/>
      <c r="B433" s="1959" t="s">
        <v>339</v>
      </c>
      <c r="C433" s="605" t="s">
        <v>340</v>
      </c>
      <c r="D433" s="606"/>
      <c r="E433" s="607">
        <f>SUM(E434,E461)</f>
        <v>5152000</v>
      </c>
      <c r="F433" s="607">
        <f>SUM(F434,F461)</f>
        <v>4830000</v>
      </c>
      <c r="G433" s="607"/>
      <c r="H433" s="607">
        <f>SUM(H434,H461)</f>
        <v>0</v>
      </c>
      <c r="I433" s="595">
        <f>H433/E433</f>
        <v>0</v>
      </c>
      <c r="J433" s="607">
        <f>SUM(J434,J461)</f>
        <v>0</v>
      </c>
      <c r="K433" s="524">
        <f>SUM(K434,K461)</f>
        <v>0</v>
      </c>
      <c r="L433" s="464">
        <f t="shared" si="43"/>
        <v>0</v>
      </c>
      <c r="M433" s="510"/>
    </row>
    <row r="434" spans="1:13" s="251" customFormat="1" ht="14.25" customHeight="1">
      <c r="A434" s="475"/>
      <c r="B434" s="2445"/>
      <c r="C434" s="268" t="s">
        <v>18</v>
      </c>
      <c r="D434" s="446"/>
      <c r="E434" s="261">
        <f>SUM(E435,E438:E440,E459:E460)</f>
        <v>5152000</v>
      </c>
      <c r="F434" s="261">
        <f>SUM(F435,F438:F440,F459:F460)</f>
        <v>4830000</v>
      </c>
      <c r="G434" s="261"/>
      <c r="H434" s="261">
        <f>SUM(H435,H438:H440,H459:H460)</f>
        <v>0</v>
      </c>
      <c r="I434" s="465">
        <f>H434/E434</f>
        <v>0</v>
      </c>
      <c r="J434" s="261">
        <f>SUM(J435,J438:J440,J459:J460)</f>
        <v>0</v>
      </c>
      <c r="K434" s="447">
        <f>SUM(K435,K438:K440,K459:K460)</f>
        <v>0</v>
      </c>
      <c r="L434" s="466">
        <f t="shared" si="43"/>
        <v>0</v>
      </c>
      <c r="M434" s="505"/>
    </row>
    <row r="435" spans="1:13" s="251" customFormat="1" ht="13.5" customHeight="1">
      <c r="A435" s="475"/>
      <c r="B435" s="2445"/>
      <c r="C435" s="448" t="s">
        <v>19</v>
      </c>
      <c r="D435" s="601"/>
      <c r="E435" s="406"/>
      <c r="F435" s="263"/>
      <c r="G435" s="263"/>
      <c r="H435" s="263"/>
      <c r="I435" s="468"/>
      <c r="J435" s="263"/>
      <c r="K435" s="406"/>
      <c r="L435" s="469"/>
      <c r="M435" s="505"/>
    </row>
    <row r="436" spans="1:13" s="251" customFormat="1" ht="13.5" customHeight="1">
      <c r="A436" s="475"/>
      <c r="B436" s="2445"/>
      <c r="C436" s="450" t="s">
        <v>20</v>
      </c>
      <c r="D436" s="449"/>
      <c r="E436" s="406"/>
      <c r="F436" s="263"/>
      <c r="G436" s="263"/>
      <c r="H436" s="263"/>
      <c r="I436" s="468"/>
      <c r="J436" s="263"/>
      <c r="K436" s="406"/>
      <c r="L436" s="469"/>
      <c r="M436" s="505"/>
    </row>
    <row r="437" spans="1:13" s="251" customFormat="1" ht="13.5" customHeight="1">
      <c r="A437" s="475"/>
      <c r="B437" s="2445"/>
      <c r="C437" s="451" t="s">
        <v>21</v>
      </c>
      <c r="D437" s="569"/>
      <c r="E437" s="406"/>
      <c r="F437" s="263"/>
      <c r="G437" s="263"/>
      <c r="H437" s="263"/>
      <c r="I437" s="473"/>
      <c r="J437" s="263"/>
      <c r="K437" s="406"/>
      <c r="L437" s="469"/>
      <c r="M437" s="505"/>
    </row>
    <row r="438" spans="1:13" s="251" customFormat="1" ht="13.5" customHeight="1">
      <c r="A438" s="475"/>
      <c r="B438" s="2445"/>
      <c r="C438" s="448" t="s">
        <v>23</v>
      </c>
      <c r="D438" s="449"/>
      <c r="E438" s="406"/>
      <c r="F438" s="263"/>
      <c r="G438" s="263"/>
      <c r="H438" s="263"/>
      <c r="I438" s="263"/>
      <c r="J438" s="263"/>
      <c r="K438" s="406"/>
      <c r="L438" s="469"/>
      <c r="M438" s="505"/>
    </row>
    <row r="439" spans="1:13" s="251" customFormat="1" ht="13.5" customHeight="1">
      <c r="A439" s="608"/>
      <c r="B439" s="1961"/>
      <c r="C439" s="448" t="s">
        <v>24</v>
      </c>
      <c r="D439" s="474"/>
      <c r="E439" s="406"/>
      <c r="F439" s="263"/>
      <c r="G439" s="263"/>
      <c r="H439" s="263"/>
      <c r="I439" s="263"/>
      <c r="J439" s="263"/>
      <c r="K439" s="406"/>
      <c r="L439" s="469"/>
      <c r="M439" s="609"/>
    </row>
    <row r="440" spans="1:13" s="251" customFormat="1" ht="14.25" customHeight="1">
      <c r="A440" s="610"/>
      <c r="B440" s="1959" t="s">
        <v>339</v>
      </c>
      <c r="C440" s="2175" t="s">
        <v>25</v>
      </c>
      <c r="D440" s="449" t="s">
        <v>22</v>
      </c>
      <c r="E440" s="263">
        <f>SUM(E441:E458)</f>
        <v>5152000</v>
      </c>
      <c r="F440" s="263">
        <f>SUM(F441:F458)</f>
        <v>4830000</v>
      </c>
      <c r="G440" s="263"/>
      <c r="H440" s="263">
        <f>SUM(H441:H458)</f>
        <v>0</v>
      </c>
      <c r="I440" s="468">
        <f t="shared" ref="I440:I458" si="45">H440/E440</f>
        <v>0</v>
      </c>
      <c r="J440" s="263">
        <f>SUM(J441:J458)</f>
        <v>0</v>
      </c>
      <c r="K440" s="406">
        <f>SUM(K441:K458)</f>
        <v>0</v>
      </c>
      <c r="L440" s="469">
        <f t="shared" si="43"/>
        <v>0</v>
      </c>
      <c r="M440" s="510"/>
    </row>
    <row r="441" spans="1:13" s="251" customFormat="1" ht="14.25" customHeight="1">
      <c r="A441" s="475"/>
      <c r="B441" s="2445"/>
      <c r="C441" s="2455"/>
      <c r="D441" s="611" t="s">
        <v>341</v>
      </c>
      <c r="E441" s="471">
        <v>3748500</v>
      </c>
      <c r="F441" s="472">
        <v>3510500</v>
      </c>
      <c r="G441" s="472"/>
      <c r="H441" s="472">
        <v>0</v>
      </c>
      <c r="I441" s="473">
        <f t="shared" si="45"/>
        <v>0</v>
      </c>
      <c r="J441" s="472">
        <v>0</v>
      </c>
      <c r="K441" s="471">
        <f t="shared" ref="K441:K458" si="46">SUM(H441,J441)</f>
        <v>0</v>
      </c>
      <c r="L441" s="469">
        <f t="shared" si="43"/>
        <v>0</v>
      </c>
      <c r="M441" s="505"/>
    </row>
    <row r="442" spans="1:13" s="251" customFormat="1" ht="14.25" customHeight="1">
      <c r="A442" s="475"/>
      <c r="B442" s="2445"/>
      <c r="C442" s="2455"/>
      <c r="D442" s="611" t="s">
        <v>342</v>
      </c>
      <c r="E442" s="471">
        <v>661500</v>
      </c>
      <c r="F442" s="472">
        <v>619500</v>
      </c>
      <c r="G442" s="472"/>
      <c r="H442" s="472">
        <v>0</v>
      </c>
      <c r="I442" s="473">
        <f t="shared" si="45"/>
        <v>0</v>
      </c>
      <c r="J442" s="472">
        <v>0</v>
      </c>
      <c r="K442" s="471">
        <f t="shared" si="46"/>
        <v>0</v>
      </c>
      <c r="L442" s="469">
        <f t="shared" si="43"/>
        <v>0</v>
      </c>
      <c r="M442" s="505"/>
    </row>
    <row r="443" spans="1:13" s="251" customFormat="1" ht="14.25" customHeight="1">
      <c r="A443" s="475"/>
      <c r="B443" s="2445"/>
      <c r="C443" s="2455"/>
      <c r="D443" s="611" t="s">
        <v>285</v>
      </c>
      <c r="E443" s="471">
        <v>455304</v>
      </c>
      <c r="F443" s="472">
        <v>442051</v>
      </c>
      <c r="G443" s="472"/>
      <c r="H443" s="472">
        <v>0</v>
      </c>
      <c r="I443" s="473">
        <f t="shared" si="45"/>
        <v>0</v>
      </c>
      <c r="J443" s="472">
        <v>0</v>
      </c>
      <c r="K443" s="471">
        <f t="shared" si="46"/>
        <v>0</v>
      </c>
      <c r="L443" s="469">
        <f t="shared" si="43"/>
        <v>0</v>
      </c>
      <c r="M443" s="505"/>
    </row>
    <row r="444" spans="1:13" s="251" customFormat="1" ht="14.25" customHeight="1">
      <c r="A444" s="475"/>
      <c r="B444" s="2445"/>
      <c r="C444" s="2455"/>
      <c r="D444" s="611" t="s">
        <v>286</v>
      </c>
      <c r="E444" s="471">
        <v>80342</v>
      </c>
      <c r="F444" s="472">
        <v>78009</v>
      </c>
      <c r="G444" s="472"/>
      <c r="H444" s="472">
        <v>0</v>
      </c>
      <c r="I444" s="473">
        <f t="shared" si="45"/>
        <v>0</v>
      </c>
      <c r="J444" s="472">
        <v>0</v>
      </c>
      <c r="K444" s="471">
        <f t="shared" si="46"/>
        <v>0</v>
      </c>
      <c r="L444" s="469">
        <f t="shared" si="43"/>
        <v>0</v>
      </c>
      <c r="M444" s="505"/>
    </row>
    <row r="445" spans="1:13" s="251" customFormat="1" ht="14.25" customHeight="1">
      <c r="A445" s="475"/>
      <c r="B445" s="2445"/>
      <c r="C445" s="2455"/>
      <c r="D445" s="611" t="s">
        <v>265</v>
      </c>
      <c r="E445" s="471">
        <v>97572</v>
      </c>
      <c r="F445" s="472">
        <v>75989</v>
      </c>
      <c r="G445" s="472"/>
      <c r="H445" s="472">
        <v>0</v>
      </c>
      <c r="I445" s="473">
        <f t="shared" si="45"/>
        <v>0</v>
      </c>
      <c r="J445" s="472">
        <v>0</v>
      </c>
      <c r="K445" s="471">
        <f t="shared" si="46"/>
        <v>0</v>
      </c>
      <c r="L445" s="469">
        <f t="shared" si="43"/>
        <v>0</v>
      </c>
      <c r="M445" s="505"/>
    </row>
    <row r="446" spans="1:13" s="251" customFormat="1" ht="14.25" customHeight="1">
      <c r="A446" s="475"/>
      <c r="B446" s="2445"/>
      <c r="C446" s="2455"/>
      <c r="D446" s="611" t="s">
        <v>266</v>
      </c>
      <c r="E446" s="471">
        <v>17222</v>
      </c>
      <c r="F446" s="472">
        <v>13409</v>
      </c>
      <c r="G446" s="472"/>
      <c r="H446" s="472">
        <v>0</v>
      </c>
      <c r="I446" s="473">
        <f t="shared" si="45"/>
        <v>0</v>
      </c>
      <c r="J446" s="472">
        <v>0</v>
      </c>
      <c r="K446" s="471">
        <f t="shared" si="46"/>
        <v>0</v>
      </c>
      <c r="L446" s="469">
        <f t="shared" si="43"/>
        <v>0</v>
      </c>
      <c r="M446" s="505"/>
    </row>
    <row r="447" spans="1:13" s="251" customFormat="1" ht="14.25" customHeight="1">
      <c r="A447" s="475"/>
      <c r="B447" s="2445"/>
      <c r="C447" s="2455"/>
      <c r="D447" s="611" t="s">
        <v>267</v>
      </c>
      <c r="E447" s="471">
        <v>13904</v>
      </c>
      <c r="F447" s="472">
        <v>10830</v>
      </c>
      <c r="G447" s="472"/>
      <c r="H447" s="472">
        <v>0</v>
      </c>
      <c r="I447" s="473">
        <f t="shared" si="45"/>
        <v>0</v>
      </c>
      <c r="J447" s="472">
        <v>0</v>
      </c>
      <c r="K447" s="471">
        <f t="shared" si="46"/>
        <v>0</v>
      </c>
      <c r="L447" s="469">
        <f t="shared" si="43"/>
        <v>0</v>
      </c>
      <c r="M447" s="505"/>
    </row>
    <row r="448" spans="1:13" s="251" customFormat="1" ht="14.25" customHeight="1">
      <c r="A448" s="475"/>
      <c r="B448" s="2445"/>
      <c r="C448" s="2455"/>
      <c r="D448" s="611" t="s">
        <v>268</v>
      </c>
      <c r="E448" s="471">
        <v>2456</v>
      </c>
      <c r="F448" s="472">
        <v>1911</v>
      </c>
      <c r="G448" s="472"/>
      <c r="H448" s="472">
        <v>0</v>
      </c>
      <c r="I448" s="473">
        <f t="shared" si="45"/>
        <v>0</v>
      </c>
      <c r="J448" s="472">
        <v>0</v>
      </c>
      <c r="K448" s="471">
        <f t="shared" si="46"/>
        <v>0</v>
      </c>
      <c r="L448" s="469">
        <f t="shared" si="43"/>
        <v>0</v>
      </c>
      <c r="M448" s="505"/>
    </row>
    <row r="449" spans="1:13" s="251" customFormat="1" ht="14.25" customHeight="1">
      <c r="A449" s="475"/>
      <c r="B449" s="2445"/>
      <c r="C449" s="2455"/>
      <c r="D449" s="611" t="s">
        <v>291</v>
      </c>
      <c r="E449" s="471">
        <v>37842</v>
      </c>
      <c r="F449" s="472">
        <v>35700</v>
      </c>
      <c r="G449" s="472"/>
      <c r="H449" s="472">
        <v>0</v>
      </c>
      <c r="I449" s="473">
        <f t="shared" si="45"/>
        <v>0</v>
      </c>
      <c r="J449" s="472">
        <v>0</v>
      </c>
      <c r="K449" s="471">
        <f t="shared" si="46"/>
        <v>0</v>
      </c>
      <c r="L449" s="469">
        <f t="shared" si="43"/>
        <v>0</v>
      </c>
      <c r="M449" s="505"/>
    </row>
    <row r="450" spans="1:13" s="251" customFormat="1" ht="14.25" customHeight="1">
      <c r="A450" s="475"/>
      <c r="B450" s="2445"/>
      <c r="C450" s="2455"/>
      <c r="D450" s="611" t="s">
        <v>292</v>
      </c>
      <c r="E450" s="471">
        <v>6678</v>
      </c>
      <c r="F450" s="472">
        <v>6300</v>
      </c>
      <c r="G450" s="472"/>
      <c r="H450" s="472">
        <v>0</v>
      </c>
      <c r="I450" s="473">
        <f t="shared" si="45"/>
        <v>0</v>
      </c>
      <c r="J450" s="472">
        <v>0</v>
      </c>
      <c r="K450" s="471">
        <f t="shared" si="46"/>
        <v>0</v>
      </c>
      <c r="L450" s="469">
        <f t="shared" si="43"/>
        <v>0</v>
      </c>
      <c r="M450" s="505"/>
    </row>
    <row r="451" spans="1:13" s="251" customFormat="1" ht="14.25" customHeight="1">
      <c r="A451" s="475"/>
      <c r="B451" s="2445"/>
      <c r="C451" s="2455"/>
      <c r="D451" s="611" t="s">
        <v>298</v>
      </c>
      <c r="E451" s="471">
        <v>12614</v>
      </c>
      <c r="F451" s="472">
        <v>11900</v>
      </c>
      <c r="G451" s="472"/>
      <c r="H451" s="472">
        <v>0</v>
      </c>
      <c r="I451" s="473">
        <f t="shared" si="45"/>
        <v>0</v>
      </c>
      <c r="J451" s="472">
        <v>0</v>
      </c>
      <c r="K451" s="471">
        <f t="shared" si="46"/>
        <v>0</v>
      </c>
      <c r="L451" s="469">
        <f t="shared" si="43"/>
        <v>0</v>
      </c>
      <c r="M451" s="505"/>
    </row>
    <row r="452" spans="1:13" s="251" customFormat="1" ht="14.25" customHeight="1">
      <c r="A452" s="475"/>
      <c r="B452" s="2445"/>
      <c r="C452" s="2455"/>
      <c r="D452" s="611" t="s">
        <v>299</v>
      </c>
      <c r="E452" s="471">
        <v>2226</v>
      </c>
      <c r="F452" s="472">
        <v>2100</v>
      </c>
      <c r="G452" s="472"/>
      <c r="H452" s="472">
        <v>0</v>
      </c>
      <c r="I452" s="473">
        <f t="shared" si="45"/>
        <v>0</v>
      </c>
      <c r="J452" s="472">
        <v>0</v>
      </c>
      <c r="K452" s="471">
        <f t="shared" si="46"/>
        <v>0</v>
      </c>
      <c r="L452" s="469">
        <f t="shared" si="43"/>
        <v>0</v>
      </c>
      <c r="M452" s="505"/>
    </row>
    <row r="453" spans="1:13" s="251" customFormat="1" ht="14.25" customHeight="1">
      <c r="A453" s="475"/>
      <c r="B453" s="2445"/>
      <c r="C453" s="2455"/>
      <c r="D453" s="612" t="s">
        <v>273</v>
      </c>
      <c r="E453" s="471">
        <v>6308</v>
      </c>
      <c r="F453" s="472">
        <v>5950</v>
      </c>
      <c r="G453" s="472"/>
      <c r="H453" s="472">
        <v>0</v>
      </c>
      <c r="I453" s="473">
        <f t="shared" si="45"/>
        <v>0</v>
      </c>
      <c r="J453" s="472">
        <v>0</v>
      </c>
      <c r="K453" s="471">
        <f t="shared" si="46"/>
        <v>0</v>
      </c>
      <c r="L453" s="469">
        <f t="shared" si="43"/>
        <v>0</v>
      </c>
      <c r="M453" s="505"/>
    </row>
    <row r="454" spans="1:13" s="251" customFormat="1" ht="14.25" customHeight="1">
      <c r="A454" s="475"/>
      <c r="B454" s="2445"/>
      <c r="C454" s="2455"/>
      <c r="D454" s="613" t="s">
        <v>274</v>
      </c>
      <c r="E454" s="545">
        <v>1112</v>
      </c>
      <c r="F454" s="546">
        <v>1050</v>
      </c>
      <c r="G454" s="546"/>
      <c r="H454" s="546">
        <v>0</v>
      </c>
      <c r="I454" s="547">
        <f t="shared" si="45"/>
        <v>0</v>
      </c>
      <c r="J454" s="546">
        <v>0</v>
      </c>
      <c r="K454" s="471">
        <f t="shared" si="46"/>
        <v>0</v>
      </c>
      <c r="L454" s="469">
        <f t="shared" si="43"/>
        <v>0</v>
      </c>
      <c r="M454" s="505"/>
    </row>
    <row r="455" spans="1:13" s="251" customFormat="1" ht="12.75" customHeight="1">
      <c r="A455" s="475"/>
      <c r="B455" s="2445"/>
      <c r="C455" s="2455"/>
      <c r="D455" s="611" t="s">
        <v>302</v>
      </c>
      <c r="E455" s="471">
        <v>6308</v>
      </c>
      <c r="F455" s="472">
        <v>5950</v>
      </c>
      <c r="G455" s="472"/>
      <c r="H455" s="472">
        <v>0</v>
      </c>
      <c r="I455" s="473">
        <f t="shared" si="45"/>
        <v>0</v>
      </c>
      <c r="J455" s="472">
        <v>0</v>
      </c>
      <c r="K455" s="471">
        <f t="shared" si="46"/>
        <v>0</v>
      </c>
      <c r="L455" s="469">
        <f t="shared" si="43"/>
        <v>0</v>
      </c>
      <c r="M455" s="505"/>
    </row>
    <row r="456" spans="1:13" s="251" customFormat="1" ht="12.75" customHeight="1">
      <c r="A456" s="475"/>
      <c r="B456" s="2445"/>
      <c r="C456" s="2455"/>
      <c r="D456" s="611" t="s">
        <v>303</v>
      </c>
      <c r="E456" s="471">
        <v>1112</v>
      </c>
      <c r="F456" s="472">
        <v>1050</v>
      </c>
      <c r="G456" s="472"/>
      <c r="H456" s="472">
        <v>0</v>
      </c>
      <c r="I456" s="473">
        <f t="shared" si="45"/>
        <v>0</v>
      </c>
      <c r="J456" s="472">
        <v>0</v>
      </c>
      <c r="K456" s="471">
        <f t="shared" si="46"/>
        <v>0</v>
      </c>
      <c r="L456" s="469">
        <f t="shared" si="43"/>
        <v>0</v>
      </c>
      <c r="M456" s="505"/>
    </row>
    <row r="457" spans="1:13" s="251" customFormat="1" ht="12.75" customHeight="1">
      <c r="A457" s="475"/>
      <c r="B457" s="2445"/>
      <c r="C457" s="2455"/>
      <c r="D457" s="611" t="s">
        <v>271</v>
      </c>
      <c r="E457" s="471">
        <v>848</v>
      </c>
      <c r="F457" s="472">
        <v>6630</v>
      </c>
      <c r="G457" s="472"/>
      <c r="H457" s="472">
        <v>0</v>
      </c>
      <c r="I457" s="473">
        <f t="shared" si="45"/>
        <v>0</v>
      </c>
      <c r="J457" s="472">
        <v>0</v>
      </c>
      <c r="K457" s="471">
        <f t="shared" si="46"/>
        <v>0</v>
      </c>
      <c r="L457" s="469">
        <f t="shared" si="43"/>
        <v>0</v>
      </c>
      <c r="M457" s="505"/>
    </row>
    <row r="458" spans="1:13" s="251" customFormat="1" ht="12.75" customHeight="1">
      <c r="A458" s="475"/>
      <c r="B458" s="2445"/>
      <c r="C458" s="2456"/>
      <c r="D458" s="611" t="s">
        <v>272</v>
      </c>
      <c r="E458" s="471">
        <v>152</v>
      </c>
      <c r="F458" s="472">
        <v>1171</v>
      </c>
      <c r="G458" s="472"/>
      <c r="H458" s="472">
        <v>0</v>
      </c>
      <c r="I458" s="473">
        <f t="shared" si="45"/>
        <v>0</v>
      </c>
      <c r="J458" s="472">
        <v>0</v>
      </c>
      <c r="K458" s="471">
        <f t="shared" si="46"/>
        <v>0</v>
      </c>
      <c r="L458" s="469">
        <f t="shared" si="43"/>
        <v>0</v>
      </c>
      <c r="M458" s="505"/>
    </row>
    <row r="459" spans="1:13" s="251" customFormat="1" ht="14.25" customHeight="1">
      <c r="A459" s="475"/>
      <c r="B459" s="2445"/>
      <c r="C459" s="448" t="s">
        <v>26</v>
      </c>
      <c r="E459" s="406"/>
      <c r="F459" s="263"/>
      <c r="G459" s="263"/>
      <c r="H459" s="263"/>
      <c r="I459" s="263"/>
      <c r="J459" s="263"/>
      <c r="K459" s="471"/>
      <c r="L459" s="469"/>
      <c r="M459" s="505"/>
    </row>
    <row r="460" spans="1:13" s="251" customFormat="1" ht="14.25" customHeight="1">
      <c r="A460" s="475"/>
      <c r="B460" s="2445"/>
      <c r="C460" s="448" t="s">
        <v>27</v>
      </c>
      <c r="D460" s="449"/>
      <c r="E460" s="406"/>
      <c r="F460" s="263"/>
      <c r="G460" s="263"/>
      <c r="H460" s="263"/>
      <c r="I460" s="263"/>
      <c r="J460" s="263"/>
      <c r="K460" s="471"/>
      <c r="L460" s="469"/>
      <c r="M460" s="505"/>
    </row>
    <row r="461" spans="1:13" s="251" customFormat="1" ht="13.5" customHeight="1">
      <c r="A461" s="475"/>
      <c r="B461" s="2445"/>
      <c r="C461" s="518" t="s">
        <v>28</v>
      </c>
      <c r="D461" s="519"/>
      <c r="E461" s="520">
        <v>0</v>
      </c>
      <c r="F461" s="254">
        <v>0</v>
      </c>
      <c r="G461" s="254"/>
      <c r="H461" s="254">
        <v>0</v>
      </c>
      <c r="I461" s="254"/>
      <c r="J461" s="254">
        <v>0</v>
      </c>
      <c r="K461" s="520">
        <v>0</v>
      </c>
      <c r="L461" s="469"/>
      <c r="M461" s="505"/>
    </row>
    <row r="462" spans="1:13" s="251" customFormat="1" ht="11.25" customHeight="1">
      <c r="A462" s="475"/>
      <c r="B462" s="2445"/>
      <c r="C462" s="448" t="s">
        <v>29</v>
      </c>
      <c r="D462" s="449"/>
      <c r="E462" s="406"/>
      <c r="F462" s="263"/>
      <c r="G462" s="263"/>
      <c r="H462" s="263"/>
      <c r="I462" s="263"/>
      <c r="J462" s="263"/>
      <c r="K462" s="406"/>
      <c r="L462" s="469"/>
      <c r="M462" s="505"/>
    </row>
    <row r="463" spans="1:13" s="251" customFormat="1" ht="21" customHeight="1">
      <c r="A463" s="475"/>
      <c r="B463" s="2445"/>
      <c r="C463" s="452" t="s">
        <v>89</v>
      </c>
      <c r="D463" s="449"/>
      <c r="E463" s="406"/>
      <c r="F463" s="263"/>
      <c r="G463" s="263"/>
      <c r="H463" s="263"/>
      <c r="I463" s="263"/>
      <c r="J463" s="263"/>
      <c r="K463" s="406"/>
      <c r="L463" s="469"/>
      <c r="M463" s="505"/>
    </row>
    <row r="464" spans="1:13" s="251" customFormat="1" ht="10.5" customHeight="1">
      <c r="A464" s="475"/>
      <c r="B464" s="2445"/>
      <c r="C464" s="448" t="s">
        <v>31</v>
      </c>
      <c r="D464" s="449"/>
      <c r="E464" s="406"/>
      <c r="F464" s="263"/>
      <c r="G464" s="263"/>
      <c r="H464" s="263"/>
      <c r="I464" s="263"/>
      <c r="J464" s="263"/>
      <c r="K464" s="406"/>
      <c r="L464" s="469"/>
      <c r="M464" s="505"/>
    </row>
    <row r="465" spans="1:13" s="251" customFormat="1" ht="12" customHeight="1">
      <c r="A465" s="475"/>
      <c r="B465" s="2437"/>
      <c r="C465" s="448" t="s">
        <v>32</v>
      </c>
      <c r="D465" s="446"/>
      <c r="E465" s="406"/>
      <c r="F465" s="263"/>
      <c r="G465" s="263"/>
      <c r="H465" s="263"/>
      <c r="I465" s="263"/>
      <c r="J465" s="263"/>
      <c r="K465" s="406"/>
      <c r="L465" s="469"/>
      <c r="M465" s="509"/>
    </row>
    <row r="466" spans="1:13" s="251" customFormat="1" ht="12.75" customHeight="1">
      <c r="A466" s="475"/>
      <c r="B466" s="1959" t="s">
        <v>343</v>
      </c>
      <c r="C466" s="463" t="s">
        <v>344</v>
      </c>
      <c r="D466" s="444"/>
      <c r="E466" s="258">
        <f>SUM(E467,E491)</f>
        <v>657938</v>
      </c>
      <c r="F466" s="258">
        <f>SUM(F467,F491)</f>
        <v>770546</v>
      </c>
      <c r="G466" s="258"/>
      <c r="H466" s="258">
        <f>SUM(H467,H491)</f>
        <v>596634</v>
      </c>
      <c r="I466" s="464">
        <f>H466/E466</f>
        <v>0.9068240472506528</v>
      </c>
      <c r="J466" s="258">
        <f>SUM(J467,J491)</f>
        <v>300000</v>
      </c>
      <c r="K466" s="445">
        <f>SUM(K467,K491)</f>
        <v>896634</v>
      </c>
      <c r="L466" s="464">
        <f t="shared" si="43"/>
        <v>1.3627940626624393</v>
      </c>
      <c r="M466" s="2438" t="s">
        <v>631</v>
      </c>
    </row>
    <row r="467" spans="1:13" s="251" customFormat="1" ht="11.25" customHeight="1">
      <c r="A467" s="475"/>
      <c r="B467" s="2445"/>
      <c r="C467" s="268" t="s">
        <v>18</v>
      </c>
      <c r="D467" s="449"/>
      <c r="E467" s="261">
        <f>SUM(E468,E486:E490)</f>
        <v>632938</v>
      </c>
      <c r="F467" s="261">
        <f>SUM(F468,F486:F490)</f>
        <v>745546</v>
      </c>
      <c r="G467" s="261"/>
      <c r="H467" s="261">
        <f>SUM(H468,H486:H490)</f>
        <v>596634</v>
      </c>
      <c r="I467" s="465">
        <f>H467/E467</f>
        <v>0.94264209132648058</v>
      </c>
      <c r="J467" s="261">
        <f>SUM(J468,J486:J490)</f>
        <v>300000</v>
      </c>
      <c r="K467" s="447">
        <f>SUM(K468,K486:K490)</f>
        <v>896634</v>
      </c>
      <c r="L467" s="466">
        <f t="shared" si="43"/>
        <v>1.4166221652041748</v>
      </c>
      <c r="M467" s="2439"/>
    </row>
    <row r="468" spans="1:13" s="251" customFormat="1" ht="13.5" customHeight="1">
      <c r="A468" s="475"/>
      <c r="B468" s="2445"/>
      <c r="C468" s="448" t="s">
        <v>19</v>
      </c>
      <c r="D468" s="449"/>
      <c r="E468" s="263">
        <f>SUM(E469,E478)</f>
        <v>630569</v>
      </c>
      <c r="F468" s="263">
        <f>SUM(F469,F478)</f>
        <v>743177</v>
      </c>
      <c r="G468" s="263"/>
      <c r="H468" s="263">
        <f>SUM(H469,H478)</f>
        <v>594194</v>
      </c>
      <c r="I468" s="468">
        <f t="shared" ref="I468:I470" si="47">H468/E468</f>
        <v>0.94231400528728815</v>
      </c>
      <c r="J468" s="263">
        <f>SUM(J469,J478)</f>
        <v>300000</v>
      </c>
      <c r="K468" s="406">
        <f>SUM(K469,K478)</f>
        <v>894194</v>
      </c>
      <c r="L468" s="469">
        <f t="shared" si="43"/>
        <v>1.4180747864230561</v>
      </c>
      <c r="M468" s="2439"/>
    </row>
    <row r="469" spans="1:13" s="251" customFormat="1" ht="14.25" customHeight="1">
      <c r="A469" s="475"/>
      <c r="B469" s="2445"/>
      <c r="C469" s="2054" t="s">
        <v>20</v>
      </c>
      <c r="D469" s="449" t="s">
        <v>22</v>
      </c>
      <c r="E469" s="263">
        <f>SUM(E470:E477)</f>
        <v>76548</v>
      </c>
      <c r="F469" s="263">
        <f>SUM(F470:F477)</f>
        <v>76548</v>
      </c>
      <c r="G469" s="263"/>
      <c r="H469" s="263">
        <f>SUM(H470:H477)</f>
        <v>83044</v>
      </c>
      <c r="I469" s="468">
        <f t="shared" si="47"/>
        <v>1.0848617860688718</v>
      </c>
      <c r="J469" s="263">
        <f>SUM(J470:J477)</f>
        <v>0</v>
      </c>
      <c r="K469" s="406">
        <f>SUM(K470:K477)</f>
        <v>83044</v>
      </c>
      <c r="L469" s="469">
        <f t="shared" si="43"/>
        <v>1.0848617860688718</v>
      </c>
      <c r="M469" s="2439"/>
    </row>
    <row r="470" spans="1:13" s="251" customFormat="1" ht="14.25" hidden="1" customHeight="1">
      <c r="A470" s="475"/>
      <c r="B470" s="2445"/>
      <c r="C470" s="2453"/>
      <c r="D470" s="474">
        <v>4010</v>
      </c>
      <c r="E470" s="471">
        <v>0</v>
      </c>
      <c r="F470" s="472">
        <v>0</v>
      </c>
      <c r="G470" s="472"/>
      <c r="H470" s="472">
        <v>0</v>
      </c>
      <c r="I470" s="473" t="e">
        <f t="shared" si="47"/>
        <v>#DIV/0!</v>
      </c>
      <c r="J470" s="472">
        <v>0</v>
      </c>
      <c r="K470" s="471">
        <v>0</v>
      </c>
      <c r="L470" s="469" t="e">
        <f t="shared" si="43"/>
        <v>#DIV/0!</v>
      </c>
      <c r="M470" s="2439"/>
    </row>
    <row r="471" spans="1:13" s="251" customFormat="1" ht="14.25" hidden="1" customHeight="1">
      <c r="A471" s="475"/>
      <c r="B471" s="2445"/>
      <c r="C471" s="2453"/>
      <c r="D471" s="474">
        <v>4040</v>
      </c>
      <c r="E471" s="471">
        <v>0</v>
      </c>
      <c r="F471" s="472"/>
      <c r="G471" s="472"/>
      <c r="H471" s="472"/>
      <c r="I471" s="472"/>
      <c r="J471" s="472"/>
      <c r="K471" s="471"/>
      <c r="L471" s="469" t="e">
        <f t="shared" si="43"/>
        <v>#DIV/0!</v>
      </c>
      <c r="M471" s="2439"/>
    </row>
    <row r="472" spans="1:13" s="251" customFormat="1" ht="14.25" customHeight="1">
      <c r="A472" s="475"/>
      <c r="B472" s="2445"/>
      <c r="C472" s="2453"/>
      <c r="D472" s="474">
        <v>4110</v>
      </c>
      <c r="E472" s="471">
        <v>11069</v>
      </c>
      <c r="F472" s="472">
        <v>11069</v>
      </c>
      <c r="G472" s="472"/>
      <c r="H472" s="472">
        <v>12103</v>
      </c>
      <c r="I472" s="473">
        <f t="shared" ref="I472:I487" si="48">H472/E472</f>
        <v>1.0934140392086007</v>
      </c>
      <c r="J472" s="472">
        <v>0</v>
      </c>
      <c r="K472" s="471">
        <f t="shared" ref="K472:K487" si="49">SUM(H472,J472)</f>
        <v>12103</v>
      </c>
      <c r="L472" s="469">
        <f t="shared" si="43"/>
        <v>1.0934140392086007</v>
      </c>
      <c r="M472" s="2439"/>
    </row>
    <row r="473" spans="1:13" s="251" customFormat="1" ht="14.25" customHeight="1">
      <c r="A473" s="475"/>
      <c r="B473" s="2445"/>
      <c r="C473" s="2453"/>
      <c r="D473" s="474">
        <v>4120</v>
      </c>
      <c r="E473" s="471">
        <v>1578</v>
      </c>
      <c r="F473" s="472">
        <v>1578</v>
      </c>
      <c r="G473" s="472"/>
      <c r="H473" s="472">
        <v>536</v>
      </c>
      <c r="I473" s="473">
        <f t="shared" si="48"/>
        <v>0.33967046894803549</v>
      </c>
      <c r="J473" s="472">
        <v>0</v>
      </c>
      <c r="K473" s="471">
        <f t="shared" si="49"/>
        <v>536</v>
      </c>
      <c r="L473" s="469">
        <f t="shared" si="43"/>
        <v>0.33967046894803549</v>
      </c>
      <c r="M473" s="2439"/>
    </row>
    <row r="474" spans="1:13" s="251" customFormat="1" ht="14.25" hidden="1" customHeight="1">
      <c r="A474" s="475"/>
      <c r="B474" s="2445"/>
      <c r="C474" s="2453"/>
      <c r="D474" s="474" t="s">
        <v>236</v>
      </c>
      <c r="E474" s="471">
        <v>0</v>
      </c>
      <c r="F474" s="472"/>
      <c r="G474" s="472"/>
      <c r="H474" s="472"/>
      <c r="I474" s="473" t="e">
        <f t="shared" si="48"/>
        <v>#DIV/0!</v>
      </c>
      <c r="J474" s="472"/>
      <c r="K474" s="471">
        <f t="shared" si="49"/>
        <v>0</v>
      </c>
      <c r="L474" s="469" t="e">
        <f t="shared" ref="L474:L537" si="50">K474/E474</f>
        <v>#DIV/0!</v>
      </c>
      <c r="M474" s="2439"/>
    </row>
    <row r="475" spans="1:13" s="251" customFormat="1" ht="14.25" hidden="1" customHeight="1">
      <c r="A475" s="475"/>
      <c r="B475" s="2445"/>
      <c r="C475" s="2453"/>
      <c r="D475" s="568" t="s">
        <v>237</v>
      </c>
      <c r="E475" s="471">
        <v>0</v>
      </c>
      <c r="F475" s="472"/>
      <c r="G475" s="472"/>
      <c r="H475" s="472"/>
      <c r="I475" s="473" t="e">
        <f t="shared" si="48"/>
        <v>#DIV/0!</v>
      </c>
      <c r="J475" s="472"/>
      <c r="K475" s="471">
        <f t="shared" si="49"/>
        <v>0</v>
      </c>
      <c r="L475" s="469" t="e">
        <f t="shared" si="50"/>
        <v>#DIV/0!</v>
      </c>
      <c r="M475" s="2439"/>
    </row>
    <row r="476" spans="1:13" s="251" customFormat="1" ht="14.25" customHeight="1">
      <c r="A476" s="475"/>
      <c r="B476" s="2445"/>
      <c r="C476" s="2453"/>
      <c r="D476" s="568" t="s">
        <v>238</v>
      </c>
      <c r="E476" s="471">
        <v>62154</v>
      </c>
      <c r="F476" s="472">
        <v>62154</v>
      </c>
      <c r="G476" s="472"/>
      <c r="H476" s="472">
        <v>64889</v>
      </c>
      <c r="I476" s="473">
        <f t="shared" si="48"/>
        <v>1.0440036039514753</v>
      </c>
      <c r="J476" s="472">
        <v>0</v>
      </c>
      <c r="K476" s="471">
        <f t="shared" si="49"/>
        <v>64889</v>
      </c>
      <c r="L476" s="469">
        <f t="shared" si="50"/>
        <v>1.0440036039514753</v>
      </c>
      <c r="M476" s="2439"/>
    </row>
    <row r="477" spans="1:13" s="251" customFormat="1" ht="12.75" customHeight="1">
      <c r="A477" s="475"/>
      <c r="B477" s="2445"/>
      <c r="C477" s="2441"/>
      <c r="D477" s="568" t="s">
        <v>239</v>
      </c>
      <c r="E477" s="471">
        <v>1747</v>
      </c>
      <c r="F477" s="472">
        <v>1747</v>
      </c>
      <c r="G477" s="472"/>
      <c r="H477" s="472">
        <v>5516</v>
      </c>
      <c r="I477" s="473">
        <f t="shared" si="48"/>
        <v>3.1574127074985689</v>
      </c>
      <c r="J477" s="472">
        <v>0</v>
      </c>
      <c r="K477" s="471">
        <f t="shared" si="49"/>
        <v>5516</v>
      </c>
      <c r="L477" s="469">
        <f t="shared" si="50"/>
        <v>3.1574127074985689</v>
      </c>
      <c r="M477" s="2439"/>
    </row>
    <row r="478" spans="1:13" s="251" customFormat="1" ht="13.5" customHeight="1">
      <c r="A478" s="475"/>
      <c r="B478" s="2445"/>
      <c r="C478" s="2442" t="s">
        <v>21</v>
      </c>
      <c r="D478" s="482" t="s">
        <v>22</v>
      </c>
      <c r="E478" s="263">
        <f>SUM(E479:E485)</f>
        <v>554021</v>
      </c>
      <c r="F478" s="263">
        <f>SUM(F479:F485)</f>
        <v>666629</v>
      </c>
      <c r="G478" s="263"/>
      <c r="H478" s="263">
        <f>SUM(H479:H485)</f>
        <v>511150</v>
      </c>
      <c r="I478" s="468">
        <f t="shared" si="48"/>
        <v>0.92261845670109977</v>
      </c>
      <c r="J478" s="263">
        <f>SUM(J479:J485)</f>
        <v>300000</v>
      </c>
      <c r="K478" s="406">
        <f>SUM(K479:K485)</f>
        <v>811150</v>
      </c>
      <c r="L478" s="469">
        <f t="shared" si="50"/>
        <v>1.4641141761774372</v>
      </c>
      <c r="M478" s="2439"/>
    </row>
    <row r="479" spans="1:13" s="251" customFormat="1" ht="13.5" customHeight="1">
      <c r="A479" s="475"/>
      <c r="B479" s="2445"/>
      <c r="C479" s="2443"/>
      <c r="D479" s="470" t="s">
        <v>232</v>
      </c>
      <c r="E479" s="471">
        <v>10000</v>
      </c>
      <c r="F479" s="472">
        <v>10000</v>
      </c>
      <c r="G479" s="472"/>
      <c r="H479" s="472">
        <v>10000</v>
      </c>
      <c r="I479" s="473">
        <f t="shared" si="48"/>
        <v>1</v>
      </c>
      <c r="J479" s="472">
        <v>0</v>
      </c>
      <c r="K479" s="471">
        <f t="shared" si="49"/>
        <v>10000</v>
      </c>
      <c r="L479" s="469">
        <f t="shared" si="50"/>
        <v>1</v>
      </c>
      <c r="M479" s="2439"/>
    </row>
    <row r="480" spans="1:13" s="251" customFormat="1" ht="13.5" customHeight="1">
      <c r="A480" s="475"/>
      <c r="B480" s="2445"/>
      <c r="C480" s="2443"/>
      <c r="D480" s="470" t="s">
        <v>242</v>
      </c>
      <c r="E480" s="471">
        <v>220392</v>
      </c>
      <c r="F480" s="472">
        <v>220392</v>
      </c>
      <c r="G480" s="472"/>
      <c r="H480" s="472">
        <v>250450</v>
      </c>
      <c r="I480" s="473">
        <f t="shared" si="48"/>
        <v>1.1363842607717158</v>
      </c>
      <c r="J480" s="472">
        <v>0</v>
      </c>
      <c r="K480" s="471">
        <f t="shared" si="49"/>
        <v>250450</v>
      </c>
      <c r="L480" s="469">
        <f t="shared" si="50"/>
        <v>1.1363842607717158</v>
      </c>
      <c r="M480" s="2439"/>
    </row>
    <row r="481" spans="1:13" s="251" customFormat="1" ht="13.5" customHeight="1">
      <c r="A481" s="475"/>
      <c r="B481" s="2445"/>
      <c r="C481" s="2443"/>
      <c r="D481" s="470" t="s">
        <v>243</v>
      </c>
      <c r="E481" s="471">
        <v>310000</v>
      </c>
      <c r="F481" s="472">
        <v>422608</v>
      </c>
      <c r="G481" s="472"/>
      <c r="H481" s="472">
        <v>235650</v>
      </c>
      <c r="I481" s="473">
        <f t="shared" si="48"/>
        <v>0.76016129032258062</v>
      </c>
      <c r="J481" s="472">
        <v>300000</v>
      </c>
      <c r="K481" s="471">
        <f>SUM(H481,J481)</f>
        <v>535650</v>
      </c>
      <c r="L481" s="469">
        <f t="shared" si="50"/>
        <v>1.7279032258064515</v>
      </c>
      <c r="M481" s="2439"/>
    </row>
    <row r="482" spans="1:13" s="251" customFormat="1" ht="13.5" customHeight="1">
      <c r="A482" s="608"/>
      <c r="B482" s="2437"/>
      <c r="C482" s="2444"/>
      <c r="D482" s="500" t="s">
        <v>244</v>
      </c>
      <c r="E482" s="471">
        <v>600</v>
      </c>
      <c r="F482" s="472">
        <v>600</v>
      </c>
      <c r="G482" s="472"/>
      <c r="H482" s="472">
        <v>200</v>
      </c>
      <c r="I482" s="473">
        <f t="shared" si="48"/>
        <v>0.33333333333333331</v>
      </c>
      <c r="J482" s="472">
        <v>0</v>
      </c>
      <c r="K482" s="471">
        <f t="shared" si="49"/>
        <v>200</v>
      </c>
      <c r="L482" s="469">
        <f t="shared" si="50"/>
        <v>0.33333333333333331</v>
      </c>
      <c r="M482" s="2454"/>
    </row>
    <row r="483" spans="1:13" s="251" customFormat="1" ht="13.5" customHeight="1">
      <c r="A483" s="610"/>
      <c r="B483" s="480"/>
      <c r="C483" s="571"/>
      <c r="D483" s="501" t="s">
        <v>222</v>
      </c>
      <c r="E483" s="471">
        <v>10000</v>
      </c>
      <c r="F483" s="472">
        <v>10000</v>
      </c>
      <c r="G483" s="472"/>
      <c r="H483" s="472">
        <v>11500</v>
      </c>
      <c r="I483" s="473">
        <f t="shared" si="48"/>
        <v>1.1499999999999999</v>
      </c>
      <c r="J483" s="472">
        <v>0</v>
      </c>
      <c r="K483" s="471">
        <f t="shared" si="49"/>
        <v>11500</v>
      </c>
      <c r="L483" s="469">
        <f t="shared" si="50"/>
        <v>1.1499999999999999</v>
      </c>
      <c r="M483" s="510" t="s">
        <v>630</v>
      </c>
    </row>
    <row r="484" spans="1:13" s="251" customFormat="1" ht="13.5" customHeight="1">
      <c r="A484" s="475"/>
      <c r="B484" s="537"/>
      <c r="C484" s="572"/>
      <c r="D484" s="614" t="s">
        <v>248</v>
      </c>
      <c r="E484" s="471">
        <v>0</v>
      </c>
      <c r="F484" s="472"/>
      <c r="G484" s="472"/>
      <c r="H484" s="472"/>
      <c r="I484" s="473" t="e">
        <f t="shared" si="48"/>
        <v>#DIV/0!</v>
      </c>
      <c r="J484" s="472"/>
      <c r="K484" s="471"/>
      <c r="L484" s="469"/>
      <c r="M484" s="505"/>
    </row>
    <row r="485" spans="1:13" s="251" customFormat="1" ht="13.5" customHeight="1">
      <c r="A485" s="475"/>
      <c r="B485" s="537"/>
      <c r="C485" s="615"/>
      <c r="D485" s="500" t="s">
        <v>249</v>
      </c>
      <c r="E485" s="471">
        <v>3029</v>
      </c>
      <c r="F485" s="472">
        <v>3029</v>
      </c>
      <c r="G485" s="472"/>
      <c r="H485" s="472">
        <v>3350</v>
      </c>
      <c r="I485" s="473">
        <f t="shared" si="48"/>
        <v>1.1059755694948827</v>
      </c>
      <c r="J485" s="472">
        <v>0</v>
      </c>
      <c r="K485" s="471">
        <f t="shared" si="49"/>
        <v>3350</v>
      </c>
      <c r="L485" s="469">
        <f t="shared" si="50"/>
        <v>1.1059755694948827</v>
      </c>
      <c r="M485" s="505"/>
    </row>
    <row r="486" spans="1:13" s="251" customFormat="1" ht="12.75" customHeight="1">
      <c r="A486" s="475"/>
      <c r="B486" s="537"/>
      <c r="C486" s="481" t="s">
        <v>23</v>
      </c>
      <c r="D486" s="482"/>
      <c r="E486" s="483"/>
      <c r="F486" s="267"/>
      <c r="G486" s="267"/>
      <c r="H486" s="267"/>
      <c r="I486" s="547"/>
      <c r="J486" s="267"/>
      <c r="K486" s="483"/>
      <c r="L486" s="469"/>
      <c r="M486" s="505"/>
    </row>
    <row r="487" spans="1:13" s="251" customFormat="1" ht="13.5" customHeight="1">
      <c r="A487" s="475"/>
      <c r="B487" s="537"/>
      <c r="C487" s="448" t="s">
        <v>24</v>
      </c>
      <c r="D487" s="449">
        <v>3020</v>
      </c>
      <c r="E487" s="406">
        <v>2369</v>
      </c>
      <c r="F487" s="263">
        <v>2369</v>
      </c>
      <c r="G487" s="263"/>
      <c r="H487" s="263">
        <v>2440</v>
      </c>
      <c r="I487" s="468">
        <f t="shared" si="48"/>
        <v>1.0299704516673702</v>
      </c>
      <c r="J487" s="263">
        <v>0</v>
      </c>
      <c r="K487" s="406">
        <f t="shared" si="49"/>
        <v>2440</v>
      </c>
      <c r="L487" s="469">
        <f t="shared" si="50"/>
        <v>1.0299704516673702</v>
      </c>
      <c r="M487" s="505"/>
    </row>
    <row r="488" spans="1:13" s="251" customFormat="1" ht="22.5">
      <c r="A488" s="475"/>
      <c r="B488" s="537"/>
      <c r="C488" s="451" t="s">
        <v>54</v>
      </c>
      <c r="D488" s="449"/>
      <c r="E488" s="406"/>
      <c r="F488" s="263"/>
      <c r="G488" s="263"/>
      <c r="H488" s="263"/>
      <c r="I488" s="263"/>
      <c r="J488" s="263"/>
      <c r="K488" s="406"/>
      <c r="L488" s="469"/>
      <c r="M488" s="505"/>
    </row>
    <row r="489" spans="1:13" s="251" customFormat="1" ht="12.75" customHeight="1">
      <c r="A489" s="475"/>
      <c r="B489" s="537"/>
      <c r="C489" s="448" t="s">
        <v>26</v>
      </c>
      <c r="D489" s="449"/>
      <c r="E489" s="406"/>
      <c r="F489" s="263"/>
      <c r="G489" s="263"/>
      <c r="H489" s="263"/>
      <c r="I489" s="263"/>
      <c r="J489" s="263"/>
      <c r="K489" s="406"/>
      <c r="L489" s="469"/>
      <c r="M489" s="505"/>
    </row>
    <row r="490" spans="1:13" s="251" customFormat="1" ht="12.75" customHeight="1">
      <c r="A490" s="475"/>
      <c r="B490" s="537"/>
      <c r="C490" s="448" t="s">
        <v>27</v>
      </c>
      <c r="D490" s="449"/>
      <c r="E490" s="406"/>
      <c r="F490" s="263"/>
      <c r="G490" s="263"/>
      <c r="H490" s="263"/>
      <c r="I490" s="263"/>
      <c r="J490" s="263"/>
      <c r="K490" s="406"/>
      <c r="L490" s="469"/>
      <c r="M490" s="505"/>
    </row>
    <row r="491" spans="1:13" s="251" customFormat="1" ht="12.75" customHeight="1">
      <c r="A491" s="475"/>
      <c r="B491" s="537"/>
      <c r="C491" s="453" t="s">
        <v>28</v>
      </c>
      <c r="D491" s="446"/>
      <c r="E491" s="261">
        <f>SUM(E492,E494:E495)</f>
        <v>25000</v>
      </c>
      <c r="F491" s="261">
        <f>SUM(F492,F494:F495)</f>
        <v>25000</v>
      </c>
      <c r="G491" s="261"/>
      <c r="H491" s="261">
        <f>SUM(H492,H494:H495)</f>
        <v>0</v>
      </c>
      <c r="I491" s="261"/>
      <c r="J491" s="261">
        <f>SUM(J492,J494:J495)</f>
        <v>0</v>
      </c>
      <c r="K491" s="447">
        <f>SUM(K492,K494:K495)</f>
        <v>0</v>
      </c>
      <c r="L491" s="466">
        <f t="shared" si="50"/>
        <v>0</v>
      </c>
      <c r="M491" s="505"/>
    </row>
    <row r="492" spans="1:13" s="251" customFormat="1" ht="12.75" customHeight="1">
      <c r="A492" s="475"/>
      <c r="B492" s="537"/>
      <c r="C492" s="616" t="s">
        <v>29</v>
      </c>
      <c r="D492" s="449" t="s">
        <v>311</v>
      </c>
      <c r="E492" s="471">
        <v>25000</v>
      </c>
      <c r="F492" s="472">
        <v>25000</v>
      </c>
      <c r="G492" s="472"/>
      <c r="H492" s="472">
        <v>0</v>
      </c>
      <c r="I492" s="472"/>
      <c r="J492" s="472">
        <v>0</v>
      </c>
      <c r="K492" s="471">
        <f t="shared" ref="K492" si="51">SUM(H492,J492)</f>
        <v>0</v>
      </c>
      <c r="L492" s="469">
        <f t="shared" si="50"/>
        <v>0</v>
      </c>
      <c r="M492" s="505"/>
    </row>
    <row r="493" spans="1:13" s="251" customFormat="1" ht="24.75" customHeight="1">
      <c r="A493" s="475"/>
      <c r="B493" s="537"/>
      <c r="C493" s="452" t="s">
        <v>36</v>
      </c>
      <c r="D493" s="617"/>
      <c r="E493" s="406"/>
      <c r="F493" s="263"/>
      <c r="G493" s="263"/>
      <c r="H493" s="263"/>
      <c r="I493" s="263"/>
      <c r="J493" s="263"/>
      <c r="K493" s="406"/>
      <c r="L493" s="469"/>
      <c r="M493" s="505"/>
    </row>
    <row r="494" spans="1:13" s="251" customFormat="1" ht="12.75" customHeight="1">
      <c r="A494" s="475"/>
      <c r="B494" s="537"/>
      <c r="C494" s="448" t="s">
        <v>31</v>
      </c>
      <c r="D494" s="449"/>
      <c r="E494" s="406"/>
      <c r="F494" s="263"/>
      <c r="G494" s="263"/>
      <c r="H494" s="263"/>
      <c r="I494" s="263"/>
      <c r="J494" s="263"/>
      <c r="K494" s="406"/>
      <c r="L494" s="469"/>
      <c r="M494" s="505"/>
    </row>
    <row r="495" spans="1:13" s="251" customFormat="1" ht="12.75" customHeight="1">
      <c r="A495" s="475"/>
      <c r="B495" s="478"/>
      <c r="C495" s="448" t="s">
        <v>32</v>
      </c>
      <c r="D495" s="446"/>
      <c r="E495" s="406"/>
      <c r="F495" s="263"/>
      <c r="G495" s="263"/>
      <c r="H495" s="263"/>
      <c r="I495" s="263"/>
      <c r="J495" s="263"/>
      <c r="K495" s="406"/>
      <c r="L495" s="469"/>
      <c r="M495" s="609"/>
    </row>
    <row r="496" spans="1:13" s="251" customFormat="1" ht="15" customHeight="1">
      <c r="A496" s="2046"/>
      <c r="B496" s="2427" t="s">
        <v>345</v>
      </c>
      <c r="C496" s="463" t="s">
        <v>346</v>
      </c>
      <c r="D496" s="444"/>
      <c r="E496" s="445">
        <f>SUM(E497,E506)</f>
        <v>0</v>
      </c>
      <c r="F496" s="258">
        <f>SUM(F497,F506)</f>
        <v>400000</v>
      </c>
      <c r="G496" s="258"/>
      <c r="H496" s="258">
        <f>SUM(H497,H506)</f>
        <v>0</v>
      </c>
      <c r="I496" s="618"/>
      <c r="J496" s="258">
        <f>SUM(J497,J506)</f>
        <v>0</v>
      </c>
      <c r="K496" s="445">
        <f>SUM(K497,K506)</f>
        <v>0</v>
      </c>
      <c r="L496" s="619"/>
      <c r="M496" s="2438"/>
    </row>
    <row r="497" spans="1:13" s="251" customFormat="1" ht="13.5" customHeight="1">
      <c r="A497" s="2046"/>
      <c r="B497" s="2427"/>
      <c r="C497" s="620" t="s">
        <v>18</v>
      </c>
      <c r="D497" s="519"/>
      <c r="E497" s="520">
        <f>SUM(E498,E501:E505)</f>
        <v>0</v>
      </c>
      <c r="F497" s="254">
        <f>SUM(F498,F501:F505)</f>
        <v>400000</v>
      </c>
      <c r="G497" s="254"/>
      <c r="H497" s="254">
        <f>SUM(H498,H501:H505)</f>
        <v>0</v>
      </c>
      <c r="I497" s="465"/>
      <c r="J497" s="254">
        <f>SUM(J498,J501:J505)</f>
        <v>0</v>
      </c>
      <c r="K497" s="520">
        <f>SUM(K498,K501:K505)</f>
        <v>0</v>
      </c>
      <c r="L497" s="469"/>
      <c r="M497" s="2439"/>
    </row>
    <row r="498" spans="1:13" s="251" customFormat="1" ht="13.5" customHeight="1">
      <c r="A498" s="2046"/>
      <c r="B498" s="2427"/>
      <c r="C498" s="448" t="s">
        <v>19</v>
      </c>
      <c r="D498" s="449"/>
      <c r="E498" s="406">
        <f>SUM(E499:E500)</f>
        <v>0</v>
      </c>
      <c r="F498" s="263">
        <f>SUM(F499:F500)</f>
        <v>0</v>
      </c>
      <c r="G498" s="263"/>
      <c r="H498" s="263">
        <f>SUM(H499:H500)</f>
        <v>0</v>
      </c>
      <c r="I498" s="468"/>
      <c r="J498" s="263">
        <f>SUM(J499:J500)</f>
        <v>0</v>
      </c>
      <c r="K498" s="406">
        <f>SUM(K499:K500)</f>
        <v>0</v>
      </c>
      <c r="L498" s="469"/>
      <c r="M498" s="2439"/>
    </row>
    <row r="499" spans="1:13" s="251" customFormat="1" ht="12.75" customHeight="1">
      <c r="A499" s="2046"/>
      <c r="B499" s="2427"/>
      <c r="C499" s="448" t="s">
        <v>20</v>
      </c>
      <c r="D499" s="449"/>
      <c r="E499" s="406"/>
      <c r="F499" s="263"/>
      <c r="G499" s="263"/>
      <c r="H499" s="263"/>
      <c r="I499" s="263"/>
      <c r="J499" s="263"/>
      <c r="K499" s="406"/>
      <c r="L499" s="469"/>
      <c r="M499" s="2439"/>
    </row>
    <row r="500" spans="1:13" s="251" customFormat="1" ht="12.75" customHeight="1">
      <c r="A500" s="2046"/>
      <c r="B500" s="2427"/>
      <c r="C500" s="452" t="s">
        <v>21</v>
      </c>
      <c r="D500" s="449"/>
      <c r="E500" s="406"/>
      <c r="F500" s="263"/>
      <c r="G500" s="263"/>
      <c r="H500" s="263"/>
      <c r="I500" s="263"/>
      <c r="J500" s="263"/>
      <c r="K500" s="406"/>
      <c r="L500" s="469"/>
      <c r="M500" s="2439"/>
    </row>
    <row r="501" spans="1:13" s="251" customFormat="1" ht="12.75" customHeight="1">
      <c r="A501" s="2046"/>
      <c r="B501" s="2427"/>
      <c r="C501" s="448" t="s">
        <v>23</v>
      </c>
      <c r="D501" s="449" t="s">
        <v>347</v>
      </c>
      <c r="E501" s="406">
        <v>0</v>
      </c>
      <c r="F501" s="263">
        <v>400000</v>
      </c>
      <c r="G501" s="263"/>
      <c r="H501" s="263">
        <v>0</v>
      </c>
      <c r="I501" s="263"/>
      <c r="J501" s="263">
        <v>0</v>
      </c>
      <c r="K501" s="406">
        <f t="shared" ref="K501" si="52">SUM(H501,J501)</f>
        <v>0</v>
      </c>
      <c r="L501" s="469"/>
      <c r="M501" s="2439"/>
    </row>
    <row r="502" spans="1:13" s="251" customFormat="1" ht="12.75" customHeight="1">
      <c r="A502" s="2046"/>
      <c r="B502" s="2427"/>
      <c r="C502" s="448" t="s">
        <v>24</v>
      </c>
      <c r="D502" s="449"/>
      <c r="E502" s="406"/>
      <c r="F502" s="263"/>
      <c r="G502" s="263"/>
      <c r="H502" s="263"/>
      <c r="I502" s="263"/>
      <c r="J502" s="263"/>
      <c r="K502" s="406"/>
      <c r="L502" s="469"/>
      <c r="M502" s="2439"/>
    </row>
    <row r="503" spans="1:13" s="251" customFormat="1" ht="24" customHeight="1">
      <c r="A503" s="2046"/>
      <c r="B503" s="2427"/>
      <c r="C503" s="452" t="s">
        <v>25</v>
      </c>
      <c r="D503" s="449"/>
      <c r="E503" s="406"/>
      <c r="F503" s="263"/>
      <c r="G503" s="263"/>
      <c r="H503" s="263"/>
      <c r="I503" s="263"/>
      <c r="J503" s="263"/>
      <c r="K503" s="406"/>
      <c r="L503" s="469"/>
      <c r="M503" s="2439"/>
    </row>
    <row r="504" spans="1:13" s="251" customFormat="1" ht="12.75" customHeight="1">
      <c r="A504" s="2046"/>
      <c r="B504" s="2427"/>
      <c r="C504" s="448" t="s">
        <v>26</v>
      </c>
      <c r="D504" s="449"/>
      <c r="E504" s="406"/>
      <c r="F504" s="263"/>
      <c r="G504" s="263"/>
      <c r="H504" s="263"/>
      <c r="I504" s="263"/>
      <c r="J504" s="263"/>
      <c r="K504" s="406"/>
      <c r="L504" s="469"/>
      <c r="M504" s="2439"/>
    </row>
    <row r="505" spans="1:13" s="251" customFormat="1" ht="12.75" customHeight="1">
      <c r="A505" s="2046"/>
      <c r="B505" s="2427"/>
      <c r="C505" s="448" t="s">
        <v>27</v>
      </c>
      <c r="D505" s="449"/>
      <c r="E505" s="406"/>
      <c r="F505" s="263"/>
      <c r="G505" s="263"/>
      <c r="H505" s="263"/>
      <c r="I505" s="263"/>
      <c r="J505" s="263"/>
      <c r="K505" s="406"/>
      <c r="L505" s="469"/>
      <c r="M505" s="2439"/>
    </row>
    <row r="506" spans="1:13" s="251" customFormat="1" ht="15" customHeight="1">
      <c r="A506" s="2046"/>
      <c r="B506" s="2427"/>
      <c r="C506" s="453" t="s">
        <v>28</v>
      </c>
      <c r="D506" s="446"/>
      <c r="E506" s="447">
        <v>0</v>
      </c>
      <c r="F506" s="261">
        <v>0</v>
      </c>
      <c r="G506" s="261"/>
      <c r="H506" s="261">
        <v>0</v>
      </c>
      <c r="I506" s="261"/>
      <c r="J506" s="261">
        <v>0</v>
      </c>
      <c r="K506" s="447">
        <v>0</v>
      </c>
      <c r="L506" s="469"/>
      <c r="M506" s="2439"/>
    </row>
    <row r="507" spans="1:13" s="251" customFormat="1" ht="15" customHeight="1">
      <c r="A507" s="2046"/>
      <c r="B507" s="2427"/>
      <c r="C507" s="448" t="s">
        <v>29</v>
      </c>
      <c r="D507" s="449"/>
      <c r="E507" s="406"/>
      <c r="F507" s="263"/>
      <c r="G507" s="263"/>
      <c r="H507" s="263"/>
      <c r="I507" s="263"/>
      <c r="J507" s="263"/>
      <c r="K507" s="406"/>
      <c r="L507" s="469"/>
      <c r="M507" s="2439"/>
    </row>
    <row r="508" spans="1:13" s="251" customFormat="1" ht="22.5">
      <c r="A508" s="2046"/>
      <c r="B508" s="2427"/>
      <c r="C508" s="452" t="s">
        <v>36</v>
      </c>
      <c r="D508" s="449"/>
      <c r="E508" s="406"/>
      <c r="F508" s="263"/>
      <c r="G508" s="263"/>
      <c r="H508" s="263"/>
      <c r="I508" s="263"/>
      <c r="J508" s="263"/>
      <c r="K508" s="406"/>
      <c r="L508" s="469"/>
      <c r="M508" s="2439"/>
    </row>
    <row r="509" spans="1:13" s="251" customFormat="1" ht="12.75" customHeight="1">
      <c r="A509" s="2046"/>
      <c r="B509" s="2427"/>
      <c r="C509" s="448" t="s">
        <v>31</v>
      </c>
      <c r="D509" s="449"/>
      <c r="E509" s="406"/>
      <c r="F509" s="263"/>
      <c r="G509" s="263"/>
      <c r="H509" s="263"/>
      <c r="I509" s="263"/>
      <c r="J509" s="263"/>
      <c r="K509" s="406"/>
      <c r="L509" s="469"/>
      <c r="M509" s="2439"/>
    </row>
    <row r="510" spans="1:13" s="251" customFormat="1" ht="12.75" customHeight="1">
      <c r="A510" s="2053"/>
      <c r="B510" s="2427"/>
      <c r="C510" s="448" t="s">
        <v>32</v>
      </c>
      <c r="D510" s="446"/>
      <c r="E510" s="406"/>
      <c r="F510" s="263"/>
      <c r="G510" s="263"/>
      <c r="H510" s="263"/>
      <c r="I510" s="263"/>
      <c r="J510" s="263"/>
      <c r="K510" s="406"/>
      <c r="L510" s="469"/>
      <c r="M510" s="2454"/>
    </row>
    <row r="511" spans="1:13" s="251" customFormat="1" ht="14.25">
      <c r="A511" s="588" t="s">
        <v>77</v>
      </c>
      <c r="B511" s="486"/>
      <c r="C511" s="621" t="s">
        <v>78</v>
      </c>
      <c r="D511" s="486"/>
      <c r="E511" s="493">
        <f>SUM(E512,E527)</f>
        <v>20800400</v>
      </c>
      <c r="F511" s="493">
        <f>SUM(F512,F527)</f>
        <v>20810400</v>
      </c>
      <c r="G511" s="493"/>
      <c r="H511" s="493">
        <f>SUM(H512,H527)</f>
        <v>5117665</v>
      </c>
      <c r="I511" s="494">
        <f>H511/E511</f>
        <v>0.24603685506047959</v>
      </c>
      <c r="J511" s="493">
        <f>SUM(J512,J527)</f>
        <v>1225000</v>
      </c>
      <c r="K511" s="495">
        <f>SUM(K512,K527)</f>
        <v>6342665</v>
      </c>
      <c r="L511" s="494">
        <f t="shared" si="50"/>
        <v>0.30492995327012939</v>
      </c>
      <c r="M511" s="622"/>
    </row>
    <row r="512" spans="1:13" s="251" customFormat="1">
      <c r="A512" s="2045"/>
      <c r="B512" s="1959" t="s">
        <v>79</v>
      </c>
      <c r="C512" s="443" t="s">
        <v>80</v>
      </c>
      <c r="D512" s="444"/>
      <c r="E512" s="445">
        <v>15000000</v>
      </c>
      <c r="F512" s="258">
        <f>SUM(F513,F522)</f>
        <v>15000000</v>
      </c>
      <c r="G512" s="258"/>
      <c r="H512" s="258">
        <f>SUM(H513,H522)</f>
        <v>0</v>
      </c>
      <c r="I512" s="464">
        <f>H512/E512</f>
        <v>0</v>
      </c>
      <c r="J512" s="258">
        <f>SUM(J513,J522)</f>
        <v>0</v>
      </c>
      <c r="K512" s="445">
        <f>SUM(K513,K522)</f>
        <v>0</v>
      </c>
      <c r="L512" s="464">
        <f t="shared" si="50"/>
        <v>0</v>
      </c>
      <c r="M512" s="2438"/>
    </row>
    <row r="513" spans="1:13" s="251" customFormat="1" ht="13.5" customHeight="1">
      <c r="A513" s="2046"/>
      <c r="B513" s="2445"/>
      <c r="C513" s="268" t="s">
        <v>18</v>
      </c>
      <c r="D513" s="446"/>
      <c r="E513" s="447">
        <v>0</v>
      </c>
      <c r="F513" s="261">
        <f>SUM(F514,F517:F521)</f>
        <v>0</v>
      </c>
      <c r="G513" s="261"/>
      <c r="H513" s="261">
        <f>SUM(H514,H517:H521)</f>
        <v>0</v>
      </c>
      <c r="I513" s="465"/>
      <c r="J513" s="261">
        <f>SUM(J514,J517:J521)</f>
        <v>0</v>
      </c>
      <c r="K513" s="447">
        <f>SUM(K514,K517:K521)</f>
        <v>0</v>
      </c>
      <c r="L513" s="466"/>
      <c r="M513" s="2439"/>
    </row>
    <row r="514" spans="1:13" s="251" customFormat="1" ht="12.75" customHeight="1">
      <c r="A514" s="2046"/>
      <c r="B514" s="2445"/>
      <c r="C514" s="448" t="s">
        <v>19</v>
      </c>
      <c r="D514" s="449"/>
      <c r="E514" s="406"/>
      <c r="F514" s="263"/>
      <c r="G514" s="263"/>
      <c r="H514" s="263"/>
      <c r="I514" s="468"/>
      <c r="J514" s="263"/>
      <c r="K514" s="406"/>
      <c r="L514" s="469"/>
      <c r="M514" s="2439"/>
    </row>
    <row r="515" spans="1:13" s="251" customFormat="1" ht="12.75" customHeight="1">
      <c r="A515" s="2046"/>
      <c r="B515" s="2445"/>
      <c r="C515" s="450" t="s">
        <v>20</v>
      </c>
      <c r="D515" s="449"/>
      <c r="E515" s="406"/>
      <c r="F515" s="263"/>
      <c r="G515" s="263"/>
      <c r="H515" s="263"/>
      <c r="I515" s="468"/>
      <c r="J515" s="263"/>
      <c r="K515" s="406"/>
      <c r="L515" s="469"/>
      <c r="M515" s="2439"/>
    </row>
    <row r="516" spans="1:13" s="251" customFormat="1" ht="12.75" customHeight="1">
      <c r="A516" s="2046"/>
      <c r="B516" s="2445"/>
      <c r="C516" s="451" t="s">
        <v>21</v>
      </c>
      <c r="D516" s="449"/>
      <c r="E516" s="406"/>
      <c r="F516" s="263"/>
      <c r="G516" s="263"/>
      <c r="H516" s="263"/>
      <c r="I516" s="473"/>
      <c r="J516" s="263"/>
      <c r="K516" s="406"/>
      <c r="L516" s="469"/>
      <c r="M516" s="2439"/>
    </row>
    <row r="517" spans="1:13" s="251" customFormat="1" ht="12.75" customHeight="1">
      <c r="A517" s="2046"/>
      <c r="B517" s="2445"/>
      <c r="C517" s="450" t="s">
        <v>23</v>
      </c>
      <c r="D517" s="449"/>
      <c r="E517" s="406"/>
      <c r="F517" s="263"/>
      <c r="G517" s="263"/>
      <c r="H517" s="263"/>
      <c r="I517" s="263"/>
      <c r="J517" s="263"/>
      <c r="K517" s="406"/>
      <c r="L517" s="469"/>
      <c r="M517" s="2439"/>
    </row>
    <row r="518" spans="1:13" s="251" customFormat="1" ht="12.75" customHeight="1">
      <c r="A518" s="2046"/>
      <c r="B518" s="2445"/>
      <c r="C518" s="450" t="s">
        <v>24</v>
      </c>
      <c r="D518" s="449"/>
      <c r="E518" s="406"/>
      <c r="F518" s="263"/>
      <c r="G518" s="263"/>
      <c r="H518" s="263"/>
      <c r="I518" s="263"/>
      <c r="J518" s="263"/>
      <c r="K518" s="406"/>
      <c r="L518" s="469"/>
      <c r="M518" s="2439"/>
    </row>
    <row r="519" spans="1:13" s="251" customFormat="1" ht="22.5">
      <c r="A519" s="2046"/>
      <c r="B519" s="2445"/>
      <c r="C519" s="452" t="s">
        <v>25</v>
      </c>
      <c r="D519" s="449"/>
      <c r="E519" s="406"/>
      <c r="F519" s="263"/>
      <c r="G519" s="263"/>
      <c r="H519" s="263"/>
      <c r="I519" s="263"/>
      <c r="J519" s="263"/>
      <c r="K519" s="406"/>
      <c r="L519" s="469"/>
      <c r="M519" s="2439"/>
    </row>
    <row r="520" spans="1:13" s="251" customFormat="1" ht="15.75" customHeight="1">
      <c r="A520" s="2046"/>
      <c r="B520" s="2445"/>
      <c r="C520" s="448" t="s">
        <v>26</v>
      </c>
      <c r="D520" s="449"/>
      <c r="E520" s="406"/>
      <c r="F520" s="263"/>
      <c r="G520" s="263"/>
      <c r="H520" s="263"/>
      <c r="I520" s="263"/>
      <c r="J520" s="263"/>
      <c r="K520" s="406"/>
      <c r="L520" s="469"/>
      <c r="M520" s="2439"/>
    </row>
    <row r="521" spans="1:13" s="251" customFormat="1" ht="12.75" customHeight="1">
      <c r="A521" s="2046"/>
      <c r="B521" s="2445"/>
      <c r="C521" s="448" t="s">
        <v>27</v>
      </c>
      <c r="D521" s="449"/>
      <c r="E521" s="406"/>
      <c r="F521" s="263"/>
      <c r="G521" s="263"/>
      <c r="H521" s="263"/>
      <c r="I521" s="263"/>
      <c r="J521" s="263"/>
      <c r="K521" s="406"/>
      <c r="L521" s="469"/>
      <c r="M521" s="2439"/>
    </row>
    <row r="522" spans="1:13" s="251" customFormat="1" ht="17.25" customHeight="1">
      <c r="A522" s="2046"/>
      <c r="B522" s="2445"/>
      <c r="C522" s="453" t="s">
        <v>28</v>
      </c>
      <c r="D522" s="446"/>
      <c r="E522" s="261">
        <f>SUM(E523)</f>
        <v>15000000</v>
      </c>
      <c r="F522" s="261">
        <f>SUM(F523)</f>
        <v>15000000</v>
      </c>
      <c r="G522" s="261"/>
      <c r="H522" s="261">
        <f>SUM(H523)</f>
        <v>0</v>
      </c>
      <c r="I522" s="465">
        <f>H522/E522</f>
        <v>0</v>
      </c>
      <c r="J522" s="261">
        <f>SUM(J523)</f>
        <v>0</v>
      </c>
      <c r="K522" s="447">
        <f>SUM(K523)</f>
        <v>0</v>
      </c>
      <c r="L522" s="466">
        <f t="shared" si="50"/>
        <v>0</v>
      </c>
      <c r="M522" s="2439"/>
    </row>
    <row r="523" spans="1:13" s="251" customFormat="1" ht="12.75" customHeight="1">
      <c r="A523" s="2046"/>
      <c r="B523" s="2445"/>
      <c r="C523" s="448" t="s">
        <v>29</v>
      </c>
      <c r="D523" s="449" t="s">
        <v>216</v>
      </c>
      <c r="E523" s="406">
        <v>15000000</v>
      </c>
      <c r="F523" s="263">
        <v>15000000</v>
      </c>
      <c r="G523" s="263"/>
      <c r="H523" s="263">
        <v>0</v>
      </c>
      <c r="I523" s="468">
        <f t="shared" ref="I523" si="53">H523/E523</f>
        <v>0</v>
      </c>
      <c r="J523" s="263">
        <v>0</v>
      </c>
      <c r="K523" s="406">
        <f t="shared" ref="K523" si="54">SUM(H523,J523)</f>
        <v>0</v>
      </c>
      <c r="L523" s="469">
        <f t="shared" si="50"/>
        <v>0</v>
      </c>
      <c r="M523" s="2439"/>
    </row>
    <row r="524" spans="1:13" s="251" customFormat="1" ht="22.5">
      <c r="A524" s="2046"/>
      <c r="B524" s="2445"/>
      <c r="C524" s="452" t="s">
        <v>89</v>
      </c>
      <c r="D524" s="449"/>
      <c r="E524" s="406"/>
      <c r="F524" s="263"/>
      <c r="G524" s="263"/>
      <c r="H524" s="263"/>
      <c r="I524" s="263"/>
      <c r="J524" s="263"/>
      <c r="K524" s="406"/>
      <c r="L524" s="469"/>
      <c r="M524" s="2439"/>
    </row>
    <row r="525" spans="1:13" s="251" customFormat="1" ht="15.75" customHeight="1">
      <c r="A525" s="2046"/>
      <c r="B525" s="2445"/>
      <c r="C525" s="448" t="s">
        <v>31</v>
      </c>
      <c r="D525" s="449"/>
      <c r="E525" s="406"/>
      <c r="F525" s="263"/>
      <c r="G525" s="263"/>
      <c r="H525" s="263"/>
      <c r="I525" s="263"/>
      <c r="J525" s="263"/>
      <c r="K525" s="406"/>
      <c r="L525" s="469"/>
      <c r="M525" s="2439"/>
    </row>
    <row r="526" spans="1:13" s="251" customFormat="1" ht="13.5" customHeight="1">
      <c r="A526" s="2046"/>
      <c r="B526" s="2437"/>
      <c r="C526" s="448" t="s">
        <v>32</v>
      </c>
      <c r="D526" s="449"/>
      <c r="E526" s="406"/>
      <c r="F526" s="263"/>
      <c r="G526" s="263"/>
      <c r="H526" s="263"/>
      <c r="I526" s="263"/>
      <c r="J526" s="263"/>
      <c r="K526" s="406"/>
      <c r="L526" s="469"/>
      <c r="M526" s="2454"/>
    </row>
    <row r="527" spans="1:13" s="251" customFormat="1" ht="47.25" customHeight="1">
      <c r="A527" s="475"/>
      <c r="B527" s="1959" t="s">
        <v>81</v>
      </c>
      <c r="C527" s="522" t="s">
        <v>82</v>
      </c>
      <c r="D527" s="523"/>
      <c r="E527" s="623">
        <f>SUM(E528,E545)</f>
        <v>5800400</v>
      </c>
      <c r="F527" s="623">
        <f>SUM(F528,F545)</f>
        <v>5810400</v>
      </c>
      <c r="G527" s="623"/>
      <c r="H527" s="623">
        <f>SUM(H528,H545)</f>
        <v>5117665</v>
      </c>
      <c r="I527" s="618">
        <f>H527/E527</f>
        <v>0.88229518653885941</v>
      </c>
      <c r="J527" s="623">
        <f>SUM(J528,J545)</f>
        <v>1225000</v>
      </c>
      <c r="K527" s="524">
        <f>SUM(K528,K545)</f>
        <v>6342665</v>
      </c>
      <c r="L527" s="464">
        <f t="shared" si="50"/>
        <v>1.0934875181021999</v>
      </c>
      <c r="M527" s="2174" t="s">
        <v>624</v>
      </c>
    </row>
    <row r="528" spans="1:13" s="251" customFormat="1" ht="36.75" customHeight="1">
      <c r="A528" s="475"/>
      <c r="B528" s="2445"/>
      <c r="C528" s="268" t="s">
        <v>18</v>
      </c>
      <c r="D528" s="446"/>
      <c r="E528" s="261">
        <f>SUM(E529,E536,E539,E542:E544)</f>
        <v>5800400</v>
      </c>
      <c r="F528" s="261">
        <f>SUM(F529,F536,F539,F542:F544)</f>
        <v>5100400</v>
      </c>
      <c r="G528" s="261"/>
      <c r="H528" s="261">
        <f>SUM(H529,H536,H539,H542:H544)</f>
        <v>5117665</v>
      </c>
      <c r="I528" s="465">
        <f>H528/E528</f>
        <v>0.88229518653885941</v>
      </c>
      <c r="J528" s="261">
        <f>SUM(J529,J536,J539,J542:J544)</f>
        <v>975000</v>
      </c>
      <c r="K528" s="447">
        <f>SUM(K529,K536,K539,K542:K544)</f>
        <v>6092665</v>
      </c>
      <c r="L528" s="466">
        <f t="shared" si="50"/>
        <v>1.0503870422729467</v>
      </c>
      <c r="M528" s="2471"/>
    </row>
    <row r="529" spans="1:13" s="251" customFormat="1" ht="34.5" customHeight="1">
      <c r="A529" s="475"/>
      <c r="B529" s="2445"/>
      <c r="C529" s="448" t="s">
        <v>19</v>
      </c>
      <c r="D529" s="449"/>
      <c r="E529" s="263">
        <f>SUM(E530,E533)</f>
        <v>101187</v>
      </c>
      <c r="F529" s="263">
        <f>SUM(F530,F533)</f>
        <v>135307</v>
      </c>
      <c r="G529" s="263"/>
      <c r="H529" s="263">
        <f>SUM(H530,H533)</f>
        <v>116365</v>
      </c>
      <c r="I529" s="468">
        <f t="shared" ref="I529:I541" si="55">H529/E529</f>
        <v>1.149999505865378</v>
      </c>
      <c r="J529" s="263">
        <f>SUM(J530,J533)</f>
        <v>100000</v>
      </c>
      <c r="K529" s="406">
        <f>SUM(K530,K533)</f>
        <v>216365</v>
      </c>
      <c r="L529" s="469">
        <f t="shared" si="50"/>
        <v>2.1382687499382333</v>
      </c>
      <c r="M529" s="2471"/>
    </row>
    <row r="530" spans="1:13" s="251" customFormat="1" ht="30.75" customHeight="1">
      <c r="A530" s="475"/>
      <c r="B530" s="2445"/>
      <c r="C530" s="2054" t="s">
        <v>20</v>
      </c>
      <c r="D530" s="449" t="s">
        <v>22</v>
      </c>
      <c r="E530" s="263">
        <f>SUM(E531:E532)</f>
        <v>10815</v>
      </c>
      <c r="F530" s="263">
        <f>SUM(F531:F532)</f>
        <v>10815</v>
      </c>
      <c r="G530" s="263"/>
      <c r="H530" s="263">
        <f>SUM(H531:H532)</f>
        <v>12437</v>
      </c>
      <c r="I530" s="468">
        <f t="shared" si="55"/>
        <v>1.1499768839574664</v>
      </c>
      <c r="J530" s="263">
        <f>SUM(J531:J532)</f>
        <v>0</v>
      </c>
      <c r="K530" s="406">
        <f>SUM(K531:K532)</f>
        <v>12437</v>
      </c>
      <c r="L530" s="469">
        <f t="shared" si="50"/>
        <v>1.1499768839574664</v>
      </c>
      <c r="M530" s="2471"/>
    </row>
    <row r="531" spans="1:13" s="251" customFormat="1" ht="25.5" customHeight="1">
      <c r="A531" s="475"/>
      <c r="B531" s="2445"/>
      <c r="C531" s="2453"/>
      <c r="D531" s="474">
        <v>4110</v>
      </c>
      <c r="E531" s="471">
        <v>9085</v>
      </c>
      <c r="F531" s="472">
        <v>9085</v>
      </c>
      <c r="G531" s="472"/>
      <c r="H531" s="472">
        <v>10447</v>
      </c>
      <c r="I531" s="473">
        <f t="shared" si="55"/>
        <v>1.1499174463401212</v>
      </c>
      <c r="J531" s="472">
        <v>0</v>
      </c>
      <c r="K531" s="471">
        <f t="shared" ref="K531:K541" si="56">SUM(H531,J531)</f>
        <v>10447</v>
      </c>
      <c r="L531" s="469">
        <f t="shared" si="50"/>
        <v>1.1499174463401212</v>
      </c>
      <c r="M531" s="2471"/>
    </row>
    <row r="532" spans="1:13" s="251" customFormat="1" ht="25.5" customHeight="1">
      <c r="A532" s="475"/>
      <c r="B532" s="2445"/>
      <c r="C532" s="2441"/>
      <c r="D532" s="474">
        <v>4120</v>
      </c>
      <c r="E532" s="471">
        <v>1730</v>
      </c>
      <c r="F532" s="472">
        <v>1730</v>
      </c>
      <c r="G532" s="472"/>
      <c r="H532" s="472">
        <v>1990</v>
      </c>
      <c r="I532" s="473">
        <f t="shared" si="55"/>
        <v>1.1502890173410405</v>
      </c>
      <c r="J532" s="472">
        <v>0</v>
      </c>
      <c r="K532" s="471">
        <f t="shared" si="56"/>
        <v>1990</v>
      </c>
      <c r="L532" s="469">
        <f t="shared" si="50"/>
        <v>1.1502890173410405</v>
      </c>
      <c r="M532" s="2471"/>
    </row>
    <row r="533" spans="1:13" s="251" customFormat="1" ht="29.25" customHeight="1">
      <c r="A533" s="475"/>
      <c r="B533" s="2445"/>
      <c r="C533" s="2175" t="s">
        <v>21</v>
      </c>
      <c r="D533" s="449" t="s">
        <v>22</v>
      </c>
      <c r="E533" s="263">
        <f>SUM(E534:E535)</f>
        <v>90372</v>
      </c>
      <c r="F533" s="263">
        <f>SUM(F534:F535)</f>
        <v>124492</v>
      </c>
      <c r="G533" s="263"/>
      <c r="H533" s="263">
        <f>SUM(H534:H535)</f>
        <v>103928</v>
      </c>
      <c r="I533" s="468">
        <f t="shared" si="55"/>
        <v>1.1500022130748462</v>
      </c>
      <c r="J533" s="263">
        <f>SUM(J534:J535)</f>
        <v>100000</v>
      </c>
      <c r="K533" s="406">
        <f>SUM(K534:K535)</f>
        <v>203928</v>
      </c>
      <c r="L533" s="469">
        <f t="shared" si="50"/>
        <v>2.2565396361704955</v>
      </c>
      <c r="M533" s="2471"/>
    </row>
    <row r="534" spans="1:13" s="251" customFormat="1" ht="18.75" customHeight="1">
      <c r="A534" s="475"/>
      <c r="B534" s="2445"/>
      <c r="C534" s="2455"/>
      <c r="D534" s="474">
        <v>4210</v>
      </c>
      <c r="E534" s="471">
        <v>28366</v>
      </c>
      <c r="F534" s="472">
        <v>28366</v>
      </c>
      <c r="G534" s="472"/>
      <c r="H534" s="472">
        <v>32621</v>
      </c>
      <c r="I534" s="473">
        <f t="shared" si="55"/>
        <v>1.1500035253472467</v>
      </c>
      <c r="J534" s="472">
        <v>50000</v>
      </c>
      <c r="K534" s="471">
        <f t="shared" si="56"/>
        <v>82621</v>
      </c>
      <c r="L534" s="469">
        <f t="shared" si="50"/>
        <v>2.9126771486991467</v>
      </c>
      <c r="M534" s="2471"/>
    </row>
    <row r="535" spans="1:13" s="251" customFormat="1" ht="18.75" customHeight="1">
      <c r="A535" s="608"/>
      <c r="B535" s="2437"/>
      <c r="C535" s="2456"/>
      <c r="D535" s="474">
        <v>4300</v>
      </c>
      <c r="E535" s="471">
        <v>62006</v>
      </c>
      <c r="F535" s="472">
        <v>96126</v>
      </c>
      <c r="G535" s="472"/>
      <c r="H535" s="472">
        <v>71307</v>
      </c>
      <c r="I535" s="473">
        <f t="shared" si="55"/>
        <v>1.1500016127471535</v>
      </c>
      <c r="J535" s="472">
        <v>50000</v>
      </c>
      <c r="K535" s="471">
        <f t="shared" si="56"/>
        <v>121307</v>
      </c>
      <c r="L535" s="469">
        <f t="shared" si="50"/>
        <v>1.9563751894977905</v>
      </c>
      <c r="M535" s="2172"/>
    </row>
    <row r="536" spans="1:13" s="251" customFormat="1" ht="30.75" customHeight="1">
      <c r="A536" s="610"/>
      <c r="B536" s="1959" t="s">
        <v>81</v>
      </c>
      <c r="C536" s="2054" t="s">
        <v>23</v>
      </c>
      <c r="D536" s="449" t="s">
        <v>22</v>
      </c>
      <c r="E536" s="263">
        <f>SUM(E537:E538)</f>
        <v>4611871</v>
      </c>
      <c r="F536" s="263">
        <f>SUM(F537:F538)</f>
        <v>3877751</v>
      </c>
      <c r="G536" s="263"/>
      <c r="H536" s="263">
        <f>SUM(H537:H538)</f>
        <v>3750857</v>
      </c>
      <c r="I536" s="468">
        <f t="shared" si="55"/>
        <v>0.81330483875199455</v>
      </c>
      <c r="J536" s="263">
        <f>SUM(J537:J538)</f>
        <v>875000</v>
      </c>
      <c r="K536" s="406">
        <f>SUM(K537:K538)</f>
        <v>4625857</v>
      </c>
      <c r="L536" s="469">
        <f t="shared" si="50"/>
        <v>1.0030326086744403</v>
      </c>
      <c r="M536" s="2174" t="s">
        <v>635</v>
      </c>
    </row>
    <row r="537" spans="1:13" s="251" customFormat="1" ht="18.75" customHeight="1">
      <c r="A537" s="475"/>
      <c r="B537" s="2445"/>
      <c r="C537" s="2453"/>
      <c r="D537" s="474">
        <v>2360</v>
      </c>
      <c r="E537" s="471">
        <v>900000</v>
      </c>
      <c r="F537" s="472">
        <v>1013521</v>
      </c>
      <c r="G537" s="472"/>
      <c r="H537" s="472">
        <v>715000</v>
      </c>
      <c r="I537" s="473">
        <f t="shared" si="55"/>
        <v>0.7944444444444444</v>
      </c>
      <c r="J537" s="472">
        <v>500000</v>
      </c>
      <c r="K537" s="471">
        <f t="shared" si="56"/>
        <v>1215000</v>
      </c>
      <c r="L537" s="469">
        <f t="shared" si="50"/>
        <v>1.35</v>
      </c>
      <c r="M537" s="2474"/>
    </row>
    <row r="538" spans="1:13" s="251" customFormat="1" ht="18.75" customHeight="1">
      <c r="A538" s="475"/>
      <c r="B538" s="2445"/>
      <c r="C538" s="2441"/>
      <c r="D538" s="474">
        <v>2820</v>
      </c>
      <c r="E538" s="471">
        <v>3711871</v>
      </c>
      <c r="F538" s="472">
        <v>2864230</v>
      </c>
      <c r="G538" s="472"/>
      <c r="H538" s="472">
        <v>3035857</v>
      </c>
      <c r="I538" s="473">
        <f t="shared" si="55"/>
        <v>0.81787783034485839</v>
      </c>
      <c r="J538" s="472">
        <v>375000</v>
      </c>
      <c r="K538" s="471">
        <f t="shared" si="56"/>
        <v>3410857</v>
      </c>
      <c r="L538" s="469">
        <f t="shared" ref="L538:L552" si="57">K538/E538</f>
        <v>0.9189050481549601</v>
      </c>
      <c r="M538" s="2474"/>
    </row>
    <row r="539" spans="1:13" s="251" customFormat="1" ht="31.5" customHeight="1">
      <c r="A539" s="475"/>
      <c r="B539" s="2445"/>
      <c r="C539" s="2054" t="s">
        <v>24</v>
      </c>
      <c r="D539" s="449" t="s">
        <v>22</v>
      </c>
      <c r="E539" s="263">
        <f>SUM(E540:E541)</f>
        <v>1087342</v>
      </c>
      <c r="F539" s="263">
        <f>SUM(F540:F541)</f>
        <v>1087342</v>
      </c>
      <c r="G539" s="263"/>
      <c r="H539" s="263">
        <f>SUM(H540:H541)</f>
        <v>1250443</v>
      </c>
      <c r="I539" s="468">
        <f t="shared" si="55"/>
        <v>1.1499997240978459</v>
      </c>
      <c r="J539" s="263">
        <f>SUM(J540:J541)</f>
        <v>0</v>
      </c>
      <c r="K539" s="406">
        <f>SUM(K540:K541)</f>
        <v>1250443</v>
      </c>
      <c r="L539" s="469">
        <f t="shared" si="57"/>
        <v>1.1499997240978459</v>
      </c>
      <c r="M539" s="2474"/>
    </row>
    <row r="540" spans="1:13" s="251" customFormat="1" ht="18.75" customHeight="1">
      <c r="A540" s="475"/>
      <c r="B540" s="2445"/>
      <c r="C540" s="2453"/>
      <c r="D540" s="474">
        <v>3040</v>
      </c>
      <c r="E540" s="471">
        <v>193354</v>
      </c>
      <c r="F540" s="472">
        <v>193042</v>
      </c>
      <c r="G540" s="472"/>
      <c r="H540" s="472">
        <v>222357</v>
      </c>
      <c r="I540" s="473">
        <f t="shared" si="55"/>
        <v>1.1499994828139062</v>
      </c>
      <c r="J540" s="472">
        <v>0</v>
      </c>
      <c r="K540" s="471">
        <f t="shared" si="56"/>
        <v>222357</v>
      </c>
      <c r="L540" s="469">
        <f t="shared" si="57"/>
        <v>1.1499994828139062</v>
      </c>
      <c r="M540" s="2474"/>
    </row>
    <row r="541" spans="1:13" s="251" customFormat="1" ht="18.75" customHeight="1">
      <c r="A541" s="475"/>
      <c r="B541" s="2445"/>
      <c r="C541" s="2441"/>
      <c r="D541" s="474" t="s">
        <v>224</v>
      </c>
      <c r="E541" s="471">
        <v>893988</v>
      </c>
      <c r="F541" s="472">
        <v>894300</v>
      </c>
      <c r="G541" s="472"/>
      <c r="H541" s="472">
        <v>1028086</v>
      </c>
      <c r="I541" s="473">
        <f t="shared" si="55"/>
        <v>1.1499997762833505</v>
      </c>
      <c r="J541" s="472">
        <v>0</v>
      </c>
      <c r="K541" s="471">
        <f t="shared" si="56"/>
        <v>1028086</v>
      </c>
      <c r="L541" s="469">
        <f t="shared" si="57"/>
        <v>1.1499997762833505</v>
      </c>
      <c r="M541" s="2474"/>
    </row>
    <row r="542" spans="1:13" s="251" customFormat="1" ht="36" customHeight="1">
      <c r="A542" s="475"/>
      <c r="B542" s="2445"/>
      <c r="C542" s="452" t="s">
        <v>25</v>
      </c>
      <c r="D542" s="449"/>
      <c r="E542" s="406"/>
      <c r="F542" s="263"/>
      <c r="G542" s="263"/>
      <c r="H542" s="263"/>
      <c r="I542" s="263"/>
      <c r="J542" s="263"/>
      <c r="K542" s="406"/>
      <c r="L542" s="469"/>
      <c r="M542" s="2474"/>
    </row>
    <row r="543" spans="1:13" s="251" customFormat="1" ht="18" customHeight="1">
      <c r="A543" s="475"/>
      <c r="B543" s="2445"/>
      <c r="C543" s="448" t="s">
        <v>26</v>
      </c>
      <c r="D543" s="449"/>
      <c r="E543" s="406"/>
      <c r="F543" s="263"/>
      <c r="G543" s="263"/>
      <c r="H543" s="263"/>
      <c r="I543" s="263"/>
      <c r="J543" s="263"/>
      <c r="K543" s="406"/>
      <c r="L543" s="469"/>
      <c r="M543" s="2474"/>
    </row>
    <row r="544" spans="1:13" s="251" customFormat="1" ht="18" customHeight="1">
      <c r="A544" s="475"/>
      <c r="B544" s="2445"/>
      <c r="C544" s="450" t="s">
        <v>27</v>
      </c>
      <c r="D544" s="454"/>
      <c r="E544" s="455"/>
      <c r="F544" s="263"/>
      <c r="G544" s="263"/>
      <c r="H544" s="263"/>
      <c r="I544" s="263"/>
      <c r="J544" s="263"/>
      <c r="K544" s="406"/>
      <c r="L544" s="469"/>
      <c r="M544" s="2474"/>
    </row>
    <row r="545" spans="1:16375" s="251" customFormat="1" ht="42.75" customHeight="1">
      <c r="A545" s="475"/>
      <c r="B545" s="2445"/>
      <c r="C545" s="453" t="s">
        <v>28</v>
      </c>
      <c r="D545" s="446"/>
      <c r="E545" s="261">
        <f>SUM(E546,E550:E551)</f>
        <v>0</v>
      </c>
      <c r="F545" s="261">
        <f>SUM(F546,F550:F551)</f>
        <v>710000</v>
      </c>
      <c r="G545" s="261"/>
      <c r="H545" s="261">
        <f>SUM(H546,H550:H551)</f>
        <v>0</v>
      </c>
      <c r="I545" s="465"/>
      <c r="J545" s="261">
        <f>SUM(J546,J550:J551)</f>
        <v>250000</v>
      </c>
      <c r="K545" s="447">
        <f>SUM(K546,K550:K551)</f>
        <v>250000</v>
      </c>
      <c r="L545" s="466"/>
      <c r="M545" s="2474"/>
    </row>
    <row r="546" spans="1:16375" s="251" customFormat="1" ht="27" customHeight="1">
      <c r="A546" s="475"/>
      <c r="B546" s="2445"/>
      <c r="C546" s="2054" t="s">
        <v>29</v>
      </c>
      <c r="D546" s="449" t="s">
        <v>22</v>
      </c>
      <c r="E546" s="406">
        <f>SUM(E547:E548)</f>
        <v>0</v>
      </c>
      <c r="F546" s="406">
        <f>SUM(F547:F548)</f>
        <v>710000</v>
      </c>
      <c r="G546" s="406"/>
      <c r="H546" s="263">
        <f>SUM(H547:H548)</f>
        <v>0</v>
      </c>
      <c r="I546" s="468"/>
      <c r="J546" s="406">
        <f>SUM(J547:J548)</f>
        <v>250000</v>
      </c>
      <c r="K546" s="406">
        <f>SUM(K547:K548)</f>
        <v>250000</v>
      </c>
      <c r="L546" s="469"/>
      <c r="M546" s="2474"/>
    </row>
    <row r="547" spans="1:16375" s="251" customFormat="1" ht="27" customHeight="1">
      <c r="A547" s="475"/>
      <c r="B547" s="2445"/>
      <c r="C547" s="2453"/>
      <c r="D547" s="474" t="s">
        <v>348</v>
      </c>
      <c r="E547" s="471">
        <v>0</v>
      </c>
      <c r="F547" s="472">
        <v>0</v>
      </c>
      <c r="G547" s="472"/>
      <c r="H547" s="472">
        <v>0</v>
      </c>
      <c r="I547" s="473"/>
      <c r="J547" s="472">
        <v>250000</v>
      </c>
      <c r="K547" s="471">
        <f t="shared" ref="K547:K548" si="58">SUM(H547,J547)</f>
        <v>250000</v>
      </c>
      <c r="L547" s="469"/>
      <c r="M547" s="2474"/>
    </row>
    <row r="548" spans="1:16375" s="251" customFormat="1" ht="27" customHeight="1">
      <c r="A548" s="475"/>
      <c r="B548" s="2445"/>
      <c r="C548" s="2441"/>
      <c r="D548" s="474" t="s">
        <v>216</v>
      </c>
      <c r="E548" s="471">
        <v>0</v>
      </c>
      <c r="F548" s="472">
        <v>710000</v>
      </c>
      <c r="G548" s="472"/>
      <c r="H548" s="472">
        <v>0</v>
      </c>
      <c r="I548" s="473"/>
      <c r="J548" s="472">
        <v>0</v>
      </c>
      <c r="K548" s="471">
        <f t="shared" si="58"/>
        <v>0</v>
      </c>
      <c r="L548" s="469"/>
      <c r="M548" s="2474"/>
    </row>
    <row r="549" spans="1:16375" s="251" customFormat="1" ht="24.75" customHeight="1">
      <c r="A549" s="475"/>
      <c r="B549" s="2445"/>
      <c r="C549" s="452" t="s">
        <v>89</v>
      </c>
      <c r="D549" s="449"/>
      <c r="E549" s="406"/>
      <c r="F549" s="263"/>
      <c r="G549" s="263"/>
      <c r="H549" s="263"/>
      <c r="I549" s="263"/>
      <c r="J549" s="263"/>
      <c r="K549" s="406"/>
      <c r="L549" s="469"/>
      <c r="M549" s="2474"/>
    </row>
    <row r="550" spans="1:16375" s="251" customFormat="1" ht="18" customHeight="1">
      <c r="A550" s="475"/>
      <c r="B550" s="2445"/>
      <c r="C550" s="448" t="s">
        <v>31</v>
      </c>
      <c r="D550" s="449"/>
      <c r="E550" s="406"/>
      <c r="F550" s="263"/>
      <c r="G550" s="263"/>
      <c r="H550" s="263"/>
      <c r="I550" s="263"/>
      <c r="J550" s="263"/>
      <c r="K550" s="406"/>
      <c r="L550" s="469"/>
      <c r="M550" s="2474"/>
    </row>
    <row r="551" spans="1:16375" s="251" customFormat="1" ht="18" customHeight="1" thickBot="1">
      <c r="A551" s="624"/>
      <c r="B551" s="2083"/>
      <c r="C551" s="625" t="s">
        <v>32</v>
      </c>
      <c r="D551" s="626"/>
      <c r="E551" s="627"/>
      <c r="F551" s="579"/>
      <c r="G551" s="579"/>
      <c r="H551" s="579"/>
      <c r="I551" s="579"/>
      <c r="J551" s="579"/>
      <c r="K551" s="455"/>
      <c r="L551" s="580"/>
      <c r="M551" s="2474"/>
    </row>
    <row r="552" spans="1:16375" s="251" customFormat="1" ht="22.5" customHeight="1" thickBot="1">
      <c r="A552" s="2472" t="s">
        <v>33</v>
      </c>
      <c r="B552" s="2472"/>
      <c r="C552" s="2473"/>
      <c r="D552" s="628"/>
      <c r="E552" s="629">
        <f>SUM(E511,E403,E371,E74,E58,E23)</f>
        <v>80804012</v>
      </c>
      <c r="F552" s="629">
        <f>SUM(F511,F403,F371,F74,F58,F23,F387)</f>
        <v>86681171</v>
      </c>
      <c r="G552" s="629"/>
      <c r="H552" s="629">
        <f>SUM(H511,H403,H371,H74,H58,H23)</f>
        <v>65618630</v>
      </c>
      <c r="I552" s="630">
        <f>H552/E552</f>
        <v>0.81207143526487269</v>
      </c>
      <c r="J552" s="631">
        <f>SUM(J511,J403,J371,J74,J58,J23)</f>
        <v>2449863</v>
      </c>
      <c r="K552" s="629">
        <f>SUM(K511,K403,K371,K74,K58,K23)</f>
        <v>68068493</v>
      </c>
      <c r="L552" s="630">
        <f t="shared" si="57"/>
        <v>0.8423900164759146</v>
      </c>
      <c r="M552" s="1043"/>
    </row>
    <row r="553" spans="1:16375" s="420" customFormat="1" ht="10.5" hidden="1" customHeight="1">
      <c r="A553" s="2468" t="s">
        <v>349</v>
      </c>
      <c r="B553" s="2469"/>
      <c r="C553" s="2469"/>
      <c r="D553" s="632"/>
      <c r="E553" s="633"/>
      <c r="F553" s="633"/>
      <c r="G553" s="633"/>
      <c r="H553" s="634"/>
      <c r="I553" s="635"/>
      <c r="J553" s="634"/>
      <c r="K553" s="636"/>
      <c r="L553" s="637"/>
      <c r="M553" s="63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  <c r="AA553" s="178"/>
      <c r="AB553" s="178"/>
      <c r="AC553" s="178"/>
      <c r="AD553" s="178"/>
      <c r="AE553" s="178"/>
      <c r="AF553" s="178"/>
      <c r="AG553" s="178"/>
      <c r="AH553" s="178"/>
      <c r="AI553" s="178"/>
      <c r="AJ553" s="178"/>
      <c r="AK553" s="178"/>
      <c r="AL553" s="178"/>
      <c r="AM553" s="178"/>
      <c r="AN553" s="178"/>
      <c r="AO553" s="178"/>
      <c r="AP553" s="178"/>
      <c r="AQ553" s="178"/>
      <c r="AR553" s="178"/>
      <c r="AS553" s="178"/>
      <c r="AT553" s="178"/>
      <c r="AU553" s="178"/>
      <c r="AV553" s="178"/>
      <c r="AW553" s="178"/>
      <c r="AX553" s="178"/>
      <c r="AY553" s="178"/>
      <c r="AZ553" s="178"/>
      <c r="BA553" s="178"/>
      <c r="BB553" s="178"/>
      <c r="BC553" s="178"/>
      <c r="BD553" s="178"/>
      <c r="BE553" s="178"/>
      <c r="BF553" s="178"/>
      <c r="BG553" s="178"/>
      <c r="BH553" s="178"/>
      <c r="BI553" s="178"/>
      <c r="BJ553" s="178"/>
      <c r="BK553" s="178"/>
      <c r="BL553" s="178"/>
      <c r="BM553" s="178"/>
      <c r="BN553" s="178"/>
      <c r="BO553" s="178"/>
      <c r="BP553" s="178"/>
      <c r="BQ553" s="178"/>
      <c r="BR553" s="178"/>
      <c r="BS553" s="178"/>
      <c r="BT553" s="178"/>
      <c r="BU553" s="178"/>
      <c r="BV553" s="178"/>
      <c r="BW553" s="178"/>
      <c r="BX553" s="178"/>
      <c r="BY553" s="178"/>
      <c r="BZ553" s="178"/>
      <c r="CA553" s="178"/>
      <c r="CB553" s="178"/>
      <c r="CC553" s="178"/>
      <c r="CD553" s="178"/>
      <c r="CE553" s="178"/>
      <c r="CF553" s="178"/>
      <c r="CG553" s="178"/>
      <c r="CH553" s="178"/>
      <c r="CI553" s="178"/>
      <c r="CJ553" s="178"/>
      <c r="CK553" s="178"/>
      <c r="CL553" s="178"/>
      <c r="CM553" s="178"/>
      <c r="CN553" s="178"/>
      <c r="CO553" s="178"/>
      <c r="CP553" s="178"/>
      <c r="CQ553" s="178"/>
      <c r="CR553" s="178"/>
      <c r="CS553" s="178"/>
      <c r="CT553" s="178"/>
      <c r="CU553" s="178"/>
      <c r="CV553" s="178"/>
      <c r="CW553" s="178"/>
      <c r="CX553" s="178"/>
      <c r="CY553" s="178"/>
      <c r="CZ553" s="178"/>
      <c r="DA553" s="178"/>
      <c r="DB553" s="178"/>
      <c r="DC553" s="178"/>
      <c r="DD553" s="178"/>
      <c r="DE553" s="178"/>
      <c r="DF553" s="178"/>
      <c r="DG553" s="178"/>
      <c r="DH553" s="178"/>
      <c r="DI553" s="178"/>
      <c r="DJ553" s="178"/>
      <c r="DK553" s="178"/>
      <c r="DL553" s="178"/>
      <c r="DM553" s="178"/>
      <c r="DN553" s="178"/>
      <c r="DO553" s="178"/>
      <c r="DP553" s="178"/>
      <c r="DQ553" s="178"/>
      <c r="DR553" s="178"/>
      <c r="DS553" s="178"/>
      <c r="DT553" s="178"/>
      <c r="DU553" s="178"/>
      <c r="DV553" s="178"/>
      <c r="DW553" s="178"/>
      <c r="DX553" s="178"/>
      <c r="DY553" s="178"/>
      <c r="DZ553" s="178"/>
      <c r="EA553" s="178"/>
      <c r="EB553" s="178"/>
      <c r="EC553" s="178"/>
      <c r="ED553" s="178"/>
      <c r="EE553" s="178"/>
      <c r="EF553" s="178"/>
      <c r="EG553" s="178"/>
      <c r="EH553" s="178"/>
      <c r="EI553" s="178"/>
      <c r="EJ553" s="178"/>
      <c r="EK553" s="178"/>
      <c r="EL553" s="178"/>
      <c r="EM553" s="178"/>
      <c r="EN553" s="178"/>
      <c r="EO553" s="178"/>
      <c r="EP553" s="178"/>
      <c r="EQ553" s="178"/>
      <c r="ER553" s="178"/>
      <c r="ES553" s="178"/>
      <c r="ET553" s="178"/>
      <c r="EU553" s="178"/>
      <c r="EV553" s="178"/>
      <c r="EW553" s="178"/>
      <c r="EX553" s="178"/>
      <c r="EY553" s="178"/>
      <c r="EZ553" s="178"/>
      <c r="FA553" s="178"/>
      <c r="FB553" s="178"/>
      <c r="FC553" s="178"/>
      <c r="FD553" s="178"/>
      <c r="FE553" s="178"/>
      <c r="FF553" s="178"/>
      <c r="FG553" s="178"/>
      <c r="FH553" s="178"/>
      <c r="FI553" s="178"/>
      <c r="FJ553" s="178"/>
      <c r="FK553" s="178"/>
      <c r="FL553" s="178"/>
      <c r="FM553" s="178"/>
      <c r="FN553" s="178"/>
      <c r="FO553" s="178"/>
      <c r="FP553" s="178"/>
      <c r="FQ553" s="178"/>
      <c r="FR553" s="178"/>
      <c r="FS553" s="178"/>
      <c r="FT553" s="178"/>
      <c r="FU553" s="178"/>
      <c r="FV553" s="178"/>
      <c r="FW553" s="178"/>
      <c r="FX553" s="178"/>
      <c r="FY553" s="178"/>
      <c r="FZ553" s="178"/>
      <c r="GA553" s="178"/>
      <c r="GB553" s="178"/>
      <c r="GC553" s="178"/>
      <c r="GD553" s="178"/>
      <c r="GE553" s="178"/>
      <c r="GF553" s="178"/>
      <c r="GG553" s="178"/>
      <c r="GH553" s="178"/>
      <c r="GI553" s="178"/>
      <c r="GJ553" s="178"/>
      <c r="GK553" s="178"/>
      <c r="GL553" s="178"/>
      <c r="GM553" s="178"/>
      <c r="GN553" s="178"/>
      <c r="GO553" s="178"/>
      <c r="GP553" s="178"/>
      <c r="GQ553" s="178"/>
      <c r="GR553" s="178"/>
      <c r="GS553" s="178"/>
      <c r="GT553" s="178"/>
      <c r="GU553" s="178"/>
      <c r="GV553" s="178"/>
      <c r="GW553" s="178"/>
      <c r="GX553" s="178"/>
      <c r="GY553" s="178"/>
      <c r="GZ553" s="178"/>
      <c r="HA553" s="178"/>
      <c r="HB553" s="178"/>
      <c r="HC553" s="178"/>
      <c r="HD553" s="178"/>
      <c r="HE553" s="178"/>
      <c r="HF553" s="178"/>
      <c r="HG553" s="178"/>
      <c r="HH553" s="178"/>
      <c r="HI553" s="178"/>
      <c r="HJ553" s="178"/>
      <c r="HK553" s="178"/>
      <c r="HL553" s="178"/>
      <c r="HM553" s="178"/>
      <c r="HN553" s="178"/>
      <c r="HO553" s="178"/>
      <c r="HP553" s="178"/>
      <c r="HQ553" s="178"/>
      <c r="HR553" s="178"/>
      <c r="HS553" s="178"/>
      <c r="HT553" s="178"/>
      <c r="HU553" s="178"/>
      <c r="HV553" s="178"/>
      <c r="HW553" s="178"/>
      <c r="HX553" s="178"/>
      <c r="HY553" s="178"/>
      <c r="HZ553" s="178"/>
      <c r="IA553" s="178"/>
      <c r="IB553" s="178"/>
      <c r="IC553" s="178"/>
      <c r="ID553" s="178"/>
      <c r="IE553" s="178"/>
      <c r="IF553" s="178"/>
      <c r="IG553" s="178"/>
      <c r="IH553" s="178"/>
      <c r="II553" s="178"/>
      <c r="IJ553" s="178"/>
      <c r="IK553" s="178"/>
      <c r="IL553" s="178"/>
      <c r="IM553" s="178"/>
      <c r="IN553" s="178"/>
      <c r="IO553" s="178"/>
      <c r="IP553" s="178"/>
      <c r="IQ553" s="178"/>
      <c r="IR553" s="178"/>
      <c r="IS553" s="178"/>
      <c r="IT553" s="178"/>
      <c r="IU553" s="178"/>
      <c r="IV553" s="178"/>
      <c r="IW553" s="178"/>
      <c r="IX553" s="178"/>
      <c r="IY553" s="178"/>
      <c r="IZ553" s="178"/>
      <c r="JA553" s="178"/>
      <c r="JB553" s="178"/>
      <c r="JC553" s="178"/>
      <c r="JD553" s="178"/>
      <c r="JE553" s="178"/>
      <c r="JF553" s="178"/>
      <c r="JG553" s="178"/>
      <c r="JH553" s="178"/>
      <c r="JI553" s="178"/>
      <c r="JJ553" s="178"/>
      <c r="JK553" s="178"/>
      <c r="JL553" s="178"/>
      <c r="JM553" s="178"/>
      <c r="JN553" s="178"/>
      <c r="JO553" s="178"/>
      <c r="JP553" s="178"/>
      <c r="JQ553" s="178"/>
      <c r="JR553" s="178"/>
      <c r="JS553" s="178"/>
      <c r="JT553" s="178"/>
      <c r="JU553" s="178"/>
      <c r="JV553" s="178"/>
      <c r="JW553" s="178"/>
      <c r="JX553" s="178"/>
      <c r="JY553" s="178"/>
      <c r="JZ553" s="178"/>
      <c r="KA553" s="178"/>
      <c r="KB553" s="178"/>
      <c r="KC553" s="178"/>
      <c r="KD553" s="178"/>
      <c r="KE553" s="178"/>
      <c r="KF553" s="178"/>
      <c r="KG553" s="178"/>
      <c r="KH553" s="178"/>
      <c r="KI553" s="178"/>
      <c r="KJ553" s="178"/>
      <c r="KK553" s="178"/>
      <c r="KL553" s="178"/>
      <c r="KM553" s="178"/>
      <c r="KN553" s="178"/>
      <c r="KO553" s="178"/>
      <c r="KP553" s="178"/>
      <c r="KQ553" s="178"/>
      <c r="KR553" s="178"/>
      <c r="KS553" s="178"/>
      <c r="KT553" s="178"/>
      <c r="KU553" s="178"/>
      <c r="KV553" s="178"/>
      <c r="KW553" s="178"/>
      <c r="KX553" s="178"/>
      <c r="KY553" s="178"/>
      <c r="KZ553" s="178"/>
      <c r="LA553" s="178"/>
      <c r="LB553" s="178"/>
      <c r="LC553" s="178"/>
      <c r="LD553" s="178"/>
      <c r="LE553" s="178"/>
      <c r="LF553" s="178"/>
      <c r="LG553" s="178"/>
      <c r="LH553" s="178"/>
      <c r="LI553" s="178"/>
      <c r="LJ553" s="178"/>
      <c r="LK553" s="178"/>
      <c r="LL553" s="178"/>
      <c r="LM553" s="178"/>
      <c r="LN553" s="178"/>
      <c r="LO553" s="178"/>
      <c r="LP553" s="178"/>
      <c r="LQ553" s="178"/>
      <c r="LR553" s="178"/>
      <c r="LS553" s="178"/>
      <c r="LT553" s="178"/>
      <c r="LU553" s="178"/>
      <c r="LV553" s="178"/>
      <c r="LW553" s="178"/>
      <c r="LX553" s="178"/>
      <c r="LY553" s="178"/>
      <c r="LZ553" s="178"/>
      <c r="MA553" s="178"/>
      <c r="MB553" s="178"/>
      <c r="MC553" s="178"/>
      <c r="MD553" s="178"/>
      <c r="ME553" s="178"/>
      <c r="MF553" s="178"/>
      <c r="MG553" s="178"/>
      <c r="MH553" s="178"/>
      <c r="MI553" s="178"/>
      <c r="MJ553" s="178"/>
      <c r="MK553" s="178"/>
      <c r="ML553" s="178"/>
      <c r="MM553" s="178"/>
      <c r="MN553" s="178"/>
      <c r="MO553" s="178"/>
      <c r="MP553" s="178"/>
      <c r="MQ553" s="178"/>
      <c r="MR553" s="178"/>
      <c r="MS553" s="178"/>
      <c r="MT553" s="178"/>
      <c r="MU553" s="178"/>
      <c r="MV553" s="178"/>
      <c r="MW553" s="178"/>
      <c r="MX553" s="178"/>
      <c r="MY553" s="178"/>
      <c r="MZ553" s="178"/>
      <c r="NA553" s="178"/>
      <c r="NB553" s="178"/>
      <c r="NC553" s="178"/>
      <c r="ND553" s="178"/>
      <c r="NE553" s="178"/>
      <c r="NF553" s="178"/>
      <c r="NG553" s="178"/>
      <c r="NH553" s="178"/>
      <c r="NI553" s="178"/>
      <c r="NJ553" s="178"/>
      <c r="NK553" s="178"/>
      <c r="NL553" s="178"/>
      <c r="NM553" s="178"/>
      <c r="NN553" s="178"/>
      <c r="NO553" s="178"/>
      <c r="NP553" s="178"/>
      <c r="NQ553" s="178"/>
      <c r="NR553" s="178"/>
      <c r="NS553" s="178"/>
      <c r="NT553" s="178"/>
      <c r="NU553" s="178"/>
      <c r="NV553" s="178"/>
      <c r="NW553" s="178"/>
      <c r="NX553" s="178"/>
      <c r="NY553" s="178"/>
      <c r="NZ553" s="178"/>
      <c r="OA553" s="178"/>
      <c r="OB553" s="178"/>
      <c r="OC553" s="178"/>
      <c r="OD553" s="178"/>
      <c r="OE553" s="178"/>
      <c r="OF553" s="178"/>
      <c r="OG553" s="178"/>
      <c r="OH553" s="178"/>
      <c r="OI553" s="178"/>
      <c r="OJ553" s="178"/>
      <c r="OK553" s="178"/>
      <c r="OL553" s="178"/>
      <c r="OM553" s="178"/>
      <c r="ON553" s="178"/>
      <c r="OO553" s="178"/>
      <c r="OP553" s="178"/>
      <c r="OQ553" s="178"/>
      <c r="OR553" s="178"/>
      <c r="OS553" s="178"/>
      <c r="OT553" s="178"/>
      <c r="OU553" s="178"/>
      <c r="OV553" s="178"/>
      <c r="OW553" s="178"/>
      <c r="OX553" s="178"/>
      <c r="OY553" s="178"/>
      <c r="OZ553" s="178"/>
      <c r="PA553" s="178"/>
      <c r="PB553" s="178"/>
      <c r="PC553" s="178"/>
      <c r="PD553" s="178"/>
      <c r="PE553" s="178"/>
      <c r="PF553" s="178"/>
      <c r="PG553" s="178"/>
      <c r="PH553" s="178"/>
      <c r="PI553" s="178"/>
      <c r="PJ553" s="178"/>
      <c r="PK553" s="178"/>
      <c r="PL553" s="178"/>
      <c r="PM553" s="178"/>
      <c r="PN553" s="178"/>
      <c r="PO553" s="178"/>
      <c r="PP553" s="178"/>
      <c r="PQ553" s="178"/>
      <c r="PR553" s="178"/>
      <c r="PS553" s="178"/>
      <c r="PT553" s="178"/>
      <c r="PU553" s="178"/>
      <c r="PV553" s="178"/>
      <c r="PW553" s="178"/>
      <c r="PX553" s="178"/>
      <c r="PY553" s="178"/>
      <c r="PZ553" s="178"/>
      <c r="QA553" s="178"/>
      <c r="QB553" s="178"/>
      <c r="QC553" s="178"/>
      <c r="QD553" s="178"/>
      <c r="QE553" s="178"/>
      <c r="QF553" s="178"/>
      <c r="QG553" s="178"/>
      <c r="QH553" s="178"/>
      <c r="QI553" s="178"/>
      <c r="QJ553" s="178"/>
      <c r="QK553" s="178"/>
      <c r="QL553" s="178"/>
      <c r="QM553" s="178"/>
      <c r="QN553" s="178"/>
      <c r="QO553" s="178"/>
      <c r="QP553" s="178"/>
      <c r="QQ553" s="178"/>
      <c r="QR553" s="178"/>
      <c r="QS553" s="178"/>
      <c r="QT553" s="178"/>
      <c r="QU553" s="178"/>
      <c r="QV553" s="178"/>
      <c r="QW553" s="178"/>
      <c r="QX553" s="178"/>
      <c r="QY553" s="178"/>
      <c r="QZ553" s="178"/>
      <c r="RA553" s="178"/>
      <c r="RB553" s="178"/>
      <c r="RC553" s="178"/>
      <c r="RD553" s="178"/>
      <c r="RE553" s="178"/>
      <c r="RF553" s="178"/>
      <c r="RG553" s="178"/>
      <c r="RH553" s="178"/>
      <c r="RI553" s="178"/>
      <c r="RJ553" s="178"/>
      <c r="RK553" s="178"/>
      <c r="RL553" s="178"/>
      <c r="RM553" s="178"/>
      <c r="RN553" s="178"/>
      <c r="RO553" s="178"/>
      <c r="RP553" s="178"/>
      <c r="RQ553" s="178"/>
      <c r="RR553" s="178"/>
      <c r="RS553" s="178"/>
      <c r="RT553" s="178"/>
      <c r="RU553" s="178"/>
      <c r="RV553" s="178"/>
      <c r="RW553" s="178"/>
      <c r="RX553" s="178"/>
      <c r="RY553" s="178"/>
      <c r="RZ553" s="178"/>
      <c r="SA553" s="178"/>
      <c r="SB553" s="178"/>
      <c r="SC553" s="178"/>
      <c r="SD553" s="178"/>
      <c r="SE553" s="178"/>
      <c r="SF553" s="178"/>
      <c r="SG553" s="178"/>
      <c r="SH553" s="178"/>
      <c r="SI553" s="178"/>
      <c r="SJ553" s="178"/>
      <c r="SK553" s="178"/>
      <c r="SL553" s="178"/>
      <c r="SM553" s="178"/>
      <c r="SN553" s="178"/>
      <c r="SO553" s="178"/>
      <c r="SP553" s="178"/>
      <c r="SQ553" s="178"/>
      <c r="SR553" s="178"/>
      <c r="SS553" s="178"/>
      <c r="ST553" s="178"/>
      <c r="SU553" s="178"/>
      <c r="SV553" s="178"/>
      <c r="SW553" s="178"/>
      <c r="SX553" s="178"/>
      <c r="SY553" s="178"/>
      <c r="SZ553" s="178"/>
      <c r="TA553" s="178"/>
      <c r="TB553" s="178"/>
      <c r="TC553" s="178"/>
      <c r="TD553" s="178"/>
      <c r="TE553" s="178"/>
      <c r="TF553" s="178"/>
      <c r="TG553" s="178"/>
      <c r="TH553" s="178"/>
      <c r="TI553" s="178"/>
      <c r="TJ553" s="178"/>
      <c r="TK553" s="178"/>
      <c r="TL553" s="178"/>
      <c r="TM553" s="178"/>
      <c r="TN553" s="178"/>
      <c r="TO553" s="178"/>
      <c r="TP553" s="178"/>
      <c r="TQ553" s="178"/>
      <c r="TR553" s="178"/>
      <c r="TS553" s="178"/>
      <c r="TT553" s="178"/>
      <c r="TU553" s="178"/>
      <c r="TV553" s="178"/>
      <c r="TW553" s="178"/>
      <c r="TX553" s="178"/>
      <c r="TY553" s="178"/>
      <c r="TZ553" s="178"/>
      <c r="UA553" s="178"/>
      <c r="UB553" s="178"/>
      <c r="UC553" s="178"/>
      <c r="UD553" s="178"/>
      <c r="UE553" s="178"/>
      <c r="UF553" s="178"/>
      <c r="UG553" s="178"/>
      <c r="UH553" s="178"/>
      <c r="UI553" s="178"/>
      <c r="UJ553" s="178"/>
      <c r="UK553" s="178"/>
      <c r="UL553" s="178"/>
      <c r="UM553" s="178"/>
      <c r="UN553" s="178"/>
      <c r="UO553" s="178"/>
      <c r="UP553" s="178"/>
      <c r="UQ553" s="178"/>
      <c r="UR553" s="178"/>
      <c r="US553" s="178"/>
      <c r="UT553" s="178"/>
      <c r="UU553" s="178"/>
      <c r="UV553" s="178"/>
      <c r="UW553" s="178"/>
      <c r="UX553" s="178"/>
      <c r="UY553" s="178"/>
      <c r="UZ553" s="178"/>
      <c r="VA553" s="178"/>
      <c r="VB553" s="178"/>
      <c r="VC553" s="178"/>
      <c r="VD553" s="178"/>
      <c r="VE553" s="178"/>
      <c r="VF553" s="178"/>
      <c r="VG553" s="178"/>
      <c r="VH553" s="178"/>
      <c r="VI553" s="178"/>
      <c r="VJ553" s="178"/>
      <c r="VK553" s="178"/>
      <c r="VL553" s="178"/>
      <c r="VM553" s="178"/>
      <c r="VN553" s="178"/>
      <c r="VO553" s="178"/>
      <c r="VP553" s="178"/>
      <c r="VQ553" s="178"/>
      <c r="VR553" s="178"/>
      <c r="VS553" s="178"/>
      <c r="VT553" s="178"/>
      <c r="VU553" s="178"/>
      <c r="VV553" s="178"/>
      <c r="VW553" s="178"/>
      <c r="VX553" s="178"/>
      <c r="VY553" s="178"/>
      <c r="VZ553" s="178"/>
      <c r="WA553" s="178"/>
      <c r="WB553" s="178"/>
      <c r="WC553" s="178"/>
      <c r="WD553" s="178"/>
      <c r="WE553" s="178"/>
      <c r="WF553" s="178"/>
      <c r="WG553" s="178"/>
      <c r="WH553" s="178"/>
      <c r="WI553" s="178"/>
      <c r="WJ553" s="178"/>
      <c r="WK553" s="178"/>
      <c r="WL553" s="178"/>
      <c r="WM553" s="178"/>
      <c r="WN553" s="178"/>
      <c r="WO553" s="178"/>
      <c r="WP553" s="178"/>
      <c r="WQ553" s="178"/>
      <c r="WR553" s="178"/>
      <c r="WS553" s="178"/>
      <c r="WT553" s="178"/>
      <c r="WU553" s="178"/>
      <c r="WV553" s="178"/>
      <c r="WW553" s="178"/>
      <c r="WX553" s="178"/>
      <c r="WY553" s="178"/>
      <c r="WZ553" s="178"/>
      <c r="XA553" s="178"/>
      <c r="XB553" s="178"/>
      <c r="XC553" s="178"/>
      <c r="XD553" s="178"/>
      <c r="XE553" s="178"/>
      <c r="XF553" s="178"/>
      <c r="XG553" s="178"/>
      <c r="XH553" s="178"/>
      <c r="XI553" s="178"/>
      <c r="XJ553" s="178"/>
      <c r="XK553" s="178"/>
      <c r="XL553" s="178"/>
      <c r="XM553" s="178"/>
      <c r="XN553" s="178"/>
      <c r="XO553" s="178"/>
      <c r="XP553" s="178"/>
      <c r="XQ553" s="178"/>
      <c r="XR553" s="178"/>
      <c r="XS553" s="178"/>
      <c r="XT553" s="178"/>
      <c r="XU553" s="178"/>
      <c r="XV553" s="178"/>
      <c r="XW553" s="178"/>
      <c r="XX553" s="178"/>
      <c r="XY553" s="178"/>
      <c r="XZ553" s="178"/>
      <c r="YA553" s="178"/>
      <c r="YB553" s="178"/>
      <c r="YC553" s="178"/>
      <c r="YD553" s="178"/>
      <c r="YE553" s="178"/>
      <c r="YF553" s="178"/>
      <c r="YG553" s="178"/>
      <c r="YH553" s="178"/>
      <c r="YI553" s="178"/>
      <c r="YJ553" s="178"/>
      <c r="YK553" s="178"/>
      <c r="YL553" s="178"/>
      <c r="YM553" s="178"/>
      <c r="YN553" s="178"/>
      <c r="YO553" s="178"/>
      <c r="YP553" s="178"/>
      <c r="YQ553" s="178"/>
      <c r="YR553" s="178"/>
      <c r="YS553" s="178"/>
      <c r="YT553" s="178"/>
      <c r="YU553" s="178"/>
      <c r="YV553" s="178"/>
      <c r="YW553" s="178"/>
      <c r="YX553" s="178"/>
      <c r="YY553" s="178"/>
      <c r="YZ553" s="178"/>
      <c r="ZA553" s="178"/>
      <c r="ZB553" s="178"/>
      <c r="ZC553" s="178"/>
      <c r="ZD553" s="178"/>
      <c r="ZE553" s="178"/>
      <c r="ZF553" s="178"/>
      <c r="ZG553" s="178"/>
      <c r="ZH553" s="178"/>
      <c r="ZI553" s="178"/>
      <c r="ZJ553" s="178"/>
      <c r="ZK553" s="178"/>
      <c r="ZL553" s="178"/>
      <c r="ZM553" s="178"/>
      <c r="ZN553" s="178"/>
      <c r="ZO553" s="178"/>
      <c r="ZP553" s="178"/>
      <c r="ZQ553" s="178"/>
      <c r="ZR553" s="178"/>
      <c r="ZS553" s="178"/>
      <c r="ZT553" s="178"/>
      <c r="ZU553" s="178"/>
      <c r="ZV553" s="178"/>
      <c r="ZW553" s="178"/>
      <c r="ZX553" s="178"/>
      <c r="ZY553" s="178"/>
      <c r="ZZ553" s="178"/>
      <c r="AAA553" s="178"/>
      <c r="AAB553" s="178"/>
      <c r="AAC553" s="178"/>
      <c r="AAD553" s="178"/>
      <c r="AAE553" s="178"/>
      <c r="AAF553" s="178"/>
      <c r="AAG553" s="178"/>
      <c r="AAH553" s="178"/>
      <c r="AAI553" s="178"/>
      <c r="AAJ553" s="178"/>
      <c r="AAK553" s="178"/>
      <c r="AAL553" s="178"/>
      <c r="AAM553" s="178"/>
      <c r="AAN553" s="178"/>
      <c r="AAO553" s="178"/>
      <c r="AAP553" s="178"/>
      <c r="AAQ553" s="178"/>
      <c r="AAR553" s="178"/>
      <c r="AAS553" s="178"/>
      <c r="AAT553" s="178"/>
      <c r="AAU553" s="178"/>
      <c r="AAV553" s="178"/>
      <c r="AAW553" s="178"/>
      <c r="AAX553" s="178"/>
      <c r="AAY553" s="178"/>
      <c r="AAZ553" s="178"/>
      <c r="ABA553" s="178"/>
      <c r="ABB553" s="178"/>
      <c r="ABC553" s="178"/>
      <c r="ABD553" s="178"/>
      <c r="ABE553" s="178"/>
      <c r="ABF553" s="178"/>
      <c r="ABG553" s="178"/>
      <c r="ABH553" s="178"/>
      <c r="ABI553" s="178"/>
      <c r="ABJ553" s="178"/>
      <c r="ABK553" s="178"/>
      <c r="ABL553" s="178"/>
      <c r="ABM553" s="178"/>
      <c r="ABN553" s="178"/>
      <c r="ABO553" s="178"/>
      <c r="ABP553" s="178"/>
      <c r="ABQ553" s="178"/>
      <c r="ABR553" s="178"/>
      <c r="ABS553" s="178"/>
      <c r="ABT553" s="178"/>
      <c r="ABU553" s="178"/>
      <c r="ABV553" s="178"/>
      <c r="ABW553" s="178"/>
      <c r="ABX553" s="178"/>
      <c r="ABY553" s="178"/>
      <c r="ABZ553" s="178"/>
      <c r="ACA553" s="178"/>
      <c r="ACB553" s="178"/>
      <c r="ACC553" s="178"/>
      <c r="ACD553" s="178"/>
      <c r="ACE553" s="178"/>
      <c r="ACF553" s="178"/>
      <c r="ACG553" s="178"/>
      <c r="ACH553" s="178"/>
      <c r="ACI553" s="178"/>
      <c r="ACJ553" s="178"/>
      <c r="ACK553" s="178"/>
      <c r="ACL553" s="178"/>
      <c r="ACM553" s="178"/>
      <c r="ACN553" s="178"/>
      <c r="ACO553" s="178"/>
      <c r="ACP553" s="178"/>
      <c r="ACQ553" s="178"/>
      <c r="ACR553" s="178"/>
      <c r="ACS553" s="178"/>
      <c r="ACT553" s="178"/>
      <c r="ACU553" s="178"/>
      <c r="ACV553" s="178"/>
      <c r="ACW553" s="178"/>
      <c r="ACX553" s="178"/>
      <c r="ACY553" s="178"/>
      <c r="ACZ553" s="178"/>
      <c r="ADA553" s="178"/>
      <c r="ADB553" s="178"/>
      <c r="ADC553" s="178"/>
      <c r="ADD553" s="178"/>
      <c r="ADE553" s="178"/>
      <c r="ADF553" s="178"/>
      <c r="ADG553" s="178"/>
      <c r="ADH553" s="178"/>
      <c r="ADI553" s="178"/>
      <c r="ADJ553" s="178"/>
      <c r="ADK553" s="178"/>
      <c r="ADL553" s="178"/>
      <c r="ADM553" s="178"/>
      <c r="ADN553" s="178"/>
      <c r="ADO553" s="178"/>
      <c r="ADP553" s="178"/>
      <c r="ADQ553" s="178"/>
      <c r="ADR553" s="178"/>
      <c r="ADS553" s="178"/>
      <c r="ADT553" s="178"/>
      <c r="ADU553" s="178"/>
      <c r="ADV553" s="178"/>
      <c r="ADW553" s="178"/>
      <c r="ADX553" s="178"/>
      <c r="ADY553" s="178"/>
      <c r="ADZ553" s="178"/>
      <c r="AEA553" s="178"/>
      <c r="AEB553" s="178"/>
      <c r="AEC553" s="178"/>
      <c r="AED553" s="178"/>
      <c r="AEE553" s="178"/>
      <c r="AEF553" s="178"/>
      <c r="AEG553" s="178"/>
      <c r="AEH553" s="178"/>
      <c r="AEI553" s="178"/>
      <c r="AEJ553" s="178"/>
      <c r="AEK553" s="178"/>
      <c r="AEL553" s="178"/>
      <c r="AEM553" s="178"/>
      <c r="AEN553" s="178"/>
      <c r="AEO553" s="178"/>
      <c r="AEP553" s="178"/>
      <c r="AEQ553" s="178"/>
      <c r="AER553" s="178"/>
      <c r="AES553" s="178"/>
      <c r="AET553" s="178"/>
      <c r="AEU553" s="178"/>
      <c r="AEV553" s="178"/>
      <c r="AEW553" s="178"/>
      <c r="AEX553" s="178"/>
      <c r="AEY553" s="178"/>
      <c r="AEZ553" s="178"/>
      <c r="AFA553" s="178"/>
      <c r="AFB553" s="178"/>
      <c r="AFC553" s="178"/>
      <c r="AFD553" s="178"/>
      <c r="AFE553" s="178"/>
      <c r="AFF553" s="178"/>
      <c r="AFG553" s="178"/>
      <c r="AFH553" s="178"/>
      <c r="AFI553" s="178"/>
      <c r="AFJ553" s="178"/>
      <c r="AFK553" s="178"/>
      <c r="AFL553" s="178"/>
      <c r="AFM553" s="178"/>
      <c r="AFN553" s="178"/>
      <c r="AFO553" s="178"/>
      <c r="AFP553" s="178"/>
      <c r="AFQ553" s="178"/>
      <c r="AFR553" s="178"/>
      <c r="AFS553" s="178"/>
      <c r="AFT553" s="178"/>
      <c r="AFU553" s="178"/>
      <c r="AFV553" s="178"/>
      <c r="AFW553" s="178"/>
      <c r="AFX553" s="178"/>
      <c r="AFY553" s="178"/>
      <c r="AFZ553" s="178"/>
      <c r="AGA553" s="178"/>
      <c r="AGB553" s="178"/>
      <c r="AGC553" s="178"/>
      <c r="AGD553" s="178"/>
      <c r="AGE553" s="178"/>
      <c r="AGF553" s="178"/>
      <c r="AGG553" s="178"/>
      <c r="AGH553" s="178"/>
      <c r="AGI553" s="178"/>
      <c r="AGJ553" s="178"/>
      <c r="AGK553" s="178"/>
      <c r="AGL553" s="178"/>
      <c r="AGM553" s="178"/>
      <c r="AGN553" s="178"/>
      <c r="AGO553" s="178"/>
      <c r="AGP553" s="178"/>
      <c r="AGQ553" s="178"/>
      <c r="AGR553" s="178"/>
      <c r="AGS553" s="178"/>
      <c r="AGT553" s="178"/>
      <c r="AGU553" s="178"/>
      <c r="AGV553" s="178"/>
      <c r="AGW553" s="178"/>
      <c r="AGX553" s="178"/>
      <c r="AGY553" s="178"/>
      <c r="AGZ553" s="178"/>
      <c r="AHA553" s="178"/>
      <c r="AHB553" s="178"/>
      <c r="AHC553" s="178"/>
      <c r="AHD553" s="178"/>
      <c r="AHE553" s="178"/>
      <c r="AHF553" s="178"/>
      <c r="AHG553" s="178"/>
      <c r="AHH553" s="178"/>
      <c r="AHI553" s="178"/>
      <c r="AHJ553" s="178"/>
      <c r="AHK553" s="178"/>
      <c r="AHL553" s="178"/>
      <c r="AHM553" s="178"/>
      <c r="AHN553" s="178"/>
      <c r="AHO553" s="178"/>
      <c r="AHP553" s="178"/>
      <c r="AHQ553" s="178"/>
      <c r="AHR553" s="178"/>
      <c r="AHS553" s="178"/>
      <c r="AHT553" s="178"/>
      <c r="AHU553" s="178"/>
      <c r="AHV553" s="178"/>
      <c r="AHW553" s="178"/>
      <c r="AHX553" s="178"/>
      <c r="AHY553" s="178"/>
      <c r="AHZ553" s="178"/>
      <c r="AIA553" s="178"/>
      <c r="AIB553" s="178"/>
      <c r="AIC553" s="178"/>
      <c r="AID553" s="178"/>
      <c r="AIE553" s="178"/>
      <c r="AIF553" s="178"/>
      <c r="AIG553" s="178"/>
      <c r="AIH553" s="178"/>
      <c r="AII553" s="178"/>
      <c r="AIJ553" s="178"/>
      <c r="AIK553" s="178"/>
      <c r="AIL553" s="178"/>
      <c r="AIM553" s="178"/>
      <c r="AIN553" s="178"/>
      <c r="AIO553" s="178"/>
      <c r="AIP553" s="178"/>
      <c r="AIQ553" s="178"/>
      <c r="AIR553" s="178"/>
      <c r="AIS553" s="178"/>
      <c r="AIT553" s="178"/>
      <c r="AIU553" s="178"/>
      <c r="AIV553" s="178"/>
      <c r="AIW553" s="178"/>
      <c r="AIX553" s="178"/>
      <c r="AIY553" s="178"/>
      <c r="AIZ553" s="178"/>
      <c r="AJA553" s="178"/>
      <c r="AJB553" s="178"/>
      <c r="AJC553" s="178"/>
      <c r="AJD553" s="178"/>
      <c r="AJE553" s="178"/>
      <c r="AJF553" s="178"/>
      <c r="AJG553" s="178"/>
      <c r="AJH553" s="178"/>
      <c r="AJI553" s="178"/>
      <c r="AJJ553" s="178"/>
      <c r="AJK553" s="178"/>
      <c r="AJL553" s="178"/>
      <c r="AJM553" s="178"/>
      <c r="AJN553" s="178"/>
      <c r="AJO553" s="178"/>
      <c r="AJP553" s="178"/>
      <c r="AJQ553" s="178"/>
      <c r="AJR553" s="178"/>
      <c r="AJS553" s="178"/>
      <c r="AJT553" s="178"/>
      <c r="AJU553" s="178"/>
      <c r="AJV553" s="178"/>
      <c r="AJW553" s="178"/>
      <c r="AJX553" s="178"/>
      <c r="AJY553" s="178"/>
      <c r="AJZ553" s="178"/>
      <c r="AKA553" s="178"/>
      <c r="AKB553" s="178"/>
      <c r="AKC553" s="178"/>
      <c r="AKD553" s="178"/>
      <c r="AKE553" s="178"/>
      <c r="AKF553" s="178"/>
      <c r="AKG553" s="178"/>
      <c r="AKH553" s="178"/>
      <c r="AKI553" s="178"/>
      <c r="AKJ553" s="178"/>
      <c r="AKK553" s="178"/>
      <c r="AKL553" s="178"/>
      <c r="AKM553" s="178"/>
      <c r="AKN553" s="178"/>
      <c r="AKO553" s="178"/>
      <c r="AKP553" s="178"/>
      <c r="AKQ553" s="178"/>
      <c r="AKR553" s="178"/>
      <c r="AKS553" s="178"/>
      <c r="AKT553" s="178"/>
      <c r="AKU553" s="178"/>
      <c r="AKV553" s="178"/>
      <c r="AKW553" s="178"/>
      <c r="AKX553" s="178"/>
      <c r="AKY553" s="178"/>
      <c r="AKZ553" s="178"/>
      <c r="ALA553" s="178"/>
      <c r="ALB553" s="178"/>
      <c r="ALC553" s="178"/>
      <c r="ALD553" s="178"/>
      <c r="ALE553" s="178"/>
      <c r="ALF553" s="178"/>
      <c r="ALG553" s="178"/>
      <c r="ALH553" s="178"/>
      <c r="ALI553" s="178"/>
      <c r="ALJ553" s="178"/>
      <c r="ALK553" s="178"/>
      <c r="ALL553" s="178"/>
      <c r="ALM553" s="178"/>
      <c r="ALN553" s="178"/>
      <c r="ALO553" s="178"/>
      <c r="ALP553" s="178"/>
      <c r="ALQ553" s="178"/>
      <c r="ALR553" s="178"/>
      <c r="ALS553" s="178"/>
      <c r="ALT553" s="178"/>
      <c r="ALU553" s="178"/>
      <c r="ALV553" s="178"/>
      <c r="ALW553" s="178"/>
      <c r="ALX553" s="178"/>
      <c r="ALY553" s="178"/>
      <c r="ALZ553" s="178"/>
      <c r="AMA553" s="178"/>
      <c r="AMB553" s="178"/>
      <c r="AMC553" s="178"/>
      <c r="AMD553" s="178"/>
      <c r="AME553" s="178"/>
      <c r="AMF553" s="178"/>
      <c r="AMG553" s="178"/>
      <c r="AMH553" s="178"/>
      <c r="AMI553" s="178"/>
      <c r="AMJ553" s="178"/>
      <c r="AMK553" s="178"/>
      <c r="AML553" s="178"/>
      <c r="AMM553" s="178"/>
      <c r="AMN553" s="178"/>
      <c r="AMO553" s="178"/>
      <c r="AMP553" s="178"/>
      <c r="AMQ553" s="178"/>
      <c r="AMR553" s="178"/>
      <c r="AMS553" s="178"/>
      <c r="AMT553" s="178"/>
      <c r="AMU553" s="178"/>
      <c r="AMV553" s="178"/>
      <c r="AMW553" s="178"/>
      <c r="AMX553" s="178"/>
      <c r="AMY553" s="178"/>
      <c r="AMZ553" s="178"/>
      <c r="ANA553" s="178"/>
      <c r="ANB553" s="178"/>
      <c r="ANC553" s="178"/>
      <c r="AND553" s="178"/>
      <c r="ANE553" s="178"/>
      <c r="ANF553" s="178"/>
      <c r="ANG553" s="178"/>
      <c r="ANH553" s="178"/>
      <c r="ANI553" s="178"/>
      <c r="ANJ553" s="178"/>
      <c r="ANK553" s="178"/>
      <c r="ANL553" s="178"/>
      <c r="ANM553" s="178"/>
      <c r="ANN553" s="178"/>
      <c r="ANO553" s="178"/>
      <c r="ANP553" s="178"/>
      <c r="ANQ553" s="178"/>
      <c r="ANR553" s="178"/>
      <c r="ANS553" s="178"/>
      <c r="ANT553" s="178"/>
      <c r="ANU553" s="178"/>
      <c r="ANV553" s="178"/>
      <c r="ANW553" s="178"/>
      <c r="ANX553" s="178"/>
      <c r="ANY553" s="178"/>
      <c r="ANZ553" s="178"/>
      <c r="AOA553" s="178"/>
      <c r="AOB553" s="178"/>
      <c r="AOC553" s="178"/>
      <c r="AOD553" s="178"/>
      <c r="AOE553" s="178"/>
      <c r="AOF553" s="178"/>
      <c r="AOG553" s="178"/>
      <c r="AOH553" s="178"/>
      <c r="AOI553" s="178"/>
      <c r="AOJ553" s="178"/>
      <c r="AOK553" s="178"/>
      <c r="AOL553" s="178"/>
      <c r="AOM553" s="178"/>
      <c r="AON553" s="178"/>
      <c r="AOO553" s="178"/>
      <c r="AOP553" s="178"/>
      <c r="AOQ553" s="178"/>
      <c r="AOR553" s="178"/>
      <c r="AOS553" s="178"/>
      <c r="AOT553" s="178"/>
      <c r="AOU553" s="178"/>
      <c r="AOV553" s="178"/>
      <c r="AOW553" s="178"/>
      <c r="AOX553" s="178"/>
      <c r="AOY553" s="178"/>
      <c r="AOZ553" s="178"/>
      <c r="APA553" s="178"/>
      <c r="APB553" s="178"/>
      <c r="APC553" s="178"/>
      <c r="APD553" s="178"/>
      <c r="APE553" s="178"/>
      <c r="APF553" s="178"/>
      <c r="APG553" s="178"/>
      <c r="APH553" s="178"/>
      <c r="API553" s="178"/>
      <c r="APJ553" s="178"/>
      <c r="APK553" s="178"/>
      <c r="APL553" s="178"/>
      <c r="APM553" s="178"/>
      <c r="APN553" s="178"/>
      <c r="APO553" s="178"/>
      <c r="APP553" s="178"/>
      <c r="APQ553" s="178"/>
      <c r="APR553" s="178"/>
      <c r="APS553" s="178"/>
      <c r="APT553" s="178"/>
      <c r="APU553" s="178"/>
      <c r="APV553" s="178"/>
      <c r="APW553" s="178"/>
      <c r="APX553" s="178"/>
      <c r="APY553" s="178"/>
      <c r="APZ553" s="178"/>
      <c r="AQA553" s="178"/>
      <c r="AQB553" s="178"/>
      <c r="AQC553" s="178"/>
      <c r="AQD553" s="178"/>
      <c r="AQE553" s="178"/>
      <c r="AQF553" s="178"/>
      <c r="AQG553" s="178"/>
      <c r="AQH553" s="178"/>
      <c r="AQI553" s="178"/>
      <c r="AQJ553" s="178"/>
      <c r="AQK553" s="178"/>
      <c r="AQL553" s="178"/>
      <c r="AQM553" s="178"/>
      <c r="AQN553" s="178"/>
      <c r="AQO553" s="178"/>
      <c r="AQP553" s="178"/>
      <c r="AQQ553" s="178"/>
      <c r="AQR553" s="178"/>
      <c r="AQS553" s="178"/>
      <c r="AQT553" s="178"/>
      <c r="AQU553" s="178"/>
      <c r="AQV553" s="178"/>
      <c r="AQW553" s="178"/>
      <c r="AQX553" s="178"/>
      <c r="AQY553" s="178"/>
      <c r="AQZ553" s="178"/>
      <c r="ARA553" s="178"/>
      <c r="ARB553" s="178"/>
      <c r="ARC553" s="178"/>
      <c r="ARD553" s="178"/>
      <c r="ARE553" s="178"/>
      <c r="ARF553" s="178"/>
      <c r="ARG553" s="178"/>
      <c r="ARH553" s="178"/>
      <c r="ARI553" s="178"/>
      <c r="ARJ553" s="178"/>
      <c r="ARK553" s="178"/>
      <c r="ARL553" s="178"/>
      <c r="ARM553" s="178"/>
      <c r="ARN553" s="178"/>
      <c r="ARO553" s="178"/>
      <c r="ARP553" s="178"/>
      <c r="ARQ553" s="178"/>
      <c r="ARR553" s="178"/>
      <c r="ARS553" s="178"/>
      <c r="ART553" s="178"/>
      <c r="ARU553" s="178"/>
      <c r="ARV553" s="178"/>
      <c r="ARW553" s="178"/>
      <c r="ARX553" s="178"/>
      <c r="ARY553" s="178"/>
      <c r="ARZ553" s="178"/>
      <c r="ASA553" s="178"/>
      <c r="ASB553" s="178"/>
      <c r="ASC553" s="178"/>
      <c r="ASD553" s="178"/>
      <c r="ASE553" s="178"/>
      <c r="ASF553" s="178"/>
      <c r="ASG553" s="178"/>
      <c r="ASH553" s="178"/>
      <c r="ASI553" s="178"/>
      <c r="ASJ553" s="178"/>
      <c r="ASK553" s="178"/>
      <c r="ASL553" s="178"/>
      <c r="ASM553" s="178"/>
      <c r="ASN553" s="178"/>
      <c r="ASO553" s="178"/>
      <c r="ASP553" s="178"/>
      <c r="ASQ553" s="178"/>
      <c r="ASR553" s="178"/>
      <c r="ASS553" s="178"/>
      <c r="AST553" s="178"/>
      <c r="ASU553" s="178"/>
      <c r="ASV553" s="178"/>
      <c r="ASW553" s="178"/>
      <c r="ASX553" s="178"/>
      <c r="ASY553" s="178"/>
      <c r="ASZ553" s="178"/>
      <c r="ATA553" s="178"/>
      <c r="ATB553" s="178"/>
      <c r="ATC553" s="178"/>
      <c r="ATD553" s="178"/>
      <c r="ATE553" s="178"/>
      <c r="ATF553" s="178"/>
      <c r="ATG553" s="178"/>
      <c r="ATH553" s="178"/>
      <c r="ATI553" s="178"/>
      <c r="ATJ553" s="178"/>
      <c r="ATK553" s="178"/>
      <c r="ATL553" s="178"/>
      <c r="ATM553" s="178"/>
      <c r="ATN553" s="178"/>
      <c r="ATO553" s="178"/>
      <c r="ATP553" s="178"/>
      <c r="ATQ553" s="178"/>
      <c r="ATR553" s="178"/>
      <c r="ATS553" s="178"/>
      <c r="ATT553" s="178"/>
      <c r="ATU553" s="178"/>
      <c r="ATV553" s="178"/>
      <c r="ATW553" s="178"/>
      <c r="ATX553" s="178"/>
      <c r="ATY553" s="178"/>
      <c r="ATZ553" s="178"/>
      <c r="AUA553" s="178"/>
      <c r="AUB553" s="178"/>
      <c r="AUC553" s="178"/>
      <c r="AUD553" s="178"/>
      <c r="AUE553" s="178"/>
      <c r="AUF553" s="178"/>
      <c r="AUG553" s="178"/>
      <c r="AUH553" s="178"/>
      <c r="AUI553" s="178"/>
      <c r="AUJ553" s="178"/>
      <c r="AUK553" s="178"/>
      <c r="AUL553" s="178"/>
      <c r="AUM553" s="178"/>
      <c r="AUN553" s="178"/>
      <c r="AUO553" s="178"/>
      <c r="AUP553" s="178"/>
      <c r="AUQ553" s="178"/>
      <c r="AUR553" s="178"/>
      <c r="AUS553" s="178"/>
      <c r="AUT553" s="178"/>
      <c r="AUU553" s="178"/>
      <c r="AUV553" s="178"/>
      <c r="AUW553" s="178"/>
      <c r="AUX553" s="178"/>
      <c r="AUY553" s="178"/>
      <c r="AUZ553" s="178"/>
      <c r="AVA553" s="178"/>
      <c r="AVB553" s="178"/>
      <c r="AVC553" s="178"/>
      <c r="AVD553" s="178"/>
      <c r="AVE553" s="178"/>
      <c r="AVF553" s="178"/>
      <c r="AVG553" s="178"/>
      <c r="AVH553" s="178"/>
      <c r="AVI553" s="178"/>
      <c r="AVJ553" s="178"/>
      <c r="AVK553" s="178"/>
      <c r="AVL553" s="178"/>
      <c r="AVM553" s="178"/>
      <c r="AVN553" s="178"/>
      <c r="AVO553" s="178"/>
      <c r="AVP553" s="178"/>
      <c r="AVQ553" s="178"/>
      <c r="AVR553" s="178"/>
      <c r="AVS553" s="178"/>
      <c r="AVT553" s="178"/>
      <c r="AVU553" s="178"/>
      <c r="AVV553" s="178"/>
      <c r="AVW553" s="178"/>
      <c r="AVX553" s="178"/>
      <c r="AVY553" s="178"/>
      <c r="AVZ553" s="178"/>
      <c r="AWA553" s="178"/>
      <c r="AWB553" s="178"/>
      <c r="AWC553" s="178"/>
      <c r="AWD553" s="178"/>
      <c r="AWE553" s="178"/>
      <c r="AWF553" s="178"/>
      <c r="AWG553" s="178"/>
      <c r="AWH553" s="178"/>
      <c r="AWI553" s="178"/>
      <c r="AWJ553" s="178"/>
      <c r="AWK553" s="178"/>
      <c r="AWL553" s="178"/>
      <c r="AWM553" s="178"/>
      <c r="AWN553" s="178"/>
      <c r="AWO553" s="178"/>
      <c r="AWP553" s="178"/>
      <c r="AWQ553" s="178"/>
      <c r="AWR553" s="178"/>
      <c r="AWS553" s="178"/>
      <c r="AWT553" s="178"/>
      <c r="AWU553" s="178"/>
      <c r="AWV553" s="178"/>
      <c r="AWW553" s="178"/>
      <c r="AWX553" s="178"/>
      <c r="AWY553" s="178"/>
      <c r="AWZ553" s="178"/>
      <c r="AXA553" s="178"/>
      <c r="AXB553" s="178"/>
      <c r="AXC553" s="178"/>
      <c r="AXD553" s="178"/>
      <c r="AXE553" s="178"/>
      <c r="AXF553" s="178"/>
      <c r="AXG553" s="178"/>
      <c r="AXH553" s="178"/>
      <c r="AXI553" s="178"/>
      <c r="AXJ553" s="178"/>
      <c r="AXK553" s="178"/>
      <c r="AXL553" s="178"/>
      <c r="AXM553" s="178"/>
      <c r="AXN553" s="178"/>
      <c r="AXO553" s="178"/>
      <c r="AXP553" s="178"/>
      <c r="AXQ553" s="178"/>
      <c r="AXR553" s="178"/>
      <c r="AXS553" s="178"/>
      <c r="AXT553" s="178"/>
      <c r="AXU553" s="178"/>
      <c r="AXV553" s="178"/>
      <c r="AXW553" s="178"/>
      <c r="AXX553" s="178"/>
      <c r="AXY553" s="178"/>
      <c r="AXZ553" s="178"/>
      <c r="AYA553" s="178"/>
      <c r="AYB553" s="178"/>
      <c r="AYC553" s="178"/>
      <c r="AYD553" s="178"/>
      <c r="AYE553" s="178"/>
      <c r="AYF553" s="178"/>
      <c r="AYG553" s="178"/>
      <c r="AYH553" s="178"/>
      <c r="AYI553" s="178"/>
      <c r="AYJ553" s="178"/>
      <c r="AYK553" s="178"/>
      <c r="AYL553" s="178"/>
      <c r="AYM553" s="178"/>
      <c r="AYN553" s="178"/>
      <c r="AYO553" s="178"/>
      <c r="AYP553" s="178"/>
      <c r="AYQ553" s="178"/>
      <c r="AYR553" s="178"/>
      <c r="AYS553" s="178"/>
      <c r="AYT553" s="178"/>
      <c r="AYU553" s="178"/>
      <c r="AYV553" s="178"/>
      <c r="AYW553" s="178"/>
      <c r="AYX553" s="178"/>
      <c r="AYY553" s="178"/>
      <c r="AYZ553" s="178"/>
      <c r="AZA553" s="178"/>
      <c r="AZB553" s="178"/>
      <c r="AZC553" s="178"/>
      <c r="AZD553" s="178"/>
      <c r="AZE553" s="178"/>
      <c r="AZF553" s="178"/>
      <c r="AZG553" s="178"/>
      <c r="AZH553" s="178"/>
      <c r="AZI553" s="178"/>
      <c r="AZJ553" s="178"/>
      <c r="AZK553" s="178"/>
      <c r="AZL553" s="178"/>
      <c r="AZM553" s="178"/>
      <c r="AZN553" s="178"/>
      <c r="AZO553" s="178"/>
      <c r="AZP553" s="178"/>
      <c r="AZQ553" s="178"/>
      <c r="AZR553" s="178"/>
      <c r="AZS553" s="178"/>
      <c r="AZT553" s="178"/>
      <c r="AZU553" s="178"/>
      <c r="AZV553" s="178"/>
      <c r="AZW553" s="178"/>
      <c r="AZX553" s="178"/>
      <c r="AZY553" s="178"/>
      <c r="AZZ553" s="178"/>
      <c r="BAA553" s="178"/>
      <c r="BAB553" s="178"/>
      <c r="BAC553" s="178"/>
      <c r="BAD553" s="178"/>
      <c r="BAE553" s="178"/>
      <c r="BAF553" s="178"/>
      <c r="BAG553" s="178"/>
      <c r="BAH553" s="178"/>
      <c r="BAI553" s="178"/>
      <c r="BAJ553" s="178"/>
      <c r="BAK553" s="178"/>
      <c r="BAL553" s="178"/>
      <c r="BAM553" s="178"/>
      <c r="BAN553" s="178"/>
      <c r="BAO553" s="178"/>
      <c r="BAP553" s="178"/>
      <c r="BAQ553" s="178"/>
      <c r="BAR553" s="178"/>
      <c r="BAS553" s="178"/>
      <c r="BAT553" s="178"/>
      <c r="BAU553" s="178"/>
      <c r="BAV553" s="178"/>
      <c r="BAW553" s="178"/>
      <c r="BAX553" s="178"/>
      <c r="BAY553" s="178"/>
      <c r="BAZ553" s="178"/>
      <c r="BBA553" s="178"/>
      <c r="BBB553" s="178"/>
      <c r="BBC553" s="178"/>
      <c r="BBD553" s="178"/>
      <c r="BBE553" s="178"/>
      <c r="BBF553" s="178"/>
      <c r="BBG553" s="178"/>
      <c r="BBH553" s="178"/>
      <c r="BBI553" s="178"/>
      <c r="BBJ553" s="178"/>
      <c r="BBK553" s="178"/>
      <c r="BBL553" s="178"/>
      <c r="BBM553" s="178"/>
      <c r="BBN553" s="178"/>
      <c r="BBO553" s="178"/>
      <c r="BBP553" s="178"/>
      <c r="BBQ553" s="178"/>
      <c r="BBR553" s="178"/>
      <c r="BBS553" s="178"/>
      <c r="BBT553" s="178"/>
      <c r="BBU553" s="178"/>
      <c r="BBV553" s="178"/>
      <c r="BBW553" s="178"/>
      <c r="BBX553" s="178"/>
      <c r="BBY553" s="178"/>
      <c r="BBZ553" s="178"/>
      <c r="BCA553" s="178"/>
      <c r="BCB553" s="178"/>
      <c r="BCC553" s="178"/>
      <c r="BCD553" s="178"/>
      <c r="BCE553" s="178"/>
      <c r="BCF553" s="178"/>
      <c r="BCG553" s="178"/>
      <c r="BCH553" s="178"/>
      <c r="BCI553" s="178"/>
      <c r="BCJ553" s="178"/>
      <c r="BCK553" s="178"/>
      <c r="BCL553" s="178"/>
      <c r="BCM553" s="178"/>
      <c r="BCN553" s="178"/>
      <c r="BCO553" s="178"/>
      <c r="BCP553" s="178"/>
      <c r="BCQ553" s="178"/>
      <c r="BCR553" s="178"/>
      <c r="BCS553" s="178"/>
      <c r="BCT553" s="178"/>
      <c r="BCU553" s="178"/>
      <c r="BCV553" s="178"/>
      <c r="BCW553" s="178"/>
      <c r="BCX553" s="178"/>
      <c r="BCY553" s="178"/>
      <c r="BCZ553" s="178"/>
      <c r="BDA553" s="178"/>
      <c r="BDB553" s="178"/>
      <c r="BDC553" s="178"/>
      <c r="BDD553" s="178"/>
      <c r="BDE553" s="178"/>
      <c r="BDF553" s="178"/>
      <c r="BDG553" s="178"/>
      <c r="BDH553" s="178"/>
      <c r="BDI553" s="178"/>
      <c r="BDJ553" s="178"/>
      <c r="BDK553" s="178"/>
      <c r="BDL553" s="178"/>
      <c r="BDM553" s="178"/>
      <c r="BDN553" s="178"/>
      <c r="BDO553" s="178"/>
      <c r="BDP553" s="178"/>
      <c r="BDQ553" s="178"/>
      <c r="BDR553" s="178"/>
      <c r="BDS553" s="178"/>
      <c r="BDT553" s="178"/>
      <c r="BDU553" s="178"/>
      <c r="BDV553" s="178"/>
      <c r="BDW553" s="178"/>
      <c r="BDX553" s="178"/>
      <c r="BDY553" s="178"/>
      <c r="BDZ553" s="178"/>
      <c r="BEA553" s="178"/>
      <c r="BEB553" s="178"/>
      <c r="BEC553" s="178"/>
      <c r="BED553" s="178"/>
      <c r="BEE553" s="178"/>
      <c r="BEF553" s="178"/>
      <c r="BEG553" s="178"/>
      <c r="BEH553" s="178"/>
      <c r="BEI553" s="178"/>
      <c r="BEJ553" s="178"/>
      <c r="BEK553" s="178"/>
      <c r="BEL553" s="178"/>
      <c r="BEM553" s="178"/>
      <c r="BEN553" s="178"/>
      <c r="BEO553" s="178"/>
      <c r="BEP553" s="178"/>
      <c r="BEQ553" s="178"/>
      <c r="BER553" s="178"/>
      <c r="BES553" s="178"/>
      <c r="BET553" s="178"/>
      <c r="BEU553" s="178"/>
      <c r="BEV553" s="178"/>
      <c r="BEW553" s="178"/>
      <c r="BEX553" s="178"/>
      <c r="BEY553" s="178"/>
      <c r="BEZ553" s="178"/>
      <c r="BFA553" s="178"/>
      <c r="BFB553" s="178"/>
      <c r="BFC553" s="178"/>
      <c r="BFD553" s="178"/>
      <c r="BFE553" s="178"/>
      <c r="BFF553" s="178"/>
      <c r="BFG553" s="178"/>
      <c r="BFH553" s="178"/>
      <c r="BFI553" s="178"/>
      <c r="BFJ553" s="178"/>
      <c r="BFK553" s="178"/>
      <c r="BFL553" s="178"/>
      <c r="BFM553" s="178"/>
      <c r="BFN553" s="178"/>
      <c r="BFO553" s="178"/>
      <c r="BFP553" s="178"/>
      <c r="BFQ553" s="178"/>
      <c r="BFR553" s="178"/>
      <c r="BFS553" s="178"/>
      <c r="BFT553" s="178"/>
      <c r="BFU553" s="178"/>
      <c r="BFV553" s="178"/>
      <c r="BFW553" s="178"/>
      <c r="BFX553" s="178"/>
      <c r="BFY553" s="178"/>
      <c r="BFZ553" s="178"/>
      <c r="BGA553" s="178"/>
      <c r="BGB553" s="178"/>
      <c r="BGC553" s="178"/>
      <c r="BGD553" s="178"/>
      <c r="BGE553" s="178"/>
      <c r="BGF553" s="178"/>
      <c r="BGG553" s="178"/>
      <c r="BGH553" s="178"/>
      <c r="BGI553" s="178"/>
      <c r="BGJ553" s="178"/>
      <c r="BGK553" s="178"/>
      <c r="BGL553" s="178"/>
      <c r="BGM553" s="178"/>
      <c r="BGN553" s="178"/>
      <c r="BGO553" s="178"/>
      <c r="BGP553" s="178"/>
      <c r="BGQ553" s="178"/>
      <c r="BGR553" s="178"/>
      <c r="BGS553" s="178"/>
      <c r="BGT553" s="178"/>
      <c r="BGU553" s="178"/>
      <c r="BGV553" s="178"/>
      <c r="BGW553" s="178"/>
      <c r="BGX553" s="178"/>
      <c r="BGY553" s="178"/>
      <c r="BGZ553" s="178"/>
      <c r="BHA553" s="178"/>
      <c r="BHB553" s="178"/>
      <c r="BHC553" s="178"/>
      <c r="BHD553" s="178"/>
      <c r="BHE553" s="178"/>
      <c r="BHF553" s="178"/>
      <c r="BHG553" s="178"/>
      <c r="BHH553" s="178"/>
      <c r="BHI553" s="178"/>
      <c r="BHJ553" s="178"/>
      <c r="BHK553" s="178"/>
      <c r="BHL553" s="178"/>
      <c r="BHM553" s="178"/>
      <c r="BHN553" s="178"/>
      <c r="BHO553" s="178"/>
      <c r="BHP553" s="178"/>
      <c r="BHQ553" s="178"/>
      <c r="BHR553" s="178"/>
      <c r="BHS553" s="178"/>
      <c r="BHT553" s="178"/>
      <c r="BHU553" s="178"/>
      <c r="BHV553" s="178"/>
      <c r="BHW553" s="178"/>
      <c r="BHX553" s="178"/>
      <c r="BHY553" s="178"/>
      <c r="BHZ553" s="178"/>
      <c r="BIA553" s="178"/>
      <c r="BIB553" s="178"/>
      <c r="BIC553" s="178"/>
      <c r="BID553" s="178"/>
      <c r="BIE553" s="178"/>
      <c r="BIF553" s="178"/>
      <c r="BIG553" s="178"/>
      <c r="BIH553" s="178"/>
      <c r="BII553" s="178"/>
      <c r="BIJ553" s="178"/>
      <c r="BIK553" s="178"/>
      <c r="BIL553" s="178"/>
      <c r="BIM553" s="178"/>
      <c r="BIN553" s="178"/>
      <c r="BIO553" s="178"/>
      <c r="BIP553" s="178"/>
      <c r="BIQ553" s="178"/>
      <c r="BIR553" s="178"/>
      <c r="BIS553" s="178"/>
      <c r="BIT553" s="178"/>
      <c r="BIU553" s="178"/>
      <c r="BIV553" s="178"/>
      <c r="BIW553" s="178"/>
      <c r="BIX553" s="178"/>
      <c r="BIY553" s="178"/>
      <c r="BIZ553" s="178"/>
      <c r="BJA553" s="178"/>
      <c r="BJB553" s="178"/>
      <c r="BJC553" s="178"/>
      <c r="BJD553" s="178"/>
      <c r="BJE553" s="178"/>
      <c r="BJF553" s="178"/>
      <c r="BJG553" s="178"/>
      <c r="BJH553" s="178"/>
      <c r="BJI553" s="178"/>
      <c r="BJJ553" s="178"/>
      <c r="BJK553" s="178"/>
      <c r="BJL553" s="178"/>
      <c r="BJM553" s="178"/>
      <c r="BJN553" s="178"/>
      <c r="BJO553" s="178"/>
      <c r="BJP553" s="178"/>
      <c r="BJQ553" s="178"/>
      <c r="BJR553" s="178"/>
      <c r="BJS553" s="178"/>
      <c r="BJT553" s="178"/>
      <c r="BJU553" s="178"/>
      <c r="BJV553" s="178"/>
      <c r="BJW553" s="178"/>
      <c r="BJX553" s="178"/>
      <c r="BJY553" s="178"/>
      <c r="BJZ553" s="178"/>
      <c r="BKA553" s="178"/>
      <c r="BKB553" s="178"/>
      <c r="BKC553" s="178"/>
      <c r="BKD553" s="178"/>
      <c r="BKE553" s="178"/>
      <c r="BKF553" s="178"/>
      <c r="BKG553" s="178"/>
      <c r="BKH553" s="178"/>
      <c r="BKI553" s="178"/>
      <c r="BKJ553" s="178"/>
      <c r="BKK553" s="178"/>
      <c r="BKL553" s="178"/>
      <c r="BKM553" s="178"/>
      <c r="BKN553" s="178"/>
      <c r="BKO553" s="178"/>
      <c r="BKP553" s="178"/>
      <c r="BKQ553" s="178"/>
      <c r="BKR553" s="178"/>
      <c r="BKS553" s="178"/>
      <c r="BKT553" s="178"/>
      <c r="BKU553" s="178"/>
      <c r="BKV553" s="178"/>
      <c r="BKW553" s="178"/>
      <c r="BKX553" s="178"/>
      <c r="BKY553" s="178"/>
      <c r="BKZ553" s="178"/>
      <c r="BLA553" s="178"/>
      <c r="BLB553" s="178"/>
      <c r="BLC553" s="178"/>
      <c r="BLD553" s="178"/>
      <c r="BLE553" s="178"/>
      <c r="BLF553" s="178"/>
      <c r="BLG553" s="178"/>
      <c r="BLH553" s="178"/>
      <c r="BLI553" s="178"/>
      <c r="BLJ553" s="178"/>
      <c r="BLK553" s="178"/>
      <c r="BLL553" s="178"/>
      <c r="BLM553" s="178"/>
      <c r="BLN553" s="178"/>
      <c r="BLO553" s="178"/>
      <c r="BLP553" s="178"/>
      <c r="BLQ553" s="178"/>
      <c r="BLR553" s="178"/>
      <c r="BLS553" s="178"/>
      <c r="BLT553" s="178"/>
      <c r="BLU553" s="178"/>
      <c r="BLV553" s="178"/>
      <c r="BLW553" s="178"/>
      <c r="BLX553" s="178"/>
      <c r="BLY553" s="178"/>
      <c r="BLZ553" s="178"/>
      <c r="BMA553" s="178"/>
      <c r="BMB553" s="178"/>
      <c r="BMC553" s="178"/>
      <c r="BMD553" s="178"/>
      <c r="BME553" s="178"/>
      <c r="BMF553" s="178"/>
      <c r="BMG553" s="178"/>
      <c r="BMH553" s="178"/>
      <c r="BMI553" s="178"/>
      <c r="BMJ553" s="178"/>
      <c r="BMK553" s="178"/>
      <c r="BML553" s="178"/>
      <c r="BMM553" s="178"/>
      <c r="BMN553" s="178"/>
      <c r="BMO553" s="178"/>
      <c r="BMP553" s="178"/>
      <c r="BMQ553" s="178"/>
      <c r="BMR553" s="178"/>
      <c r="BMS553" s="178"/>
      <c r="BMT553" s="178"/>
      <c r="BMU553" s="178"/>
      <c r="BMV553" s="178"/>
      <c r="BMW553" s="178"/>
      <c r="BMX553" s="178"/>
      <c r="BMY553" s="178"/>
      <c r="BMZ553" s="178"/>
      <c r="BNA553" s="178"/>
      <c r="BNB553" s="178"/>
      <c r="BNC553" s="178"/>
      <c r="BND553" s="178"/>
      <c r="BNE553" s="178"/>
      <c r="BNF553" s="178"/>
      <c r="BNG553" s="178"/>
      <c r="BNH553" s="178"/>
      <c r="BNI553" s="178"/>
      <c r="BNJ553" s="178"/>
      <c r="BNK553" s="178"/>
      <c r="BNL553" s="178"/>
      <c r="BNM553" s="178"/>
      <c r="BNN553" s="178"/>
      <c r="BNO553" s="178"/>
      <c r="BNP553" s="178"/>
      <c r="BNQ553" s="178"/>
      <c r="BNR553" s="178"/>
      <c r="BNS553" s="178"/>
      <c r="BNT553" s="178"/>
      <c r="BNU553" s="178"/>
      <c r="BNV553" s="178"/>
      <c r="BNW553" s="178"/>
      <c r="BNX553" s="178"/>
      <c r="BNY553" s="178"/>
      <c r="BNZ553" s="178"/>
      <c r="BOA553" s="178"/>
      <c r="BOB553" s="178"/>
      <c r="BOC553" s="178"/>
      <c r="BOD553" s="178"/>
      <c r="BOE553" s="178"/>
      <c r="BOF553" s="178"/>
      <c r="BOG553" s="178"/>
      <c r="BOH553" s="178"/>
      <c r="BOI553" s="178"/>
      <c r="BOJ553" s="178"/>
      <c r="BOK553" s="178"/>
      <c r="BOL553" s="178"/>
      <c r="BOM553" s="178"/>
      <c r="BON553" s="178"/>
      <c r="BOO553" s="178"/>
      <c r="BOP553" s="178"/>
      <c r="BOQ553" s="178"/>
      <c r="BOR553" s="178"/>
      <c r="BOS553" s="178"/>
      <c r="BOT553" s="178"/>
      <c r="BOU553" s="178"/>
      <c r="BOV553" s="178"/>
      <c r="BOW553" s="178"/>
      <c r="BOX553" s="178"/>
      <c r="BOY553" s="178"/>
      <c r="BOZ553" s="178"/>
      <c r="BPA553" s="178"/>
      <c r="BPB553" s="178"/>
      <c r="BPC553" s="178"/>
      <c r="BPD553" s="178"/>
      <c r="BPE553" s="178"/>
      <c r="BPF553" s="178"/>
      <c r="BPG553" s="178"/>
      <c r="BPH553" s="178"/>
      <c r="BPI553" s="178"/>
      <c r="BPJ553" s="178"/>
      <c r="BPK553" s="178"/>
      <c r="BPL553" s="178"/>
      <c r="BPM553" s="178"/>
      <c r="BPN553" s="178"/>
      <c r="BPO553" s="178"/>
      <c r="BPP553" s="178"/>
      <c r="BPQ553" s="178"/>
      <c r="BPR553" s="178"/>
      <c r="BPS553" s="178"/>
      <c r="BPT553" s="178"/>
      <c r="BPU553" s="178"/>
      <c r="BPV553" s="178"/>
      <c r="BPW553" s="178"/>
      <c r="BPX553" s="178"/>
      <c r="BPY553" s="178"/>
      <c r="BPZ553" s="178"/>
      <c r="BQA553" s="178"/>
      <c r="BQB553" s="178"/>
      <c r="BQC553" s="178"/>
      <c r="BQD553" s="178"/>
      <c r="BQE553" s="178"/>
      <c r="BQF553" s="178"/>
      <c r="BQG553" s="178"/>
      <c r="BQH553" s="178"/>
      <c r="BQI553" s="178"/>
      <c r="BQJ553" s="178"/>
      <c r="BQK553" s="178"/>
      <c r="BQL553" s="178"/>
      <c r="BQM553" s="178"/>
      <c r="BQN553" s="178"/>
      <c r="BQO553" s="178"/>
      <c r="BQP553" s="178"/>
      <c r="BQQ553" s="178"/>
      <c r="BQR553" s="178"/>
      <c r="BQS553" s="178"/>
      <c r="BQT553" s="178"/>
      <c r="BQU553" s="178"/>
      <c r="BQV553" s="178"/>
      <c r="BQW553" s="178"/>
      <c r="BQX553" s="178"/>
      <c r="BQY553" s="178"/>
      <c r="BQZ553" s="178"/>
      <c r="BRA553" s="178"/>
      <c r="BRB553" s="178"/>
      <c r="BRC553" s="178"/>
      <c r="BRD553" s="178"/>
      <c r="BRE553" s="178"/>
      <c r="BRF553" s="178"/>
      <c r="BRG553" s="178"/>
      <c r="BRH553" s="178"/>
      <c r="BRI553" s="178"/>
      <c r="BRJ553" s="178"/>
      <c r="BRK553" s="178"/>
      <c r="BRL553" s="178"/>
      <c r="BRM553" s="178"/>
      <c r="BRN553" s="178"/>
      <c r="BRO553" s="178"/>
      <c r="BRP553" s="178"/>
      <c r="BRQ553" s="178"/>
      <c r="BRR553" s="178"/>
      <c r="BRS553" s="178"/>
      <c r="BRT553" s="178"/>
      <c r="BRU553" s="178"/>
      <c r="BRV553" s="178"/>
      <c r="BRW553" s="178"/>
      <c r="BRX553" s="178"/>
      <c r="BRY553" s="178"/>
      <c r="BRZ553" s="178"/>
      <c r="BSA553" s="178"/>
      <c r="BSB553" s="178"/>
      <c r="BSC553" s="178"/>
      <c r="BSD553" s="178"/>
      <c r="BSE553" s="178"/>
      <c r="BSF553" s="178"/>
      <c r="BSG553" s="178"/>
      <c r="BSH553" s="178"/>
      <c r="BSI553" s="178"/>
      <c r="BSJ553" s="178"/>
      <c r="BSK553" s="178"/>
      <c r="BSL553" s="178"/>
      <c r="BSM553" s="178"/>
      <c r="BSN553" s="178"/>
      <c r="BSO553" s="178"/>
      <c r="BSP553" s="178"/>
      <c r="BSQ553" s="178"/>
      <c r="BSR553" s="178"/>
      <c r="BSS553" s="178"/>
      <c r="BST553" s="178"/>
      <c r="BSU553" s="178"/>
      <c r="BSV553" s="178"/>
      <c r="BSW553" s="178"/>
      <c r="BSX553" s="178"/>
      <c r="BSY553" s="178"/>
      <c r="BSZ553" s="178"/>
      <c r="BTA553" s="178"/>
      <c r="BTB553" s="178"/>
      <c r="BTC553" s="178"/>
      <c r="BTD553" s="178"/>
      <c r="BTE553" s="178"/>
      <c r="BTF553" s="178"/>
      <c r="BTG553" s="178"/>
      <c r="BTH553" s="178"/>
      <c r="BTI553" s="178"/>
      <c r="BTJ553" s="178"/>
      <c r="BTK553" s="178"/>
      <c r="BTL553" s="178"/>
      <c r="BTM553" s="178"/>
      <c r="BTN553" s="178"/>
      <c r="BTO553" s="178"/>
      <c r="BTP553" s="178"/>
      <c r="BTQ553" s="178"/>
      <c r="BTR553" s="178"/>
      <c r="BTS553" s="178"/>
      <c r="BTT553" s="178"/>
      <c r="BTU553" s="178"/>
      <c r="BTV553" s="178"/>
      <c r="BTW553" s="178"/>
      <c r="BTX553" s="178"/>
      <c r="BTY553" s="178"/>
      <c r="BTZ553" s="178"/>
      <c r="BUA553" s="178"/>
      <c r="BUB553" s="178"/>
      <c r="BUC553" s="178"/>
      <c r="BUD553" s="178"/>
      <c r="BUE553" s="178"/>
      <c r="BUF553" s="178"/>
      <c r="BUG553" s="178"/>
      <c r="BUH553" s="178"/>
      <c r="BUI553" s="178"/>
      <c r="BUJ553" s="178"/>
      <c r="BUK553" s="178"/>
      <c r="BUL553" s="178"/>
      <c r="BUM553" s="178"/>
      <c r="BUN553" s="178"/>
      <c r="BUO553" s="178"/>
      <c r="BUP553" s="178"/>
      <c r="BUQ553" s="178"/>
      <c r="BUR553" s="178"/>
      <c r="BUS553" s="178"/>
      <c r="BUT553" s="178"/>
      <c r="BUU553" s="178"/>
      <c r="BUV553" s="178"/>
      <c r="BUW553" s="178"/>
      <c r="BUX553" s="178"/>
      <c r="BUY553" s="178"/>
      <c r="BUZ553" s="178"/>
      <c r="BVA553" s="178"/>
      <c r="BVB553" s="178"/>
      <c r="BVC553" s="178"/>
      <c r="BVD553" s="178"/>
      <c r="BVE553" s="178"/>
      <c r="BVF553" s="178"/>
      <c r="BVG553" s="178"/>
      <c r="BVH553" s="178"/>
      <c r="BVI553" s="178"/>
      <c r="BVJ553" s="178"/>
      <c r="BVK553" s="178"/>
      <c r="BVL553" s="178"/>
      <c r="BVM553" s="178"/>
      <c r="BVN553" s="178"/>
      <c r="BVO553" s="178"/>
      <c r="BVP553" s="178"/>
      <c r="BVQ553" s="178"/>
      <c r="BVR553" s="178"/>
      <c r="BVS553" s="178"/>
      <c r="BVT553" s="178"/>
      <c r="BVU553" s="178"/>
      <c r="BVV553" s="178"/>
      <c r="BVW553" s="178"/>
      <c r="BVX553" s="178"/>
      <c r="BVY553" s="178"/>
      <c r="BVZ553" s="178"/>
      <c r="BWA553" s="178"/>
      <c r="BWB553" s="178"/>
      <c r="BWC553" s="178"/>
      <c r="BWD553" s="178"/>
      <c r="BWE553" s="178"/>
      <c r="BWF553" s="178"/>
      <c r="BWG553" s="178"/>
      <c r="BWH553" s="178"/>
      <c r="BWI553" s="178"/>
      <c r="BWJ553" s="178"/>
      <c r="BWK553" s="178"/>
      <c r="BWL553" s="178"/>
      <c r="BWM553" s="178"/>
      <c r="BWN553" s="178"/>
      <c r="BWO553" s="178"/>
      <c r="BWP553" s="178"/>
      <c r="BWQ553" s="178"/>
      <c r="BWR553" s="178"/>
      <c r="BWS553" s="178"/>
      <c r="BWT553" s="178"/>
      <c r="BWU553" s="178"/>
      <c r="BWV553" s="178"/>
      <c r="BWW553" s="178"/>
      <c r="BWX553" s="178"/>
      <c r="BWY553" s="178"/>
      <c r="BWZ553" s="178"/>
      <c r="BXA553" s="178"/>
      <c r="BXB553" s="178"/>
      <c r="BXC553" s="178"/>
      <c r="BXD553" s="178"/>
      <c r="BXE553" s="178"/>
      <c r="BXF553" s="178"/>
      <c r="BXG553" s="178"/>
      <c r="BXH553" s="178"/>
      <c r="BXI553" s="178"/>
      <c r="BXJ553" s="178"/>
      <c r="BXK553" s="178"/>
      <c r="BXL553" s="178"/>
      <c r="BXM553" s="178"/>
      <c r="BXN553" s="178"/>
      <c r="BXO553" s="178"/>
      <c r="BXP553" s="178"/>
      <c r="BXQ553" s="178"/>
      <c r="BXR553" s="178"/>
      <c r="BXS553" s="178"/>
      <c r="BXT553" s="178"/>
      <c r="BXU553" s="178"/>
      <c r="BXV553" s="178"/>
      <c r="BXW553" s="178"/>
      <c r="BXX553" s="178"/>
      <c r="BXY553" s="178"/>
      <c r="BXZ553" s="178"/>
      <c r="BYA553" s="178"/>
      <c r="BYB553" s="178"/>
      <c r="BYC553" s="178"/>
      <c r="BYD553" s="178"/>
      <c r="BYE553" s="178"/>
      <c r="BYF553" s="178"/>
      <c r="BYG553" s="178"/>
      <c r="BYH553" s="178"/>
      <c r="BYI553" s="178"/>
      <c r="BYJ553" s="178"/>
      <c r="BYK553" s="178"/>
      <c r="BYL553" s="178"/>
      <c r="BYM553" s="178"/>
      <c r="BYN553" s="178"/>
      <c r="BYO553" s="178"/>
      <c r="BYP553" s="178"/>
      <c r="BYQ553" s="178"/>
      <c r="BYR553" s="178"/>
      <c r="BYS553" s="178"/>
      <c r="BYT553" s="178"/>
      <c r="BYU553" s="178"/>
      <c r="BYV553" s="178"/>
      <c r="BYW553" s="178"/>
      <c r="BYX553" s="178"/>
      <c r="BYY553" s="178"/>
      <c r="BYZ553" s="178"/>
      <c r="BZA553" s="178"/>
      <c r="BZB553" s="178"/>
      <c r="BZC553" s="178"/>
      <c r="BZD553" s="178"/>
      <c r="BZE553" s="178"/>
      <c r="BZF553" s="178"/>
      <c r="BZG553" s="178"/>
      <c r="BZH553" s="178"/>
      <c r="BZI553" s="178"/>
      <c r="BZJ553" s="178"/>
      <c r="BZK553" s="178"/>
      <c r="BZL553" s="178"/>
      <c r="BZM553" s="178"/>
      <c r="BZN553" s="178"/>
      <c r="BZO553" s="178"/>
      <c r="BZP553" s="178"/>
      <c r="BZQ553" s="178"/>
      <c r="BZR553" s="178"/>
      <c r="BZS553" s="178"/>
      <c r="BZT553" s="178"/>
      <c r="BZU553" s="178"/>
      <c r="BZV553" s="178"/>
      <c r="BZW553" s="178"/>
      <c r="BZX553" s="178"/>
      <c r="BZY553" s="178"/>
      <c r="BZZ553" s="178"/>
      <c r="CAA553" s="178"/>
      <c r="CAB553" s="178"/>
      <c r="CAC553" s="178"/>
      <c r="CAD553" s="178"/>
      <c r="CAE553" s="178"/>
      <c r="CAF553" s="178"/>
      <c r="CAG553" s="178"/>
      <c r="CAH553" s="178"/>
      <c r="CAI553" s="178"/>
      <c r="CAJ553" s="178"/>
      <c r="CAK553" s="178"/>
      <c r="CAL553" s="178"/>
      <c r="CAM553" s="178"/>
      <c r="CAN553" s="178"/>
      <c r="CAO553" s="178"/>
      <c r="CAP553" s="178"/>
      <c r="CAQ553" s="178"/>
      <c r="CAR553" s="178"/>
      <c r="CAS553" s="178"/>
      <c r="CAT553" s="178"/>
      <c r="CAU553" s="178"/>
      <c r="CAV553" s="178"/>
      <c r="CAW553" s="178"/>
      <c r="CAX553" s="178"/>
      <c r="CAY553" s="178"/>
      <c r="CAZ553" s="178"/>
      <c r="CBA553" s="178"/>
      <c r="CBB553" s="178"/>
      <c r="CBC553" s="178"/>
      <c r="CBD553" s="178"/>
      <c r="CBE553" s="178"/>
      <c r="CBF553" s="178"/>
      <c r="CBG553" s="178"/>
      <c r="CBH553" s="178"/>
      <c r="CBI553" s="178"/>
      <c r="CBJ553" s="178"/>
      <c r="CBK553" s="178"/>
      <c r="CBL553" s="178"/>
      <c r="CBM553" s="178"/>
      <c r="CBN553" s="178"/>
      <c r="CBO553" s="178"/>
      <c r="CBP553" s="178"/>
      <c r="CBQ553" s="178"/>
      <c r="CBR553" s="178"/>
      <c r="CBS553" s="178"/>
      <c r="CBT553" s="178"/>
      <c r="CBU553" s="178"/>
      <c r="CBV553" s="178"/>
      <c r="CBW553" s="178"/>
      <c r="CBX553" s="178"/>
      <c r="CBY553" s="178"/>
      <c r="CBZ553" s="178"/>
      <c r="CCA553" s="178"/>
      <c r="CCB553" s="178"/>
      <c r="CCC553" s="178"/>
      <c r="CCD553" s="178"/>
      <c r="CCE553" s="178"/>
      <c r="CCF553" s="178"/>
      <c r="CCG553" s="178"/>
      <c r="CCH553" s="178"/>
      <c r="CCI553" s="178"/>
      <c r="CCJ553" s="178"/>
      <c r="CCK553" s="178"/>
      <c r="CCL553" s="178"/>
      <c r="CCM553" s="178"/>
      <c r="CCN553" s="178"/>
      <c r="CCO553" s="178"/>
      <c r="CCP553" s="178"/>
      <c r="CCQ553" s="178"/>
      <c r="CCR553" s="178"/>
      <c r="CCS553" s="178"/>
      <c r="CCT553" s="178"/>
      <c r="CCU553" s="178"/>
      <c r="CCV553" s="178"/>
      <c r="CCW553" s="178"/>
      <c r="CCX553" s="178"/>
      <c r="CCY553" s="178"/>
      <c r="CCZ553" s="178"/>
      <c r="CDA553" s="178"/>
      <c r="CDB553" s="178"/>
      <c r="CDC553" s="178"/>
      <c r="CDD553" s="178"/>
      <c r="CDE553" s="178"/>
      <c r="CDF553" s="178"/>
      <c r="CDG553" s="178"/>
      <c r="CDH553" s="178"/>
      <c r="CDI553" s="178"/>
      <c r="CDJ553" s="178"/>
      <c r="CDK553" s="178"/>
      <c r="CDL553" s="178"/>
      <c r="CDM553" s="178"/>
      <c r="CDN553" s="178"/>
      <c r="CDO553" s="178"/>
      <c r="CDP553" s="178"/>
      <c r="CDQ553" s="178"/>
      <c r="CDR553" s="178"/>
      <c r="CDS553" s="178"/>
      <c r="CDT553" s="178"/>
      <c r="CDU553" s="178"/>
      <c r="CDV553" s="178"/>
      <c r="CDW553" s="178"/>
      <c r="CDX553" s="178"/>
      <c r="CDY553" s="178"/>
      <c r="CDZ553" s="178"/>
      <c r="CEA553" s="178"/>
      <c r="CEB553" s="178"/>
      <c r="CEC553" s="178"/>
      <c r="CED553" s="178"/>
      <c r="CEE553" s="178"/>
      <c r="CEF553" s="178"/>
      <c r="CEG553" s="178"/>
      <c r="CEH553" s="178"/>
      <c r="CEI553" s="178"/>
      <c r="CEJ553" s="178"/>
      <c r="CEK553" s="178"/>
      <c r="CEL553" s="178"/>
      <c r="CEM553" s="178"/>
      <c r="CEN553" s="178"/>
      <c r="CEO553" s="178"/>
      <c r="CEP553" s="178"/>
      <c r="CEQ553" s="178"/>
      <c r="CER553" s="178"/>
      <c r="CES553" s="178"/>
      <c r="CET553" s="178"/>
      <c r="CEU553" s="178"/>
      <c r="CEV553" s="178"/>
      <c r="CEW553" s="178"/>
      <c r="CEX553" s="178"/>
      <c r="CEY553" s="178"/>
      <c r="CEZ553" s="178"/>
      <c r="CFA553" s="178"/>
      <c r="CFB553" s="178"/>
      <c r="CFC553" s="178"/>
      <c r="CFD553" s="178"/>
      <c r="CFE553" s="178"/>
      <c r="CFF553" s="178"/>
      <c r="CFG553" s="178"/>
      <c r="CFH553" s="178"/>
      <c r="CFI553" s="178"/>
      <c r="CFJ553" s="178"/>
      <c r="CFK553" s="178"/>
      <c r="CFL553" s="178"/>
      <c r="CFM553" s="178"/>
      <c r="CFN553" s="178"/>
      <c r="CFO553" s="178"/>
      <c r="CFP553" s="178"/>
      <c r="CFQ553" s="178"/>
      <c r="CFR553" s="178"/>
      <c r="CFS553" s="178"/>
      <c r="CFT553" s="178"/>
      <c r="CFU553" s="178"/>
      <c r="CFV553" s="178"/>
      <c r="CFW553" s="178"/>
      <c r="CFX553" s="178"/>
      <c r="CFY553" s="178"/>
      <c r="CFZ553" s="178"/>
      <c r="CGA553" s="178"/>
      <c r="CGB553" s="178"/>
      <c r="CGC553" s="178"/>
      <c r="CGD553" s="178"/>
      <c r="CGE553" s="178"/>
      <c r="CGF553" s="178"/>
      <c r="CGG553" s="178"/>
      <c r="CGH553" s="178"/>
      <c r="CGI553" s="178"/>
      <c r="CGJ553" s="178"/>
      <c r="CGK553" s="178"/>
      <c r="CGL553" s="178"/>
      <c r="CGM553" s="178"/>
      <c r="CGN553" s="178"/>
      <c r="CGO553" s="178"/>
      <c r="CGP553" s="178"/>
      <c r="CGQ553" s="178"/>
      <c r="CGR553" s="178"/>
      <c r="CGS553" s="178"/>
      <c r="CGT553" s="178"/>
      <c r="CGU553" s="178"/>
      <c r="CGV553" s="178"/>
      <c r="CGW553" s="178"/>
      <c r="CGX553" s="178"/>
      <c r="CGY553" s="178"/>
      <c r="CGZ553" s="178"/>
      <c r="CHA553" s="178"/>
      <c r="CHB553" s="178"/>
      <c r="CHC553" s="178"/>
      <c r="CHD553" s="178"/>
      <c r="CHE553" s="178"/>
      <c r="CHF553" s="178"/>
      <c r="CHG553" s="178"/>
      <c r="CHH553" s="178"/>
      <c r="CHI553" s="178"/>
      <c r="CHJ553" s="178"/>
      <c r="CHK553" s="178"/>
      <c r="CHL553" s="178"/>
      <c r="CHM553" s="178"/>
      <c r="CHN553" s="178"/>
      <c r="CHO553" s="178"/>
      <c r="CHP553" s="178"/>
      <c r="CHQ553" s="178"/>
      <c r="CHR553" s="178"/>
      <c r="CHS553" s="178"/>
      <c r="CHT553" s="178"/>
      <c r="CHU553" s="178"/>
      <c r="CHV553" s="178"/>
      <c r="CHW553" s="178"/>
      <c r="CHX553" s="178"/>
      <c r="CHY553" s="178"/>
      <c r="CHZ553" s="178"/>
      <c r="CIA553" s="178"/>
      <c r="CIB553" s="178"/>
      <c r="CIC553" s="178"/>
      <c r="CID553" s="178"/>
      <c r="CIE553" s="178"/>
      <c r="CIF553" s="178"/>
      <c r="CIG553" s="178"/>
      <c r="CIH553" s="178"/>
      <c r="CII553" s="178"/>
      <c r="CIJ553" s="178"/>
      <c r="CIK553" s="178"/>
      <c r="CIL553" s="178"/>
      <c r="CIM553" s="178"/>
      <c r="CIN553" s="178"/>
      <c r="CIO553" s="178"/>
      <c r="CIP553" s="178"/>
      <c r="CIQ553" s="178"/>
      <c r="CIR553" s="178"/>
      <c r="CIS553" s="178"/>
      <c r="CIT553" s="178"/>
      <c r="CIU553" s="178"/>
      <c r="CIV553" s="178"/>
      <c r="CIW553" s="178"/>
      <c r="CIX553" s="178"/>
      <c r="CIY553" s="178"/>
      <c r="CIZ553" s="178"/>
      <c r="CJA553" s="178"/>
      <c r="CJB553" s="178"/>
      <c r="CJC553" s="178"/>
      <c r="CJD553" s="178"/>
      <c r="CJE553" s="178"/>
      <c r="CJF553" s="178"/>
      <c r="CJG553" s="178"/>
      <c r="CJH553" s="178"/>
      <c r="CJI553" s="178"/>
      <c r="CJJ553" s="178"/>
      <c r="CJK553" s="178"/>
      <c r="CJL553" s="178"/>
      <c r="CJM553" s="178"/>
      <c r="CJN553" s="178"/>
      <c r="CJO553" s="178"/>
      <c r="CJP553" s="178"/>
      <c r="CJQ553" s="178"/>
      <c r="CJR553" s="178"/>
      <c r="CJS553" s="178"/>
      <c r="CJT553" s="178"/>
      <c r="CJU553" s="178"/>
      <c r="CJV553" s="178"/>
      <c r="CJW553" s="178"/>
      <c r="CJX553" s="178"/>
      <c r="CJY553" s="178"/>
      <c r="CJZ553" s="178"/>
      <c r="CKA553" s="178"/>
      <c r="CKB553" s="178"/>
      <c r="CKC553" s="178"/>
      <c r="CKD553" s="178"/>
      <c r="CKE553" s="178"/>
      <c r="CKF553" s="178"/>
      <c r="CKG553" s="178"/>
      <c r="CKH553" s="178"/>
      <c r="CKI553" s="178"/>
      <c r="CKJ553" s="178"/>
      <c r="CKK553" s="178"/>
      <c r="CKL553" s="178"/>
      <c r="CKM553" s="178"/>
      <c r="CKN553" s="178"/>
      <c r="CKO553" s="178"/>
      <c r="CKP553" s="178"/>
      <c r="CKQ553" s="178"/>
      <c r="CKR553" s="178"/>
      <c r="CKS553" s="178"/>
      <c r="CKT553" s="178"/>
      <c r="CKU553" s="178"/>
      <c r="CKV553" s="178"/>
      <c r="CKW553" s="178"/>
      <c r="CKX553" s="178"/>
      <c r="CKY553" s="178"/>
      <c r="CKZ553" s="178"/>
      <c r="CLA553" s="178"/>
      <c r="CLB553" s="178"/>
      <c r="CLC553" s="178"/>
      <c r="CLD553" s="178"/>
      <c r="CLE553" s="178"/>
      <c r="CLF553" s="178"/>
      <c r="CLG553" s="178"/>
      <c r="CLH553" s="178"/>
      <c r="CLI553" s="178"/>
      <c r="CLJ553" s="178"/>
      <c r="CLK553" s="178"/>
      <c r="CLL553" s="178"/>
      <c r="CLM553" s="178"/>
      <c r="CLN553" s="178"/>
      <c r="CLO553" s="178"/>
      <c r="CLP553" s="178"/>
      <c r="CLQ553" s="178"/>
      <c r="CLR553" s="178"/>
      <c r="CLS553" s="178"/>
      <c r="CLT553" s="178"/>
      <c r="CLU553" s="178"/>
      <c r="CLV553" s="178"/>
      <c r="CLW553" s="178"/>
      <c r="CLX553" s="178"/>
      <c r="CLY553" s="178"/>
      <c r="CLZ553" s="178"/>
      <c r="CMA553" s="178"/>
      <c r="CMB553" s="178"/>
      <c r="CMC553" s="178"/>
      <c r="CMD553" s="178"/>
      <c r="CME553" s="178"/>
      <c r="CMF553" s="178"/>
      <c r="CMG553" s="178"/>
      <c r="CMH553" s="178"/>
      <c r="CMI553" s="178"/>
      <c r="CMJ553" s="178"/>
      <c r="CMK553" s="178"/>
      <c r="CML553" s="178"/>
      <c r="CMM553" s="178"/>
      <c r="CMN553" s="178"/>
      <c r="CMO553" s="178"/>
      <c r="CMP553" s="178"/>
      <c r="CMQ553" s="178"/>
      <c r="CMR553" s="178"/>
      <c r="CMS553" s="178"/>
      <c r="CMT553" s="178"/>
      <c r="CMU553" s="178"/>
      <c r="CMV553" s="178"/>
      <c r="CMW553" s="178"/>
      <c r="CMX553" s="178"/>
      <c r="CMY553" s="178"/>
      <c r="CMZ553" s="178"/>
      <c r="CNA553" s="178"/>
      <c r="CNB553" s="178"/>
      <c r="CNC553" s="178"/>
      <c r="CND553" s="178"/>
      <c r="CNE553" s="178"/>
      <c r="CNF553" s="178"/>
      <c r="CNG553" s="178"/>
      <c r="CNH553" s="178"/>
      <c r="CNI553" s="178"/>
      <c r="CNJ553" s="178"/>
      <c r="CNK553" s="178"/>
      <c r="CNL553" s="178"/>
      <c r="CNM553" s="178"/>
      <c r="CNN553" s="178"/>
      <c r="CNO553" s="178"/>
      <c r="CNP553" s="178"/>
      <c r="CNQ553" s="178"/>
      <c r="CNR553" s="178"/>
      <c r="CNS553" s="178"/>
      <c r="CNT553" s="178"/>
      <c r="CNU553" s="178"/>
      <c r="CNV553" s="178"/>
      <c r="CNW553" s="178"/>
      <c r="CNX553" s="178"/>
      <c r="CNY553" s="178"/>
      <c r="CNZ553" s="178"/>
      <c r="COA553" s="178"/>
      <c r="COB553" s="178"/>
      <c r="COC553" s="178"/>
      <c r="COD553" s="178"/>
      <c r="COE553" s="178"/>
      <c r="COF553" s="178"/>
      <c r="COG553" s="178"/>
      <c r="COH553" s="178"/>
      <c r="COI553" s="178"/>
      <c r="COJ553" s="178"/>
      <c r="COK553" s="178"/>
      <c r="COL553" s="178"/>
      <c r="COM553" s="178"/>
      <c r="CON553" s="178"/>
      <c r="COO553" s="178"/>
      <c r="COP553" s="178"/>
      <c r="COQ553" s="178"/>
      <c r="COR553" s="178"/>
      <c r="COS553" s="178"/>
      <c r="COT553" s="178"/>
      <c r="COU553" s="178"/>
      <c r="COV553" s="178"/>
      <c r="COW553" s="178"/>
      <c r="COX553" s="178"/>
      <c r="COY553" s="178"/>
      <c r="COZ553" s="178"/>
      <c r="CPA553" s="178"/>
      <c r="CPB553" s="178"/>
      <c r="CPC553" s="178"/>
      <c r="CPD553" s="178"/>
      <c r="CPE553" s="178"/>
      <c r="CPF553" s="178"/>
      <c r="CPG553" s="178"/>
      <c r="CPH553" s="178"/>
      <c r="CPI553" s="178"/>
      <c r="CPJ553" s="178"/>
      <c r="CPK553" s="178"/>
      <c r="CPL553" s="178"/>
      <c r="CPM553" s="178"/>
      <c r="CPN553" s="178"/>
      <c r="CPO553" s="178"/>
      <c r="CPP553" s="178"/>
      <c r="CPQ553" s="178"/>
      <c r="CPR553" s="178"/>
      <c r="CPS553" s="178"/>
      <c r="CPT553" s="178"/>
      <c r="CPU553" s="178"/>
      <c r="CPV553" s="178"/>
      <c r="CPW553" s="178"/>
      <c r="CPX553" s="178"/>
      <c r="CPY553" s="178"/>
      <c r="CPZ553" s="178"/>
      <c r="CQA553" s="178"/>
      <c r="CQB553" s="178"/>
      <c r="CQC553" s="178"/>
      <c r="CQD553" s="178"/>
      <c r="CQE553" s="178"/>
      <c r="CQF553" s="178"/>
      <c r="CQG553" s="178"/>
      <c r="CQH553" s="178"/>
      <c r="CQI553" s="178"/>
      <c r="CQJ553" s="178"/>
      <c r="CQK553" s="178"/>
      <c r="CQL553" s="178"/>
      <c r="CQM553" s="178"/>
      <c r="CQN553" s="178"/>
      <c r="CQO553" s="178"/>
      <c r="CQP553" s="178"/>
      <c r="CQQ553" s="178"/>
      <c r="CQR553" s="178"/>
      <c r="CQS553" s="178"/>
      <c r="CQT553" s="178"/>
      <c r="CQU553" s="178"/>
      <c r="CQV553" s="178"/>
      <c r="CQW553" s="178"/>
      <c r="CQX553" s="178"/>
      <c r="CQY553" s="178"/>
      <c r="CQZ553" s="178"/>
      <c r="CRA553" s="178"/>
      <c r="CRB553" s="178"/>
      <c r="CRC553" s="178"/>
      <c r="CRD553" s="178"/>
      <c r="CRE553" s="178"/>
      <c r="CRF553" s="178"/>
      <c r="CRG553" s="178"/>
      <c r="CRH553" s="178"/>
      <c r="CRI553" s="178"/>
      <c r="CRJ553" s="178"/>
      <c r="CRK553" s="178"/>
      <c r="CRL553" s="178"/>
      <c r="CRM553" s="178"/>
      <c r="CRN553" s="178"/>
      <c r="CRO553" s="178"/>
      <c r="CRP553" s="178"/>
      <c r="CRQ553" s="178"/>
      <c r="CRR553" s="178"/>
      <c r="CRS553" s="178"/>
      <c r="CRT553" s="178"/>
      <c r="CRU553" s="178"/>
      <c r="CRV553" s="178"/>
      <c r="CRW553" s="178"/>
      <c r="CRX553" s="178"/>
      <c r="CRY553" s="178"/>
      <c r="CRZ553" s="178"/>
      <c r="CSA553" s="178"/>
      <c r="CSB553" s="178"/>
      <c r="CSC553" s="178"/>
      <c r="CSD553" s="178"/>
      <c r="CSE553" s="178"/>
      <c r="CSF553" s="178"/>
      <c r="CSG553" s="178"/>
      <c r="CSH553" s="178"/>
      <c r="CSI553" s="178"/>
      <c r="CSJ553" s="178"/>
      <c r="CSK553" s="178"/>
      <c r="CSL553" s="178"/>
      <c r="CSM553" s="178"/>
      <c r="CSN553" s="178"/>
      <c r="CSO553" s="178"/>
      <c r="CSP553" s="178"/>
      <c r="CSQ553" s="178"/>
      <c r="CSR553" s="178"/>
      <c r="CSS553" s="178"/>
      <c r="CST553" s="178"/>
      <c r="CSU553" s="178"/>
      <c r="CSV553" s="178"/>
      <c r="CSW553" s="178"/>
      <c r="CSX553" s="178"/>
      <c r="CSY553" s="178"/>
      <c r="CSZ553" s="178"/>
      <c r="CTA553" s="178"/>
      <c r="CTB553" s="178"/>
      <c r="CTC553" s="178"/>
      <c r="CTD553" s="178"/>
      <c r="CTE553" s="178"/>
      <c r="CTF553" s="178"/>
      <c r="CTG553" s="178"/>
      <c r="CTH553" s="178"/>
      <c r="CTI553" s="178"/>
      <c r="CTJ553" s="178"/>
      <c r="CTK553" s="178"/>
      <c r="CTL553" s="178"/>
      <c r="CTM553" s="178"/>
      <c r="CTN553" s="178"/>
      <c r="CTO553" s="178"/>
      <c r="CTP553" s="178"/>
      <c r="CTQ553" s="178"/>
      <c r="CTR553" s="178"/>
      <c r="CTS553" s="178"/>
      <c r="CTT553" s="178"/>
      <c r="CTU553" s="178"/>
      <c r="CTV553" s="178"/>
      <c r="CTW553" s="178"/>
      <c r="CTX553" s="178"/>
      <c r="CTY553" s="178"/>
      <c r="CTZ553" s="178"/>
      <c r="CUA553" s="178"/>
      <c r="CUB553" s="178"/>
      <c r="CUC553" s="178"/>
      <c r="CUD553" s="178"/>
      <c r="CUE553" s="178"/>
      <c r="CUF553" s="178"/>
      <c r="CUG553" s="178"/>
      <c r="CUH553" s="178"/>
      <c r="CUI553" s="178"/>
      <c r="CUJ553" s="178"/>
      <c r="CUK553" s="178"/>
      <c r="CUL553" s="178"/>
      <c r="CUM553" s="178"/>
      <c r="CUN553" s="178"/>
      <c r="CUO553" s="178"/>
      <c r="CUP553" s="178"/>
      <c r="CUQ553" s="178"/>
      <c r="CUR553" s="178"/>
      <c r="CUS553" s="178"/>
      <c r="CUT553" s="178"/>
      <c r="CUU553" s="178"/>
      <c r="CUV553" s="178"/>
      <c r="CUW553" s="178"/>
      <c r="CUX553" s="178"/>
      <c r="CUY553" s="178"/>
      <c r="CUZ553" s="178"/>
      <c r="CVA553" s="178"/>
      <c r="CVB553" s="178"/>
      <c r="CVC553" s="178"/>
      <c r="CVD553" s="178"/>
      <c r="CVE553" s="178"/>
      <c r="CVF553" s="178"/>
      <c r="CVG553" s="178"/>
      <c r="CVH553" s="178"/>
      <c r="CVI553" s="178"/>
      <c r="CVJ553" s="178"/>
      <c r="CVK553" s="178"/>
      <c r="CVL553" s="178"/>
      <c r="CVM553" s="178"/>
      <c r="CVN553" s="178"/>
      <c r="CVO553" s="178"/>
      <c r="CVP553" s="178"/>
      <c r="CVQ553" s="178"/>
      <c r="CVR553" s="178"/>
      <c r="CVS553" s="178"/>
      <c r="CVT553" s="178"/>
      <c r="CVU553" s="178"/>
      <c r="CVV553" s="178"/>
      <c r="CVW553" s="178"/>
      <c r="CVX553" s="178"/>
      <c r="CVY553" s="178"/>
      <c r="CVZ553" s="178"/>
      <c r="CWA553" s="178"/>
      <c r="CWB553" s="178"/>
      <c r="CWC553" s="178"/>
      <c r="CWD553" s="178"/>
      <c r="CWE553" s="178"/>
      <c r="CWF553" s="178"/>
      <c r="CWG553" s="178"/>
      <c r="CWH553" s="178"/>
      <c r="CWI553" s="178"/>
      <c r="CWJ553" s="178"/>
      <c r="CWK553" s="178"/>
      <c r="CWL553" s="178"/>
      <c r="CWM553" s="178"/>
      <c r="CWN553" s="178"/>
      <c r="CWO553" s="178"/>
      <c r="CWP553" s="178"/>
      <c r="CWQ553" s="178"/>
      <c r="CWR553" s="178"/>
      <c r="CWS553" s="178"/>
      <c r="CWT553" s="178"/>
      <c r="CWU553" s="178"/>
      <c r="CWV553" s="178"/>
      <c r="CWW553" s="178"/>
      <c r="CWX553" s="178"/>
      <c r="CWY553" s="178"/>
      <c r="CWZ553" s="178"/>
      <c r="CXA553" s="178"/>
      <c r="CXB553" s="178"/>
      <c r="CXC553" s="178"/>
      <c r="CXD553" s="178"/>
      <c r="CXE553" s="178"/>
      <c r="CXF553" s="178"/>
      <c r="CXG553" s="178"/>
      <c r="CXH553" s="178"/>
      <c r="CXI553" s="178"/>
      <c r="CXJ553" s="178"/>
      <c r="CXK553" s="178"/>
      <c r="CXL553" s="178"/>
      <c r="CXM553" s="178"/>
      <c r="CXN553" s="178"/>
      <c r="CXO553" s="178"/>
      <c r="CXP553" s="178"/>
      <c r="CXQ553" s="178"/>
      <c r="CXR553" s="178"/>
      <c r="CXS553" s="178"/>
      <c r="CXT553" s="178"/>
      <c r="CXU553" s="178"/>
      <c r="CXV553" s="178"/>
      <c r="CXW553" s="178"/>
      <c r="CXX553" s="178"/>
      <c r="CXY553" s="178"/>
      <c r="CXZ553" s="178"/>
      <c r="CYA553" s="178"/>
      <c r="CYB553" s="178"/>
      <c r="CYC553" s="178"/>
      <c r="CYD553" s="178"/>
      <c r="CYE553" s="178"/>
      <c r="CYF553" s="178"/>
      <c r="CYG553" s="178"/>
      <c r="CYH553" s="178"/>
      <c r="CYI553" s="178"/>
      <c r="CYJ553" s="178"/>
      <c r="CYK553" s="178"/>
      <c r="CYL553" s="178"/>
      <c r="CYM553" s="178"/>
      <c r="CYN553" s="178"/>
      <c r="CYO553" s="178"/>
      <c r="CYP553" s="178"/>
      <c r="CYQ553" s="178"/>
      <c r="CYR553" s="178"/>
      <c r="CYS553" s="178"/>
      <c r="CYT553" s="178"/>
      <c r="CYU553" s="178"/>
      <c r="CYV553" s="178"/>
      <c r="CYW553" s="178"/>
      <c r="CYX553" s="178"/>
      <c r="CYY553" s="178"/>
      <c r="CYZ553" s="178"/>
      <c r="CZA553" s="178"/>
      <c r="CZB553" s="178"/>
      <c r="CZC553" s="178"/>
      <c r="CZD553" s="178"/>
      <c r="CZE553" s="178"/>
      <c r="CZF553" s="178"/>
      <c r="CZG553" s="178"/>
      <c r="CZH553" s="178"/>
      <c r="CZI553" s="178"/>
      <c r="CZJ553" s="178"/>
      <c r="CZK553" s="178"/>
      <c r="CZL553" s="178"/>
      <c r="CZM553" s="178"/>
      <c r="CZN553" s="178"/>
      <c r="CZO553" s="178"/>
      <c r="CZP553" s="178"/>
      <c r="CZQ553" s="178"/>
      <c r="CZR553" s="178"/>
      <c r="CZS553" s="178"/>
      <c r="CZT553" s="178"/>
      <c r="CZU553" s="178"/>
      <c r="CZV553" s="178"/>
      <c r="CZW553" s="178"/>
      <c r="CZX553" s="178"/>
      <c r="CZY553" s="178"/>
      <c r="CZZ553" s="178"/>
      <c r="DAA553" s="178"/>
      <c r="DAB553" s="178"/>
      <c r="DAC553" s="178"/>
      <c r="DAD553" s="178"/>
      <c r="DAE553" s="178"/>
      <c r="DAF553" s="178"/>
      <c r="DAG553" s="178"/>
      <c r="DAH553" s="178"/>
      <c r="DAI553" s="178"/>
      <c r="DAJ553" s="178"/>
      <c r="DAK553" s="178"/>
      <c r="DAL553" s="178"/>
      <c r="DAM553" s="178"/>
      <c r="DAN553" s="178"/>
      <c r="DAO553" s="178"/>
      <c r="DAP553" s="178"/>
      <c r="DAQ553" s="178"/>
      <c r="DAR553" s="178"/>
      <c r="DAS553" s="178"/>
      <c r="DAT553" s="178"/>
      <c r="DAU553" s="178"/>
      <c r="DAV553" s="178"/>
      <c r="DAW553" s="178"/>
      <c r="DAX553" s="178"/>
      <c r="DAY553" s="178"/>
      <c r="DAZ553" s="178"/>
      <c r="DBA553" s="178"/>
      <c r="DBB553" s="178"/>
      <c r="DBC553" s="178"/>
      <c r="DBD553" s="178"/>
      <c r="DBE553" s="178"/>
      <c r="DBF553" s="178"/>
      <c r="DBG553" s="178"/>
      <c r="DBH553" s="178"/>
      <c r="DBI553" s="178"/>
      <c r="DBJ553" s="178"/>
      <c r="DBK553" s="178"/>
      <c r="DBL553" s="178"/>
      <c r="DBM553" s="178"/>
      <c r="DBN553" s="178"/>
      <c r="DBO553" s="178"/>
      <c r="DBP553" s="178"/>
      <c r="DBQ553" s="178"/>
      <c r="DBR553" s="178"/>
      <c r="DBS553" s="178"/>
      <c r="DBT553" s="178"/>
      <c r="DBU553" s="178"/>
      <c r="DBV553" s="178"/>
      <c r="DBW553" s="178"/>
      <c r="DBX553" s="178"/>
      <c r="DBY553" s="178"/>
      <c r="DBZ553" s="178"/>
      <c r="DCA553" s="178"/>
      <c r="DCB553" s="178"/>
      <c r="DCC553" s="178"/>
      <c r="DCD553" s="178"/>
      <c r="DCE553" s="178"/>
      <c r="DCF553" s="178"/>
      <c r="DCG553" s="178"/>
      <c r="DCH553" s="178"/>
      <c r="DCI553" s="178"/>
      <c r="DCJ553" s="178"/>
      <c r="DCK553" s="178"/>
      <c r="DCL553" s="178"/>
      <c r="DCM553" s="178"/>
      <c r="DCN553" s="178"/>
      <c r="DCO553" s="178"/>
      <c r="DCP553" s="178"/>
      <c r="DCQ553" s="178"/>
      <c r="DCR553" s="178"/>
      <c r="DCS553" s="178"/>
      <c r="DCT553" s="178"/>
      <c r="DCU553" s="178"/>
      <c r="DCV553" s="178"/>
      <c r="DCW553" s="178"/>
      <c r="DCX553" s="178"/>
      <c r="DCY553" s="178"/>
      <c r="DCZ553" s="178"/>
      <c r="DDA553" s="178"/>
      <c r="DDB553" s="178"/>
      <c r="DDC553" s="178"/>
      <c r="DDD553" s="178"/>
      <c r="DDE553" s="178"/>
      <c r="DDF553" s="178"/>
      <c r="DDG553" s="178"/>
      <c r="DDH553" s="178"/>
      <c r="DDI553" s="178"/>
      <c r="DDJ553" s="178"/>
      <c r="DDK553" s="178"/>
      <c r="DDL553" s="178"/>
      <c r="DDM553" s="178"/>
      <c r="DDN553" s="178"/>
      <c r="DDO553" s="178"/>
      <c r="DDP553" s="178"/>
      <c r="DDQ553" s="178"/>
      <c r="DDR553" s="178"/>
      <c r="DDS553" s="178"/>
      <c r="DDT553" s="178"/>
      <c r="DDU553" s="178"/>
      <c r="DDV553" s="178"/>
      <c r="DDW553" s="178"/>
      <c r="DDX553" s="178"/>
      <c r="DDY553" s="178"/>
      <c r="DDZ553" s="178"/>
      <c r="DEA553" s="178"/>
      <c r="DEB553" s="178"/>
      <c r="DEC553" s="178"/>
      <c r="DED553" s="178"/>
      <c r="DEE553" s="178"/>
      <c r="DEF553" s="178"/>
      <c r="DEG553" s="178"/>
      <c r="DEH553" s="178"/>
      <c r="DEI553" s="178"/>
      <c r="DEJ553" s="178"/>
      <c r="DEK553" s="178"/>
      <c r="DEL553" s="178"/>
      <c r="DEM553" s="178"/>
      <c r="DEN553" s="178"/>
      <c r="DEO553" s="178"/>
      <c r="DEP553" s="178"/>
      <c r="DEQ553" s="178"/>
      <c r="DER553" s="178"/>
      <c r="DES553" s="178"/>
      <c r="DET553" s="178"/>
      <c r="DEU553" s="178"/>
      <c r="DEV553" s="178"/>
      <c r="DEW553" s="178"/>
      <c r="DEX553" s="178"/>
      <c r="DEY553" s="178"/>
      <c r="DEZ553" s="178"/>
      <c r="DFA553" s="178"/>
      <c r="DFB553" s="178"/>
      <c r="DFC553" s="178"/>
      <c r="DFD553" s="178"/>
      <c r="DFE553" s="178"/>
      <c r="DFF553" s="178"/>
      <c r="DFG553" s="178"/>
      <c r="DFH553" s="178"/>
      <c r="DFI553" s="178"/>
      <c r="DFJ553" s="178"/>
      <c r="DFK553" s="178"/>
      <c r="DFL553" s="178"/>
      <c r="DFM553" s="178"/>
      <c r="DFN553" s="178"/>
      <c r="DFO553" s="178"/>
      <c r="DFP553" s="178"/>
      <c r="DFQ553" s="178"/>
      <c r="DFR553" s="178"/>
      <c r="DFS553" s="178"/>
      <c r="DFT553" s="178"/>
      <c r="DFU553" s="178"/>
      <c r="DFV553" s="178"/>
      <c r="DFW553" s="178"/>
      <c r="DFX553" s="178"/>
      <c r="DFY553" s="178"/>
      <c r="DFZ553" s="178"/>
      <c r="DGA553" s="178"/>
      <c r="DGB553" s="178"/>
      <c r="DGC553" s="178"/>
      <c r="DGD553" s="178"/>
      <c r="DGE553" s="178"/>
      <c r="DGF553" s="178"/>
      <c r="DGG553" s="178"/>
      <c r="DGH553" s="178"/>
      <c r="DGI553" s="178"/>
      <c r="DGJ553" s="178"/>
      <c r="DGK553" s="178"/>
      <c r="DGL553" s="178"/>
      <c r="DGM553" s="178"/>
      <c r="DGN553" s="178"/>
      <c r="DGO553" s="178"/>
      <c r="DGP553" s="178"/>
      <c r="DGQ553" s="178"/>
      <c r="DGR553" s="178"/>
      <c r="DGS553" s="178"/>
      <c r="DGT553" s="178"/>
      <c r="DGU553" s="178"/>
      <c r="DGV553" s="178"/>
      <c r="DGW553" s="178"/>
      <c r="DGX553" s="178"/>
      <c r="DGY553" s="178"/>
      <c r="DGZ553" s="178"/>
      <c r="DHA553" s="178"/>
      <c r="DHB553" s="178"/>
      <c r="DHC553" s="178"/>
      <c r="DHD553" s="178"/>
      <c r="DHE553" s="178"/>
      <c r="DHF553" s="178"/>
      <c r="DHG553" s="178"/>
      <c r="DHH553" s="178"/>
      <c r="DHI553" s="178"/>
      <c r="DHJ553" s="178"/>
      <c r="DHK553" s="178"/>
      <c r="DHL553" s="178"/>
      <c r="DHM553" s="178"/>
      <c r="DHN553" s="178"/>
      <c r="DHO553" s="178"/>
      <c r="DHP553" s="178"/>
      <c r="DHQ553" s="178"/>
      <c r="DHR553" s="178"/>
      <c r="DHS553" s="178"/>
      <c r="DHT553" s="178"/>
      <c r="DHU553" s="178"/>
      <c r="DHV553" s="178"/>
      <c r="DHW553" s="178"/>
      <c r="DHX553" s="178"/>
      <c r="DHY553" s="178"/>
      <c r="DHZ553" s="178"/>
      <c r="DIA553" s="178"/>
      <c r="DIB553" s="178"/>
      <c r="DIC553" s="178"/>
      <c r="DID553" s="178"/>
      <c r="DIE553" s="178"/>
      <c r="DIF553" s="178"/>
      <c r="DIG553" s="178"/>
      <c r="DIH553" s="178"/>
      <c r="DII553" s="178"/>
      <c r="DIJ553" s="178"/>
      <c r="DIK553" s="178"/>
      <c r="DIL553" s="178"/>
      <c r="DIM553" s="178"/>
      <c r="DIN553" s="178"/>
      <c r="DIO553" s="178"/>
      <c r="DIP553" s="178"/>
      <c r="DIQ553" s="178"/>
      <c r="DIR553" s="178"/>
      <c r="DIS553" s="178"/>
      <c r="DIT553" s="178"/>
      <c r="DIU553" s="178"/>
      <c r="DIV553" s="178"/>
      <c r="DIW553" s="178"/>
      <c r="DIX553" s="178"/>
      <c r="DIY553" s="178"/>
      <c r="DIZ553" s="178"/>
      <c r="DJA553" s="178"/>
      <c r="DJB553" s="178"/>
      <c r="DJC553" s="178"/>
      <c r="DJD553" s="178"/>
      <c r="DJE553" s="178"/>
      <c r="DJF553" s="178"/>
      <c r="DJG553" s="178"/>
      <c r="DJH553" s="178"/>
      <c r="DJI553" s="178"/>
      <c r="DJJ553" s="178"/>
      <c r="DJK553" s="178"/>
      <c r="DJL553" s="178"/>
      <c r="DJM553" s="178"/>
      <c r="DJN553" s="178"/>
      <c r="DJO553" s="178"/>
      <c r="DJP553" s="178"/>
      <c r="DJQ553" s="178"/>
      <c r="DJR553" s="178"/>
      <c r="DJS553" s="178"/>
      <c r="DJT553" s="178"/>
      <c r="DJU553" s="178"/>
      <c r="DJV553" s="178"/>
      <c r="DJW553" s="178"/>
      <c r="DJX553" s="178"/>
      <c r="DJY553" s="178"/>
      <c r="DJZ553" s="178"/>
      <c r="DKA553" s="178"/>
      <c r="DKB553" s="178"/>
      <c r="DKC553" s="178"/>
      <c r="DKD553" s="178"/>
      <c r="DKE553" s="178"/>
      <c r="DKF553" s="178"/>
      <c r="DKG553" s="178"/>
      <c r="DKH553" s="178"/>
      <c r="DKI553" s="178"/>
      <c r="DKJ553" s="178"/>
      <c r="DKK553" s="178"/>
      <c r="DKL553" s="178"/>
      <c r="DKM553" s="178"/>
      <c r="DKN553" s="178"/>
      <c r="DKO553" s="178"/>
      <c r="DKP553" s="178"/>
      <c r="DKQ553" s="178"/>
      <c r="DKR553" s="178"/>
      <c r="DKS553" s="178"/>
      <c r="DKT553" s="178"/>
      <c r="DKU553" s="178"/>
      <c r="DKV553" s="178"/>
      <c r="DKW553" s="178"/>
      <c r="DKX553" s="178"/>
      <c r="DKY553" s="178"/>
      <c r="DKZ553" s="178"/>
      <c r="DLA553" s="178"/>
      <c r="DLB553" s="178"/>
      <c r="DLC553" s="178"/>
      <c r="DLD553" s="178"/>
      <c r="DLE553" s="178"/>
      <c r="DLF553" s="178"/>
      <c r="DLG553" s="178"/>
      <c r="DLH553" s="178"/>
      <c r="DLI553" s="178"/>
      <c r="DLJ553" s="178"/>
      <c r="DLK553" s="178"/>
      <c r="DLL553" s="178"/>
      <c r="DLM553" s="178"/>
      <c r="DLN553" s="178"/>
      <c r="DLO553" s="178"/>
      <c r="DLP553" s="178"/>
      <c r="DLQ553" s="178"/>
      <c r="DLR553" s="178"/>
      <c r="DLS553" s="178"/>
      <c r="DLT553" s="178"/>
      <c r="DLU553" s="178"/>
      <c r="DLV553" s="178"/>
      <c r="DLW553" s="178"/>
      <c r="DLX553" s="178"/>
      <c r="DLY553" s="178"/>
      <c r="DLZ553" s="178"/>
      <c r="DMA553" s="178"/>
      <c r="DMB553" s="178"/>
      <c r="DMC553" s="178"/>
      <c r="DMD553" s="178"/>
      <c r="DME553" s="178"/>
      <c r="DMF553" s="178"/>
      <c r="DMG553" s="178"/>
      <c r="DMH553" s="178"/>
      <c r="DMI553" s="178"/>
      <c r="DMJ553" s="178"/>
      <c r="DMK553" s="178"/>
      <c r="DML553" s="178"/>
      <c r="DMM553" s="178"/>
      <c r="DMN553" s="178"/>
      <c r="DMO553" s="178"/>
      <c r="DMP553" s="178"/>
      <c r="DMQ553" s="178"/>
      <c r="DMR553" s="178"/>
      <c r="DMS553" s="178"/>
      <c r="DMT553" s="178"/>
      <c r="DMU553" s="178"/>
      <c r="DMV553" s="178"/>
      <c r="DMW553" s="178"/>
      <c r="DMX553" s="178"/>
      <c r="DMY553" s="178"/>
      <c r="DMZ553" s="178"/>
      <c r="DNA553" s="178"/>
      <c r="DNB553" s="178"/>
      <c r="DNC553" s="178"/>
      <c r="DND553" s="178"/>
      <c r="DNE553" s="178"/>
      <c r="DNF553" s="178"/>
      <c r="DNG553" s="178"/>
      <c r="DNH553" s="178"/>
      <c r="DNI553" s="178"/>
      <c r="DNJ553" s="178"/>
      <c r="DNK553" s="178"/>
      <c r="DNL553" s="178"/>
      <c r="DNM553" s="178"/>
      <c r="DNN553" s="178"/>
      <c r="DNO553" s="178"/>
      <c r="DNP553" s="178"/>
      <c r="DNQ553" s="178"/>
      <c r="DNR553" s="178"/>
      <c r="DNS553" s="178"/>
      <c r="DNT553" s="178"/>
      <c r="DNU553" s="178"/>
      <c r="DNV553" s="178"/>
      <c r="DNW553" s="178"/>
      <c r="DNX553" s="178"/>
      <c r="DNY553" s="178"/>
      <c r="DNZ553" s="178"/>
      <c r="DOA553" s="178"/>
      <c r="DOB553" s="178"/>
      <c r="DOC553" s="178"/>
      <c r="DOD553" s="178"/>
      <c r="DOE553" s="178"/>
      <c r="DOF553" s="178"/>
      <c r="DOG553" s="178"/>
      <c r="DOH553" s="178"/>
      <c r="DOI553" s="178"/>
      <c r="DOJ553" s="178"/>
      <c r="DOK553" s="178"/>
      <c r="DOL553" s="178"/>
      <c r="DOM553" s="178"/>
      <c r="DON553" s="178"/>
      <c r="DOO553" s="178"/>
      <c r="DOP553" s="178"/>
      <c r="DOQ553" s="178"/>
      <c r="DOR553" s="178"/>
      <c r="DOS553" s="178"/>
      <c r="DOT553" s="178"/>
      <c r="DOU553" s="178"/>
      <c r="DOV553" s="178"/>
      <c r="DOW553" s="178"/>
      <c r="DOX553" s="178"/>
      <c r="DOY553" s="178"/>
      <c r="DOZ553" s="178"/>
      <c r="DPA553" s="178"/>
      <c r="DPB553" s="178"/>
      <c r="DPC553" s="178"/>
      <c r="DPD553" s="178"/>
      <c r="DPE553" s="178"/>
      <c r="DPF553" s="178"/>
      <c r="DPG553" s="178"/>
      <c r="DPH553" s="178"/>
      <c r="DPI553" s="178"/>
      <c r="DPJ553" s="178"/>
      <c r="DPK553" s="178"/>
      <c r="DPL553" s="178"/>
      <c r="DPM553" s="178"/>
      <c r="DPN553" s="178"/>
      <c r="DPO553" s="178"/>
      <c r="DPP553" s="178"/>
      <c r="DPQ553" s="178"/>
      <c r="DPR553" s="178"/>
      <c r="DPS553" s="178"/>
      <c r="DPT553" s="178"/>
      <c r="DPU553" s="178"/>
      <c r="DPV553" s="178"/>
      <c r="DPW553" s="178"/>
      <c r="DPX553" s="178"/>
      <c r="DPY553" s="178"/>
      <c r="DPZ553" s="178"/>
      <c r="DQA553" s="178"/>
      <c r="DQB553" s="178"/>
      <c r="DQC553" s="178"/>
      <c r="DQD553" s="178"/>
      <c r="DQE553" s="178"/>
      <c r="DQF553" s="178"/>
      <c r="DQG553" s="178"/>
      <c r="DQH553" s="178"/>
      <c r="DQI553" s="178"/>
      <c r="DQJ553" s="178"/>
      <c r="DQK553" s="178"/>
      <c r="DQL553" s="178"/>
      <c r="DQM553" s="178"/>
      <c r="DQN553" s="178"/>
      <c r="DQO553" s="178"/>
      <c r="DQP553" s="178"/>
      <c r="DQQ553" s="178"/>
      <c r="DQR553" s="178"/>
      <c r="DQS553" s="178"/>
      <c r="DQT553" s="178"/>
      <c r="DQU553" s="178"/>
      <c r="DQV553" s="178"/>
      <c r="DQW553" s="178"/>
      <c r="DQX553" s="178"/>
      <c r="DQY553" s="178"/>
      <c r="DQZ553" s="178"/>
      <c r="DRA553" s="178"/>
      <c r="DRB553" s="178"/>
      <c r="DRC553" s="178"/>
      <c r="DRD553" s="178"/>
      <c r="DRE553" s="178"/>
      <c r="DRF553" s="178"/>
      <c r="DRG553" s="178"/>
      <c r="DRH553" s="178"/>
      <c r="DRI553" s="178"/>
      <c r="DRJ553" s="178"/>
      <c r="DRK553" s="178"/>
      <c r="DRL553" s="178"/>
      <c r="DRM553" s="178"/>
      <c r="DRN553" s="178"/>
      <c r="DRO553" s="178"/>
      <c r="DRP553" s="178"/>
      <c r="DRQ553" s="178"/>
      <c r="DRR553" s="178"/>
      <c r="DRS553" s="178"/>
      <c r="DRT553" s="178"/>
      <c r="DRU553" s="178"/>
      <c r="DRV553" s="178"/>
      <c r="DRW553" s="178"/>
      <c r="DRX553" s="178"/>
      <c r="DRY553" s="178"/>
      <c r="DRZ553" s="178"/>
      <c r="DSA553" s="178"/>
      <c r="DSB553" s="178"/>
      <c r="DSC553" s="178"/>
      <c r="DSD553" s="178"/>
      <c r="DSE553" s="178"/>
      <c r="DSF553" s="178"/>
      <c r="DSG553" s="178"/>
      <c r="DSH553" s="178"/>
      <c r="DSI553" s="178"/>
      <c r="DSJ553" s="178"/>
      <c r="DSK553" s="178"/>
      <c r="DSL553" s="178"/>
      <c r="DSM553" s="178"/>
      <c r="DSN553" s="178"/>
      <c r="DSO553" s="178"/>
      <c r="DSP553" s="178"/>
      <c r="DSQ553" s="178"/>
      <c r="DSR553" s="178"/>
      <c r="DSS553" s="178"/>
      <c r="DST553" s="178"/>
      <c r="DSU553" s="178"/>
      <c r="DSV553" s="178"/>
      <c r="DSW553" s="178"/>
      <c r="DSX553" s="178"/>
      <c r="DSY553" s="178"/>
      <c r="DSZ553" s="178"/>
      <c r="DTA553" s="178"/>
      <c r="DTB553" s="178"/>
      <c r="DTC553" s="178"/>
      <c r="DTD553" s="178"/>
      <c r="DTE553" s="178"/>
      <c r="DTF553" s="178"/>
      <c r="DTG553" s="178"/>
      <c r="DTH553" s="178"/>
      <c r="DTI553" s="178"/>
      <c r="DTJ553" s="178"/>
      <c r="DTK553" s="178"/>
      <c r="DTL553" s="178"/>
      <c r="DTM553" s="178"/>
      <c r="DTN553" s="178"/>
      <c r="DTO553" s="178"/>
      <c r="DTP553" s="178"/>
      <c r="DTQ553" s="178"/>
      <c r="DTR553" s="178"/>
      <c r="DTS553" s="178"/>
      <c r="DTT553" s="178"/>
      <c r="DTU553" s="178"/>
      <c r="DTV553" s="178"/>
      <c r="DTW553" s="178"/>
      <c r="DTX553" s="178"/>
      <c r="DTY553" s="178"/>
      <c r="DTZ553" s="178"/>
      <c r="DUA553" s="178"/>
      <c r="DUB553" s="178"/>
      <c r="DUC553" s="178"/>
      <c r="DUD553" s="178"/>
      <c r="DUE553" s="178"/>
      <c r="DUF553" s="178"/>
      <c r="DUG553" s="178"/>
      <c r="DUH553" s="178"/>
      <c r="DUI553" s="178"/>
      <c r="DUJ553" s="178"/>
      <c r="DUK553" s="178"/>
      <c r="DUL553" s="178"/>
      <c r="DUM553" s="178"/>
      <c r="DUN553" s="178"/>
      <c r="DUO553" s="178"/>
      <c r="DUP553" s="178"/>
      <c r="DUQ553" s="178"/>
      <c r="DUR553" s="178"/>
      <c r="DUS553" s="178"/>
      <c r="DUT553" s="178"/>
      <c r="DUU553" s="178"/>
      <c r="DUV553" s="178"/>
      <c r="DUW553" s="178"/>
      <c r="DUX553" s="178"/>
      <c r="DUY553" s="178"/>
      <c r="DUZ553" s="178"/>
      <c r="DVA553" s="178"/>
      <c r="DVB553" s="178"/>
      <c r="DVC553" s="178"/>
      <c r="DVD553" s="178"/>
      <c r="DVE553" s="178"/>
      <c r="DVF553" s="178"/>
      <c r="DVG553" s="178"/>
      <c r="DVH553" s="178"/>
      <c r="DVI553" s="178"/>
      <c r="DVJ553" s="178"/>
      <c r="DVK553" s="178"/>
      <c r="DVL553" s="178"/>
      <c r="DVM553" s="178"/>
      <c r="DVN553" s="178"/>
      <c r="DVO553" s="178"/>
      <c r="DVP553" s="178"/>
      <c r="DVQ553" s="178"/>
      <c r="DVR553" s="178"/>
      <c r="DVS553" s="178"/>
      <c r="DVT553" s="178"/>
      <c r="DVU553" s="178"/>
      <c r="DVV553" s="178"/>
      <c r="DVW553" s="178"/>
      <c r="DVX553" s="178"/>
      <c r="DVY553" s="178"/>
      <c r="DVZ553" s="178"/>
      <c r="DWA553" s="178"/>
      <c r="DWB553" s="178"/>
      <c r="DWC553" s="178"/>
      <c r="DWD553" s="178"/>
      <c r="DWE553" s="178"/>
      <c r="DWF553" s="178"/>
      <c r="DWG553" s="178"/>
      <c r="DWH553" s="178"/>
      <c r="DWI553" s="178"/>
      <c r="DWJ553" s="178"/>
      <c r="DWK553" s="178"/>
      <c r="DWL553" s="178"/>
      <c r="DWM553" s="178"/>
      <c r="DWN553" s="178"/>
      <c r="DWO553" s="178"/>
      <c r="DWP553" s="178"/>
      <c r="DWQ553" s="178"/>
      <c r="DWR553" s="178"/>
      <c r="DWS553" s="178"/>
      <c r="DWT553" s="178"/>
      <c r="DWU553" s="178"/>
      <c r="DWV553" s="178"/>
      <c r="DWW553" s="178"/>
      <c r="DWX553" s="178"/>
      <c r="DWY553" s="178"/>
      <c r="DWZ553" s="178"/>
      <c r="DXA553" s="178"/>
      <c r="DXB553" s="178"/>
      <c r="DXC553" s="178"/>
      <c r="DXD553" s="178"/>
      <c r="DXE553" s="178"/>
      <c r="DXF553" s="178"/>
      <c r="DXG553" s="178"/>
      <c r="DXH553" s="178"/>
      <c r="DXI553" s="178"/>
      <c r="DXJ553" s="178"/>
      <c r="DXK553" s="178"/>
      <c r="DXL553" s="178"/>
      <c r="DXM553" s="178"/>
      <c r="DXN553" s="178"/>
      <c r="DXO553" s="178"/>
      <c r="DXP553" s="178"/>
      <c r="DXQ553" s="178"/>
      <c r="DXR553" s="178"/>
      <c r="DXS553" s="178"/>
      <c r="DXT553" s="178"/>
      <c r="DXU553" s="178"/>
      <c r="DXV553" s="178"/>
      <c r="DXW553" s="178"/>
      <c r="DXX553" s="178"/>
      <c r="DXY553" s="178"/>
      <c r="DXZ553" s="178"/>
      <c r="DYA553" s="178"/>
      <c r="DYB553" s="178"/>
      <c r="DYC553" s="178"/>
      <c r="DYD553" s="178"/>
      <c r="DYE553" s="178"/>
      <c r="DYF553" s="178"/>
      <c r="DYG553" s="178"/>
      <c r="DYH553" s="178"/>
      <c r="DYI553" s="178"/>
      <c r="DYJ553" s="178"/>
      <c r="DYK553" s="178"/>
      <c r="DYL553" s="178"/>
      <c r="DYM553" s="178"/>
      <c r="DYN553" s="178"/>
      <c r="DYO553" s="178"/>
      <c r="DYP553" s="178"/>
      <c r="DYQ553" s="178"/>
      <c r="DYR553" s="178"/>
      <c r="DYS553" s="178"/>
      <c r="DYT553" s="178"/>
      <c r="DYU553" s="178"/>
      <c r="DYV553" s="178"/>
      <c r="DYW553" s="178"/>
      <c r="DYX553" s="178"/>
      <c r="DYY553" s="178"/>
      <c r="DYZ553" s="178"/>
      <c r="DZA553" s="178"/>
      <c r="DZB553" s="178"/>
      <c r="DZC553" s="178"/>
      <c r="DZD553" s="178"/>
      <c r="DZE553" s="178"/>
      <c r="DZF553" s="178"/>
      <c r="DZG553" s="178"/>
      <c r="DZH553" s="178"/>
      <c r="DZI553" s="178"/>
      <c r="DZJ553" s="178"/>
      <c r="DZK553" s="178"/>
      <c r="DZL553" s="178"/>
      <c r="DZM553" s="178"/>
      <c r="DZN553" s="178"/>
      <c r="DZO553" s="178"/>
      <c r="DZP553" s="178"/>
      <c r="DZQ553" s="178"/>
      <c r="DZR553" s="178"/>
      <c r="DZS553" s="178"/>
      <c r="DZT553" s="178"/>
      <c r="DZU553" s="178"/>
      <c r="DZV553" s="178"/>
      <c r="DZW553" s="178"/>
      <c r="DZX553" s="178"/>
      <c r="DZY553" s="178"/>
      <c r="DZZ553" s="178"/>
      <c r="EAA553" s="178"/>
      <c r="EAB553" s="178"/>
      <c r="EAC553" s="178"/>
      <c r="EAD553" s="178"/>
      <c r="EAE553" s="178"/>
      <c r="EAF553" s="178"/>
      <c r="EAG553" s="178"/>
      <c r="EAH553" s="178"/>
      <c r="EAI553" s="178"/>
      <c r="EAJ553" s="178"/>
      <c r="EAK553" s="178"/>
      <c r="EAL553" s="178"/>
      <c r="EAM553" s="178"/>
      <c r="EAN553" s="178"/>
      <c r="EAO553" s="178"/>
      <c r="EAP553" s="178"/>
      <c r="EAQ553" s="178"/>
      <c r="EAR553" s="178"/>
      <c r="EAS553" s="178"/>
      <c r="EAT553" s="178"/>
      <c r="EAU553" s="178"/>
      <c r="EAV553" s="178"/>
      <c r="EAW553" s="178"/>
      <c r="EAX553" s="178"/>
      <c r="EAY553" s="178"/>
      <c r="EAZ553" s="178"/>
      <c r="EBA553" s="178"/>
      <c r="EBB553" s="178"/>
      <c r="EBC553" s="178"/>
      <c r="EBD553" s="178"/>
      <c r="EBE553" s="178"/>
      <c r="EBF553" s="178"/>
      <c r="EBG553" s="178"/>
      <c r="EBH553" s="178"/>
      <c r="EBI553" s="178"/>
      <c r="EBJ553" s="178"/>
      <c r="EBK553" s="178"/>
      <c r="EBL553" s="178"/>
      <c r="EBM553" s="178"/>
      <c r="EBN553" s="178"/>
      <c r="EBO553" s="178"/>
      <c r="EBP553" s="178"/>
      <c r="EBQ553" s="178"/>
      <c r="EBR553" s="178"/>
      <c r="EBS553" s="178"/>
      <c r="EBT553" s="178"/>
      <c r="EBU553" s="178"/>
      <c r="EBV553" s="178"/>
      <c r="EBW553" s="178"/>
      <c r="EBX553" s="178"/>
      <c r="EBY553" s="178"/>
      <c r="EBZ553" s="178"/>
      <c r="ECA553" s="178"/>
      <c r="ECB553" s="178"/>
      <c r="ECC553" s="178"/>
      <c r="ECD553" s="178"/>
      <c r="ECE553" s="178"/>
      <c r="ECF553" s="178"/>
      <c r="ECG553" s="178"/>
      <c r="ECH553" s="178"/>
      <c r="ECI553" s="178"/>
      <c r="ECJ553" s="178"/>
      <c r="ECK553" s="178"/>
      <c r="ECL553" s="178"/>
      <c r="ECM553" s="178"/>
      <c r="ECN553" s="178"/>
      <c r="ECO553" s="178"/>
      <c r="ECP553" s="178"/>
      <c r="ECQ553" s="178"/>
      <c r="ECR553" s="178"/>
      <c r="ECS553" s="178"/>
      <c r="ECT553" s="178"/>
      <c r="ECU553" s="178"/>
      <c r="ECV553" s="178"/>
      <c r="ECW553" s="178"/>
      <c r="ECX553" s="178"/>
      <c r="ECY553" s="178"/>
      <c r="ECZ553" s="178"/>
      <c r="EDA553" s="178"/>
      <c r="EDB553" s="178"/>
      <c r="EDC553" s="178"/>
      <c r="EDD553" s="178"/>
      <c r="EDE553" s="178"/>
      <c r="EDF553" s="178"/>
      <c r="EDG553" s="178"/>
      <c r="EDH553" s="178"/>
      <c r="EDI553" s="178"/>
      <c r="EDJ553" s="178"/>
      <c r="EDK553" s="178"/>
      <c r="EDL553" s="178"/>
      <c r="EDM553" s="178"/>
      <c r="EDN553" s="178"/>
      <c r="EDO553" s="178"/>
      <c r="EDP553" s="178"/>
      <c r="EDQ553" s="178"/>
      <c r="EDR553" s="178"/>
      <c r="EDS553" s="178"/>
      <c r="EDT553" s="178"/>
      <c r="EDU553" s="178"/>
      <c r="EDV553" s="178"/>
      <c r="EDW553" s="178"/>
      <c r="EDX553" s="178"/>
      <c r="EDY553" s="178"/>
      <c r="EDZ553" s="178"/>
      <c r="EEA553" s="178"/>
      <c r="EEB553" s="178"/>
      <c r="EEC553" s="178"/>
      <c r="EED553" s="178"/>
      <c r="EEE553" s="178"/>
      <c r="EEF553" s="178"/>
      <c r="EEG553" s="178"/>
      <c r="EEH553" s="178"/>
      <c r="EEI553" s="178"/>
      <c r="EEJ553" s="178"/>
      <c r="EEK553" s="178"/>
      <c r="EEL553" s="178"/>
      <c r="EEM553" s="178"/>
      <c r="EEN553" s="178"/>
      <c r="EEO553" s="178"/>
      <c r="EEP553" s="178"/>
      <c r="EEQ553" s="178"/>
      <c r="EER553" s="178"/>
      <c r="EES553" s="178"/>
      <c r="EET553" s="178"/>
      <c r="EEU553" s="178"/>
      <c r="EEV553" s="178"/>
      <c r="EEW553" s="178"/>
      <c r="EEX553" s="178"/>
      <c r="EEY553" s="178"/>
      <c r="EEZ553" s="178"/>
      <c r="EFA553" s="178"/>
      <c r="EFB553" s="178"/>
      <c r="EFC553" s="178"/>
      <c r="EFD553" s="178"/>
      <c r="EFE553" s="178"/>
      <c r="EFF553" s="178"/>
      <c r="EFG553" s="178"/>
      <c r="EFH553" s="178"/>
      <c r="EFI553" s="178"/>
      <c r="EFJ553" s="178"/>
      <c r="EFK553" s="178"/>
      <c r="EFL553" s="178"/>
      <c r="EFM553" s="178"/>
      <c r="EFN553" s="178"/>
      <c r="EFO553" s="178"/>
      <c r="EFP553" s="178"/>
      <c r="EFQ553" s="178"/>
      <c r="EFR553" s="178"/>
      <c r="EFS553" s="178"/>
      <c r="EFT553" s="178"/>
      <c r="EFU553" s="178"/>
      <c r="EFV553" s="178"/>
      <c r="EFW553" s="178"/>
      <c r="EFX553" s="178"/>
      <c r="EFY553" s="178"/>
      <c r="EFZ553" s="178"/>
      <c r="EGA553" s="178"/>
      <c r="EGB553" s="178"/>
      <c r="EGC553" s="178"/>
      <c r="EGD553" s="178"/>
      <c r="EGE553" s="178"/>
      <c r="EGF553" s="178"/>
      <c r="EGG553" s="178"/>
      <c r="EGH553" s="178"/>
      <c r="EGI553" s="178"/>
      <c r="EGJ553" s="178"/>
      <c r="EGK553" s="178"/>
      <c r="EGL553" s="178"/>
      <c r="EGM553" s="178"/>
      <c r="EGN553" s="178"/>
      <c r="EGO553" s="178"/>
      <c r="EGP553" s="178"/>
      <c r="EGQ553" s="178"/>
      <c r="EGR553" s="178"/>
      <c r="EGS553" s="178"/>
      <c r="EGT553" s="178"/>
      <c r="EGU553" s="178"/>
      <c r="EGV553" s="178"/>
      <c r="EGW553" s="178"/>
      <c r="EGX553" s="178"/>
      <c r="EGY553" s="178"/>
      <c r="EGZ553" s="178"/>
      <c r="EHA553" s="178"/>
      <c r="EHB553" s="178"/>
      <c r="EHC553" s="178"/>
      <c r="EHD553" s="178"/>
      <c r="EHE553" s="178"/>
      <c r="EHF553" s="178"/>
      <c r="EHG553" s="178"/>
      <c r="EHH553" s="178"/>
      <c r="EHI553" s="178"/>
      <c r="EHJ553" s="178"/>
      <c r="EHK553" s="178"/>
      <c r="EHL553" s="178"/>
      <c r="EHM553" s="178"/>
      <c r="EHN553" s="178"/>
      <c r="EHO553" s="178"/>
      <c r="EHP553" s="178"/>
      <c r="EHQ553" s="178"/>
      <c r="EHR553" s="178"/>
      <c r="EHS553" s="178"/>
      <c r="EHT553" s="178"/>
      <c r="EHU553" s="178"/>
      <c r="EHV553" s="178"/>
      <c r="EHW553" s="178"/>
      <c r="EHX553" s="178"/>
      <c r="EHY553" s="178"/>
      <c r="EHZ553" s="178"/>
      <c r="EIA553" s="178"/>
      <c r="EIB553" s="178"/>
      <c r="EIC553" s="178"/>
      <c r="EID553" s="178"/>
      <c r="EIE553" s="178"/>
      <c r="EIF553" s="178"/>
      <c r="EIG553" s="178"/>
      <c r="EIH553" s="178"/>
      <c r="EII553" s="178"/>
      <c r="EIJ553" s="178"/>
      <c r="EIK553" s="178"/>
      <c r="EIL553" s="178"/>
      <c r="EIM553" s="178"/>
      <c r="EIN553" s="178"/>
      <c r="EIO553" s="178"/>
      <c r="EIP553" s="178"/>
      <c r="EIQ553" s="178"/>
      <c r="EIR553" s="178"/>
      <c r="EIS553" s="178"/>
      <c r="EIT553" s="178"/>
      <c r="EIU553" s="178"/>
      <c r="EIV553" s="178"/>
      <c r="EIW553" s="178"/>
      <c r="EIX553" s="178"/>
      <c r="EIY553" s="178"/>
      <c r="EIZ553" s="178"/>
      <c r="EJA553" s="178"/>
      <c r="EJB553" s="178"/>
      <c r="EJC553" s="178"/>
      <c r="EJD553" s="178"/>
      <c r="EJE553" s="178"/>
      <c r="EJF553" s="178"/>
      <c r="EJG553" s="178"/>
      <c r="EJH553" s="178"/>
      <c r="EJI553" s="178"/>
      <c r="EJJ553" s="178"/>
      <c r="EJK553" s="178"/>
      <c r="EJL553" s="178"/>
      <c r="EJM553" s="178"/>
      <c r="EJN553" s="178"/>
      <c r="EJO553" s="178"/>
      <c r="EJP553" s="178"/>
      <c r="EJQ553" s="178"/>
      <c r="EJR553" s="178"/>
      <c r="EJS553" s="178"/>
      <c r="EJT553" s="178"/>
      <c r="EJU553" s="178"/>
      <c r="EJV553" s="178"/>
      <c r="EJW553" s="178"/>
      <c r="EJX553" s="178"/>
      <c r="EJY553" s="178"/>
      <c r="EJZ553" s="178"/>
      <c r="EKA553" s="178"/>
      <c r="EKB553" s="178"/>
      <c r="EKC553" s="178"/>
      <c r="EKD553" s="178"/>
      <c r="EKE553" s="178"/>
      <c r="EKF553" s="178"/>
      <c r="EKG553" s="178"/>
      <c r="EKH553" s="178"/>
      <c r="EKI553" s="178"/>
      <c r="EKJ553" s="178"/>
      <c r="EKK553" s="178"/>
      <c r="EKL553" s="178"/>
      <c r="EKM553" s="178"/>
      <c r="EKN553" s="178"/>
      <c r="EKO553" s="178"/>
      <c r="EKP553" s="178"/>
      <c r="EKQ553" s="178"/>
      <c r="EKR553" s="178"/>
      <c r="EKS553" s="178"/>
      <c r="EKT553" s="178"/>
      <c r="EKU553" s="178"/>
      <c r="EKV553" s="178"/>
      <c r="EKW553" s="178"/>
      <c r="EKX553" s="178"/>
      <c r="EKY553" s="178"/>
      <c r="EKZ553" s="178"/>
      <c r="ELA553" s="178"/>
      <c r="ELB553" s="178"/>
      <c r="ELC553" s="178"/>
      <c r="ELD553" s="178"/>
      <c r="ELE553" s="178"/>
      <c r="ELF553" s="178"/>
      <c r="ELG553" s="178"/>
      <c r="ELH553" s="178"/>
      <c r="ELI553" s="178"/>
      <c r="ELJ553" s="178"/>
      <c r="ELK553" s="178"/>
      <c r="ELL553" s="178"/>
      <c r="ELM553" s="178"/>
      <c r="ELN553" s="178"/>
      <c r="ELO553" s="178"/>
      <c r="ELP553" s="178"/>
      <c r="ELQ553" s="178"/>
      <c r="ELR553" s="178"/>
      <c r="ELS553" s="178"/>
      <c r="ELT553" s="178"/>
      <c r="ELU553" s="178"/>
      <c r="ELV553" s="178"/>
      <c r="ELW553" s="178"/>
      <c r="ELX553" s="178"/>
      <c r="ELY553" s="178"/>
      <c r="ELZ553" s="178"/>
      <c r="EMA553" s="178"/>
      <c r="EMB553" s="178"/>
      <c r="EMC553" s="178"/>
      <c r="EMD553" s="178"/>
      <c r="EME553" s="178"/>
      <c r="EMF553" s="178"/>
      <c r="EMG553" s="178"/>
      <c r="EMH553" s="178"/>
      <c r="EMI553" s="178"/>
      <c r="EMJ553" s="178"/>
      <c r="EMK553" s="178"/>
      <c r="EML553" s="178"/>
      <c r="EMM553" s="178"/>
      <c r="EMN553" s="178"/>
      <c r="EMO553" s="178"/>
      <c r="EMP553" s="178"/>
      <c r="EMQ553" s="178"/>
      <c r="EMR553" s="178"/>
      <c r="EMS553" s="178"/>
      <c r="EMT553" s="178"/>
      <c r="EMU553" s="178"/>
      <c r="EMV553" s="178"/>
      <c r="EMW553" s="178"/>
      <c r="EMX553" s="178"/>
      <c r="EMY553" s="178"/>
      <c r="EMZ553" s="178"/>
      <c r="ENA553" s="178"/>
      <c r="ENB553" s="178"/>
      <c r="ENC553" s="178"/>
      <c r="END553" s="178"/>
      <c r="ENE553" s="178"/>
      <c r="ENF553" s="178"/>
      <c r="ENG553" s="178"/>
      <c r="ENH553" s="178"/>
      <c r="ENI553" s="178"/>
      <c r="ENJ553" s="178"/>
      <c r="ENK553" s="178"/>
      <c r="ENL553" s="178"/>
      <c r="ENM553" s="178"/>
      <c r="ENN553" s="178"/>
      <c r="ENO553" s="178"/>
      <c r="ENP553" s="178"/>
      <c r="ENQ553" s="178"/>
      <c r="ENR553" s="178"/>
      <c r="ENS553" s="178"/>
      <c r="ENT553" s="178"/>
      <c r="ENU553" s="178"/>
      <c r="ENV553" s="178"/>
      <c r="ENW553" s="178"/>
      <c r="ENX553" s="178"/>
      <c r="ENY553" s="178"/>
      <c r="ENZ553" s="178"/>
      <c r="EOA553" s="178"/>
      <c r="EOB553" s="178"/>
      <c r="EOC553" s="178"/>
      <c r="EOD553" s="178"/>
      <c r="EOE553" s="178"/>
      <c r="EOF553" s="178"/>
      <c r="EOG553" s="178"/>
      <c r="EOH553" s="178"/>
      <c r="EOI553" s="178"/>
      <c r="EOJ553" s="178"/>
      <c r="EOK553" s="178"/>
      <c r="EOL553" s="178"/>
      <c r="EOM553" s="178"/>
      <c r="EON553" s="178"/>
      <c r="EOO553" s="178"/>
      <c r="EOP553" s="178"/>
      <c r="EOQ553" s="178"/>
      <c r="EOR553" s="178"/>
      <c r="EOS553" s="178"/>
      <c r="EOT553" s="178"/>
      <c r="EOU553" s="178"/>
      <c r="EOV553" s="178"/>
      <c r="EOW553" s="178"/>
      <c r="EOX553" s="178"/>
      <c r="EOY553" s="178"/>
      <c r="EOZ553" s="178"/>
      <c r="EPA553" s="178"/>
      <c r="EPB553" s="178"/>
      <c r="EPC553" s="178"/>
      <c r="EPD553" s="178"/>
      <c r="EPE553" s="178"/>
      <c r="EPF553" s="178"/>
      <c r="EPG553" s="178"/>
      <c r="EPH553" s="178"/>
      <c r="EPI553" s="178"/>
      <c r="EPJ553" s="178"/>
      <c r="EPK553" s="178"/>
      <c r="EPL553" s="178"/>
      <c r="EPM553" s="178"/>
      <c r="EPN553" s="178"/>
      <c r="EPO553" s="178"/>
      <c r="EPP553" s="178"/>
      <c r="EPQ553" s="178"/>
      <c r="EPR553" s="178"/>
      <c r="EPS553" s="178"/>
      <c r="EPT553" s="178"/>
      <c r="EPU553" s="178"/>
      <c r="EPV553" s="178"/>
      <c r="EPW553" s="178"/>
      <c r="EPX553" s="178"/>
      <c r="EPY553" s="178"/>
      <c r="EPZ553" s="178"/>
      <c r="EQA553" s="178"/>
      <c r="EQB553" s="178"/>
      <c r="EQC553" s="178"/>
      <c r="EQD553" s="178"/>
      <c r="EQE553" s="178"/>
      <c r="EQF553" s="178"/>
      <c r="EQG553" s="178"/>
      <c r="EQH553" s="178"/>
      <c r="EQI553" s="178"/>
      <c r="EQJ553" s="178"/>
      <c r="EQK553" s="178"/>
      <c r="EQL553" s="178"/>
      <c r="EQM553" s="178"/>
      <c r="EQN553" s="178"/>
      <c r="EQO553" s="178"/>
      <c r="EQP553" s="178"/>
      <c r="EQQ553" s="178"/>
      <c r="EQR553" s="178"/>
      <c r="EQS553" s="178"/>
      <c r="EQT553" s="178"/>
      <c r="EQU553" s="178"/>
      <c r="EQV553" s="178"/>
      <c r="EQW553" s="178"/>
      <c r="EQX553" s="178"/>
      <c r="EQY553" s="178"/>
      <c r="EQZ553" s="178"/>
      <c r="ERA553" s="178"/>
      <c r="ERB553" s="178"/>
      <c r="ERC553" s="178"/>
      <c r="ERD553" s="178"/>
      <c r="ERE553" s="178"/>
      <c r="ERF553" s="178"/>
      <c r="ERG553" s="178"/>
      <c r="ERH553" s="178"/>
      <c r="ERI553" s="178"/>
      <c r="ERJ553" s="178"/>
      <c r="ERK553" s="178"/>
      <c r="ERL553" s="178"/>
      <c r="ERM553" s="178"/>
      <c r="ERN553" s="178"/>
      <c r="ERO553" s="178"/>
      <c r="ERP553" s="178"/>
      <c r="ERQ553" s="178"/>
      <c r="ERR553" s="178"/>
      <c r="ERS553" s="178"/>
      <c r="ERT553" s="178"/>
      <c r="ERU553" s="178"/>
      <c r="ERV553" s="178"/>
      <c r="ERW553" s="178"/>
      <c r="ERX553" s="178"/>
      <c r="ERY553" s="178"/>
      <c r="ERZ553" s="178"/>
      <c r="ESA553" s="178"/>
      <c r="ESB553" s="178"/>
      <c r="ESC553" s="178"/>
      <c r="ESD553" s="178"/>
      <c r="ESE553" s="178"/>
      <c r="ESF553" s="178"/>
      <c r="ESG553" s="178"/>
      <c r="ESH553" s="178"/>
      <c r="ESI553" s="178"/>
      <c r="ESJ553" s="178"/>
      <c r="ESK553" s="178"/>
      <c r="ESL553" s="178"/>
      <c r="ESM553" s="178"/>
      <c r="ESN553" s="178"/>
      <c r="ESO553" s="178"/>
      <c r="ESP553" s="178"/>
      <c r="ESQ553" s="178"/>
      <c r="ESR553" s="178"/>
      <c r="ESS553" s="178"/>
      <c r="EST553" s="178"/>
      <c r="ESU553" s="178"/>
      <c r="ESV553" s="178"/>
      <c r="ESW553" s="178"/>
      <c r="ESX553" s="178"/>
      <c r="ESY553" s="178"/>
      <c r="ESZ553" s="178"/>
      <c r="ETA553" s="178"/>
      <c r="ETB553" s="178"/>
      <c r="ETC553" s="178"/>
      <c r="ETD553" s="178"/>
      <c r="ETE553" s="178"/>
      <c r="ETF553" s="178"/>
      <c r="ETG553" s="178"/>
      <c r="ETH553" s="178"/>
      <c r="ETI553" s="178"/>
      <c r="ETJ553" s="178"/>
      <c r="ETK553" s="178"/>
      <c r="ETL553" s="178"/>
      <c r="ETM553" s="178"/>
      <c r="ETN553" s="178"/>
      <c r="ETO553" s="178"/>
      <c r="ETP553" s="178"/>
      <c r="ETQ553" s="178"/>
      <c r="ETR553" s="178"/>
      <c r="ETS553" s="178"/>
      <c r="ETT553" s="178"/>
      <c r="ETU553" s="178"/>
      <c r="ETV553" s="178"/>
      <c r="ETW553" s="178"/>
      <c r="ETX553" s="178"/>
      <c r="ETY553" s="178"/>
      <c r="ETZ553" s="178"/>
      <c r="EUA553" s="178"/>
      <c r="EUB553" s="178"/>
      <c r="EUC553" s="178"/>
      <c r="EUD553" s="178"/>
      <c r="EUE553" s="178"/>
      <c r="EUF553" s="178"/>
      <c r="EUG553" s="178"/>
      <c r="EUH553" s="178"/>
      <c r="EUI553" s="178"/>
      <c r="EUJ553" s="178"/>
      <c r="EUK553" s="178"/>
      <c r="EUL553" s="178"/>
      <c r="EUM553" s="178"/>
      <c r="EUN553" s="178"/>
      <c r="EUO553" s="178"/>
      <c r="EUP553" s="178"/>
      <c r="EUQ553" s="178"/>
      <c r="EUR553" s="178"/>
      <c r="EUS553" s="178"/>
      <c r="EUT553" s="178"/>
      <c r="EUU553" s="178"/>
      <c r="EUV553" s="178"/>
      <c r="EUW553" s="178"/>
      <c r="EUX553" s="178"/>
      <c r="EUY553" s="178"/>
      <c r="EUZ553" s="178"/>
      <c r="EVA553" s="178"/>
      <c r="EVB553" s="178"/>
      <c r="EVC553" s="178"/>
      <c r="EVD553" s="178"/>
      <c r="EVE553" s="178"/>
      <c r="EVF553" s="178"/>
      <c r="EVG553" s="178"/>
      <c r="EVH553" s="178"/>
      <c r="EVI553" s="178"/>
      <c r="EVJ553" s="178"/>
      <c r="EVK553" s="178"/>
      <c r="EVL553" s="178"/>
      <c r="EVM553" s="178"/>
      <c r="EVN553" s="178"/>
      <c r="EVO553" s="178"/>
      <c r="EVP553" s="178"/>
      <c r="EVQ553" s="178"/>
      <c r="EVR553" s="178"/>
      <c r="EVS553" s="178"/>
      <c r="EVT553" s="178"/>
      <c r="EVU553" s="178"/>
      <c r="EVV553" s="178"/>
      <c r="EVW553" s="178"/>
      <c r="EVX553" s="178"/>
      <c r="EVY553" s="178"/>
      <c r="EVZ553" s="178"/>
      <c r="EWA553" s="178"/>
      <c r="EWB553" s="178"/>
      <c r="EWC553" s="178"/>
      <c r="EWD553" s="178"/>
      <c r="EWE553" s="178"/>
      <c r="EWF553" s="178"/>
      <c r="EWG553" s="178"/>
      <c r="EWH553" s="178"/>
      <c r="EWI553" s="178"/>
      <c r="EWJ553" s="178"/>
      <c r="EWK553" s="178"/>
      <c r="EWL553" s="178"/>
      <c r="EWM553" s="178"/>
      <c r="EWN553" s="178"/>
      <c r="EWO553" s="178"/>
      <c r="EWP553" s="178"/>
      <c r="EWQ553" s="178"/>
      <c r="EWR553" s="178"/>
      <c r="EWS553" s="178"/>
      <c r="EWT553" s="178"/>
      <c r="EWU553" s="178"/>
      <c r="EWV553" s="178"/>
      <c r="EWW553" s="178"/>
      <c r="EWX553" s="178"/>
      <c r="EWY553" s="178"/>
      <c r="EWZ553" s="178"/>
      <c r="EXA553" s="178"/>
      <c r="EXB553" s="178"/>
      <c r="EXC553" s="178"/>
      <c r="EXD553" s="178"/>
      <c r="EXE553" s="178"/>
      <c r="EXF553" s="178"/>
      <c r="EXG553" s="178"/>
      <c r="EXH553" s="178"/>
      <c r="EXI553" s="178"/>
      <c r="EXJ553" s="178"/>
      <c r="EXK553" s="178"/>
      <c r="EXL553" s="178"/>
      <c r="EXM553" s="178"/>
      <c r="EXN553" s="178"/>
      <c r="EXO553" s="178"/>
      <c r="EXP553" s="178"/>
      <c r="EXQ553" s="178"/>
      <c r="EXR553" s="178"/>
      <c r="EXS553" s="178"/>
      <c r="EXT553" s="178"/>
      <c r="EXU553" s="178"/>
      <c r="EXV553" s="178"/>
      <c r="EXW553" s="178"/>
      <c r="EXX553" s="178"/>
      <c r="EXY553" s="178"/>
      <c r="EXZ553" s="178"/>
      <c r="EYA553" s="178"/>
      <c r="EYB553" s="178"/>
      <c r="EYC553" s="178"/>
      <c r="EYD553" s="178"/>
      <c r="EYE553" s="178"/>
      <c r="EYF553" s="178"/>
      <c r="EYG553" s="178"/>
      <c r="EYH553" s="178"/>
      <c r="EYI553" s="178"/>
      <c r="EYJ553" s="178"/>
      <c r="EYK553" s="178"/>
      <c r="EYL553" s="178"/>
      <c r="EYM553" s="178"/>
      <c r="EYN553" s="178"/>
      <c r="EYO553" s="178"/>
      <c r="EYP553" s="178"/>
      <c r="EYQ553" s="178"/>
      <c r="EYR553" s="178"/>
      <c r="EYS553" s="178"/>
      <c r="EYT553" s="178"/>
      <c r="EYU553" s="178"/>
      <c r="EYV553" s="178"/>
      <c r="EYW553" s="178"/>
      <c r="EYX553" s="178"/>
      <c r="EYY553" s="178"/>
      <c r="EYZ553" s="178"/>
      <c r="EZA553" s="178"/>
      <c r="EZB553" s="178"/>
      <c r="EZC553" s="178"/>
      <c r="EZD553" s="178"/>
      <c r="EZE553" s="178"/>
      <c r="EZF553" s="178"/>
      <c r="EZG553" s="178"/>
      <c r="EZH553" s="178"/>
      <c r="EZI553" s="178"/>
      <c r="EZJ553" s="178"/>
      <c r="EZK553" s="178"/>
      <c r="EZL553" s="178"/>
      <c r="EZM553" s="178"/>
      <c r="EZN553" s="178"/>
      <c r="EZO553" s="178"/>
      <c r="EZP553" s="178"/>
      <c r="EZQ553" s="178"/>
      <c r="EZR553" s="178"/>
      <c r="EZS553" s="178"/>
      <c r="EZT553" s="178"/>
      <c r="EZU553" s="178"/>
      <c r="EZV553" s="178"/>
      <c r="EZW553" s="178"/>
      <c r="EZX553" s="178"/>
      <c r="EZY553" s="178"/>
      <c r="EZZ553" s="178"/>
      <c r="FAA553" s="178"/>
      <c r="FAB553" s="178"/>
      <c r="FAC553" s="178"/>
      <c r="FAD553" s="178"/>
      <c r="FAE553" s="178"/>
      <c r="FAF553" s="178"/>
      <c r="FAG553" s="178"/>
      <c r="FAH553" s="178"/>
      <c r="FAI553" s="178"/>
      <c r="FAJ553" s="178"/>
      <c r="FAK553" s="178"/>
      <c r="FAL553" s="178"/>
      <c r="FAM553" s="178"/>
      <c r="FAN553" s="178"/>
      <c r="FAO553" s="178"/>
      <c r="FAP553" s="178"/>
      <c r="FAQ553" s="178"/>
      <c r="FAR553" s="178"/>
      <c r="FAS553" s="178"/>
      <c r="FAT553" s="178"/>
      <c r="FAU553" s="178"/>
      <c r="FAV553" s="178"/>
      <c r="FAW553" s="178"/>
      <c r="FAX553" s="178"/>
      <c r="FAY553" s="178"/>
      <c r="FAZ553" s="178"/>
      <c r="FBA553" s="178"/>
      <c r="FBB553" s="178"/>
      <c r="FBC553" s="178"/>
      <c r="FBD553" s="178"/>
      <c r="FBE553" s="178"/>
      <c r="FBF553" s="178"/>
      <c r="FBG553" s="178"/>
      <c r="FBH553" s="178"/>
      <c r="FBI553" s="178"/>
      <c r="FBJ553" s="178"/>
      <c r="FBK553" s="178"/>
      <c r="FBL553" s="178"/>
      <c r="FBM553" s="178"/>
      <c r="FBN553" s="178"/>
      <c r="FBO553" s="178"/>
      <c r="FBP553" s="178"/>
      <c r="FBQ553" s="178"/>
      <c r="FBR553" s="178"/>
      <c r="FBS553" s="178"/>
      <c r="FBT553" s="178"/>
      <c r="FBU553" s="178"/>
      <c r="FBV553" s="178"/>
      <c r="FBW553" s="178"/>
      <c r="FBX553" s="178"/>
      <c r="FBY553" s="178"/>
      <c r="FBZ553" s="178"/>
      <c r="FCA553" s="178"/>
      <c r="FCB553" s="178"/>
      <c r="FCC553" s="178"/>
      <c r="FCD553" s="178"/>
      <c r="FCE553" s="178"/>
      <c r="FCF553" s="178"/>
      <c r="FCG553" s="178"/>
      <c r="FCH553" s="178"/>
      <c r="FCI553" s="178"/>
      <c r="FCJ553" s="178"/>
      <c r="FCK553" s="178"/>
      <c r="FCL553" s="178"/>
      <c r="FCM553" s="178"/>
      <c r="FCN553" s="178"/>
      <c r="FCO553" s="178"/>
      <c r="FCP553" s="178"/>
      <c r="FCQ553" s="178"/>
      <c r="FCR553" s="178"/>
      <c r="FCS553" s="178"/>
      <c r="FCT553" s="178"/>
      <c r="FCU553" s="178"/>
      <c r="FCV553" s="178"/>
      <c r="FCW553" s="178"/>
      <c r="FCX553" s="178"/>
      <c r="FCY553" s="178"/>
      <c r="FCZ553" s="178"/>
      <c r="FDA553" s="178"/>
      <c r="FDB553" s="178"/>
      <c r="FDC553" s="178"/>
      <c r="FDD553" s="178"/>
      <c r="FDE553" s="178"/>
      <c r="FDF553" s="178"/>
      <c r="FDG553" s="178"/>
      <c r="FDH553" s="178"/>
      <c r="FDI553" s="178"/>
      <c r="FDJ553" s="178"/>
      <c r="FDK553" s="178"/>
      <c r="FDL553" s="178"/>
      <c r="FDM553" s="178"/>
      <c r="FDN553" s="178"/>
      <c r="FDO553" s="178"/>
      <c r="FDP553" s="178"/>
      <c r="FDQ553" s="178"/>
      <c r="FDR553" s="178"/>
      <c r="FDS553" s="178"/>
      <c r="FDT553" s="178"/>
      <c r="FDU553" s="178"/>
      <c r="FDV553" s="178"/>
      <c r="FDW553" s="178"/>
      <c r="FDX553" s="178"/>
      <c r="FDY553" s="178"/>
      <c r="FDZ553" s="178"/>
      <c r="FEA553" s="178"/>
      <c r="FEB553" s="178"/>
      <c r="FEC553" s="178"/>
      <c r="FED553" s="178"/>
      <c r="FEE553" s="178"/>
      <c r="FEF553" s="178"/>
      <c r="FEG553" s="178"/>
      <c r="FEH553" s="178"/>
      <c r="FEI553" s="178"/>
      <c r="FEJ553" s="178"/>
      <c r="FEK553" s="178"/>
      <c r="FEL553" s="178"/>
      <c r="FEM553" s="178"/>
      <c r="FEN553" s="178"/>
      <c r="FEO553" s="178"/>
      <c r="FEP553" s="178"/>
      <c r="FEQ553" s="178"/>
      <c r="FER553" s="178"/>
      <c r="FES553" s="178"/>
      <c r="FET553" s="178"/>
      <c r="FEU553" s="178"/>
      <c r="FEV553" s="178"/>
      <c r="FEW553" s="178"/>
      <c r="FEX553" s="178"/>
      <c r="FEY553" s="178"/>
      <c r="FEZ553" s="178"/>
      <c r="FFA553" s="178"/>
      <c r="FFB553" s="178"/>
      <c r="FFC553" s="178"/>
      <c r="FFD553" s="178"/>
      <c r="FFE553" s="178"/>
      <c r="FFF553" s="178"/>
      <c r="FFG553" s="178"/>
      <c r="FFH553" s="178"/>
      <c r="FFI553" s="178"/>
      <c r="FFJ553" s="178"/>
      <c r="FFK553" s="178"/>
      <c r="FFL553" s="178"/>
      <c r="FFM553" s="178"/>
      <c r="FFN553" s="178"/>
      <c r="FFO553" s="178"/>
      <c r="FFP553" s="178"/>
      <c r="FFQ553" s="178"/>
      <c r="FFR553" s="178"/>
      <c r="FFS553" s="178"/>
      <c r="FFT553" s="178"/>
      <c r="FFU553" s="178"/>
      <c r="FFV553" s="178"/>
      <c r="FFW553" s="178"/>
      <c r="FFX553" s="178"/>
      <c r="FFY553" s="178"/>
      <c r="FFZ553" s="178"/>
      <c r="FGA553" s="178"/>
      <c r="FGB553" s="178"/>
      <c r="FGC553" s="178"/>
      <c r="FGD553" s="178"/>
      <c r="FGE553" s="178"/>
      <c r="FGF553" s="178"/>
      <c r="FGG553" s="178"/>
      <c r="FGH553" s="178"/>
      <c r="FGI553" s="178"/>
      <c r="FGJ553" s="178"/>
      <c r="FGK553" s="178"/>
      <c r="FGL553" s="178"/>
      <c r="FGM553" s="178"/>
      <c r="FGN553" s="178"/>
      <c r="FGO553" s="178"/>
      <c r="FGP553" s="178"/>
      <c r="FGQ553" s="178"/>
      <c r="FGR553" s="178"/>
      <c r="FGS553" s="178"/>
      <c r="FGT553" s="178"/>
      <c r="FGU553" s="178"/>
      <c r="FGV553" s="178"/>
      <c r="FGW553" s="178"/>
      <c r="FGX553" s="178"/>
      <c r="FGY553" s="178"/>
      <c r="FGZ553" s="178"/>
      <c r="FHA553" s="178"/>
      <c r="FHB553" s="178"/>
      <c r="FHC553" s="178"/>
      <c r="FHD553" s="178"/>
      <c r="FHE553" s="178"/>
      <c r="FHF553" s="178"/>
      <c r="FHG553" s="178"/>
      <c r="FHH553" s="178"/>
      <c r="FHI553" s="178"/>
      <c r="FHJ553" s="178"/>
      <c r="FHK553" s="178"/>
      <c r="FHL553" s="178"/>
      <c r="FHM553" s="178"/>
      <c r="FHN553" s="178"/>
      <c r="FHO553" s="178"/>
      <c r="FHP553" s="178"/>
      <c r="FHQ553" s="178"/>
      <c r="FHR553" s="178"/>
      <c r="FHS553" s="178"/>
      <c r="FHT553" s="178"/>
      <c r="FHU553" s="178"/>
      <c r="FHV553" s="178"/>
      <c r="FHW553" s="178"/>
      <c r="FHX553" s="178"/>
      <c r="FHY553" s="178"/>
      <c r="FHZ553" s="178"/>
      <c r="FIA553" s="178"/>
      <c r="FIB553" s="178"/>
      <c r="FIC553" s="178"/>
      <c r="FID553" s="178"/>
      <c r="FIE553" s="178"/>
      <c r="FIF553" s="178"/>
      <c r="FIG553" s="178"/>
      <c r="FIH553" s="178"/>
      <c r="FII553" s="178"/>
      <c r="FIJ553" s="178"/>
      <c r="FIK553" s="178"/>
      <c r="FIL553" s="178"/>
      <c r="FIM553" s="178"/>
      <c r="FIN553" s="178"/>
      <c r="FIO553" s="178"/>
      <c r="FIP553" s="178"/>
      <c r="FIQ553" s="178"/>
      <c r="FIR553" s="178"/>
      <c r="FIS553" s="178"/>
      <c r="FIT553" s="178"/>
      <c r="FIU553" s="178"/>
      <c r="FIV553" s="178"/>
      <c r="FIW553" s="178"/>
      <c r="FIX553" s="178"/>
      <c r="FIY553" s="178"/>
      <c r="FIZ553" s="178"/>
      <c r="FJA553" s="178"/>
      <c r="FJB553" s="178"/>
      <c r="FJC553" s="178"/>
      <c r="FJD553" s="178"/>
      <c r="FJE553" s="178"/>
      <c r="FJF553" s="178"/>
      <c r="FJG553" s="178"/>
      <c r="FJH553" s="178"/>
      <c r="FJI553" s="178"/>
      <c r="FJJ553" s="178"/>
      <c r="FJK553" s="178"/>
      <c r="FJL553" s="178"/>
      <c r="FJM553" s="178"/>
      <c r="FJN553" s="178"/>
      <c r="FJO553" s="178"/>
      <c r="FJP553" s="178"/>
      <c r="FJQ553" s="178"/>
      <c r="FJR553" s="178"/>
      <c r="FJS553" s="178"/>
      <c r="FJT553" s="178"/>
      <c r="FJU553" s="178"/>
      <c r="FJV553" s="178"/>
      <c r="FJW553" s="178"/>
      <c r="FJX553" s="178"/>
      <c r="FJY553" s="178"/>
      <c r="FJZ553" s="178"/>
      <c r="FKA553" s="178"/>
      <c r="FKB553" s="178"/>
      <c r="FKC553" s="178"/>
      <c r="FKD553" s="178"/>
      <c r="FKE553" s="178"/>
      <c r="FKF553" s="178"/>
      <c r="FKG553" s="178"/>
      <c r="FKH553" s="178"/>
      <c r="FKI553" s="178"/>
      <c r="FKJ553" s="178"/>
      <c r="FKK553" s="178"/>
      <c r="FKL553" s="178"/>
      <c r="FKM553" s="178"/>
      <c r="FKN553" s="178"/>
      <c r="FKO553" s="178"/>
      <c r="FKP553" s="178"/>
      <c r="FKQ553" s="178"/>
      <c r="FKR553" s="178"/>
      <c r="FKS553" s="178"/>
      <c r="FKT553" s="178"/>
      <c r="FKU553" s="178"/>
      <c r="FKV553" s="178"/>
      <c r="FKW553" s="178"/>
      <c r="FKX553" s="178"/>
      <c r="FKY553" s="178"/>
      <c r="FKZ553" s="178"/>
      <c r="FLA553" s="178"/>
      <c r="FLB553" s="178"/>
      <c r="FLC553" s="178"/>
      <c r="FLD553" s="178"/>
      <c r="FLE553" s="178"/>
      <c r="FLF553" s="178"/>
      <c r="FLG553" s="178"/>
      <c r="FLH553" s="178"/>
      <c r="FLI553" s="178"/>
      <c r="FLJ553" s="178"/>
      <c r="FLK553" s="178"/>
      <c r="FLL553" s="178"/>
      <c r="FLM553" s="178"/>
      <c r="FLN553" s="178"/>
      <c r="FLO553" s="178"/>
      <c r="FLP553" s="178"/>
      <c r="FLQ553" s="178"/>
      <c r="FLR553" s="178"/>
      <c r="FLS553" s="178"/>
      <c r="FLT553" s="178"/>
      <c r="FLU553" s="178"/>
      <c r="FLV553" s="178"/>
      <c r="FLW553" s="178"/>
      <c r="FLX553" s="178"/>
      <c r="FLY553" s="178"/>
      <c r="FLZ553" s="178"/>
      <c r="FMA553" s="178"/>
      <c r="FMB553" s="178"/>
      <c r="FMC553" s="178"/>
      <c r="FMD553" s="178"/>
      <c r="FME553" s="178"/>
      <c r="FMF553" s="178"/>
      <c r="FMG553" s="178"/>
      <c r="FMH553" s="178"/>
      <c r="FMI553" s="178"/>
      <c r="FMJ553" s="178"/>
      <c r="FMK553" s="178"/>
      <c r="FML553" s="178"/>
      <c r="FMM553" s="178"/>
      <c r="FMN553" s="178"/>
      <c r="FMO553" s="178"/>
      <c r="FMP553" s="178"/>
      <c r="FMQ553" s="178"/>
      <c r="FMR553" s="178"/>
      <c r="FMS553" s="178"/>
      <c r="FMT553" s="178"/>
      <c r="FMU553" s="178"/>
      <c r="FMV553" s="178"/>
      <c r="FMW553" s="178"/>
      <c r="FMX553" s="178"/>
      <c r="FMY553" s="178"/>
      <c r="FMZ553" s="178"/>
      <c r="FNA553" s="178"/>
      <c r="FNB553" s="178"/>
      <c r="FNC553" s="178"/>
      <c r="FND553" s="178"/>
      <c r="FNE553" s="178"/>
      <c r="FNF553" s="178"/>
      <c r="FNG553" s="178"/>
      <c r="FNH553" s="178"/>
      <c r="FNI553" s="178"/>
      <c r="FNJ553" s="178"/>
      <c r="FNK553" s="178"/>
      <c r="FNL553" s="178"/>
      <c r="FNM553" s="178"/>
      <c r="FNN553" s="178"/>
      <c r="FNO553" s="178"/>
      <c r="FNP553" s="178"/>
      <c r="FNQ553" s="178"/>
      <c r="FNR553" s="178"/>
      <c r="FNS553" s="178"/>
      <c r="FNT553" s="178"/>
      <c r="FNU553" s="178"/>
      <c r="FNV553" s="178"/>
      <c r="FNW553" s="178"/>
      <c r="FNX553" s="178"/>
      <c r="FNY553" s="178"/>
      <c r="FNZ553" s="178"/>
      <c r="FOA553" s="178"/>
      <c r="FOB553" s="178"/>
      <c r="FOC553" s="178"/>
      <c r="FOD553" s="178"/>
      <c r="FOE553" s="178"/>
      <c r="FOF553" s="178"/>
      <c r="FOG553" s="178"/>
      <c r="FOH553" s="178"/>
      <c r="FOI553" s="178"/>
      <c r="FOJ553" s="178"/>
      <c r="FOK553" s="178"/>
      <c r="FOL553" s="178"/>
      <c r="FOM553" s="178"/>
      <c r="FON553" s="178"/>
      <c r="FOO553" s="178"/>
      <c r="FOP553" s="178"/>
      <c r="FOQ553" s="178"/>
      <c r="FOR553" s="178"/>
      <c r="FOS553" s="178"/>
      <c r="FOT553" s="178"/>
      <c r="FOU553" s="178"/>
      <c r="FOV553" s="178"/>
      <c r="FOW553" s="178"/>
      <c r="FOX553" s="178"/>
      <c r="FOY553" s="178"/>
      <c r="FOZ553" s="178"/>
      <c r="FPA553" s="178"/>
      <c r="FPB553" s="178"/>
      <c r="FPC553" s="178"/>
      <c r="FPD553" s="178"/>
      <c r="FPE553" s="178"/>
      <c r="FPF553" s="178"/>
      <c r="FPG553" s="178"/>
      <c r="FPH553" s="178"/>
      <c r="FPI553" s="178"/>
      <c r="FPJ553" s="178"/>
      <c r="FPK553" s="178"/>
      <c r="FPL553" s="178"/>
      <c r="FPM553" s="178"/>
      <c r="FPN553" s="178"/>
      <c r="FPO553" s="178"/>
      <c r="FPP553" s="178"/>
      <c r="FPQ553" s="178"/>
      <c r="FPR553" s="178"/>
      <c r="FPS553" s="178"/>
      <c r="FPT553" s="178"/>
      <c r="FPU553" s="178"/>
      <c r="FPV553" s="178"/>
      <c r="FPW553" s="178"/>
      <c r="FPX553" s="178"/>
      <c r="FPY553" s="178"/>
      <c r="FPZ553" s="178"/>
      <c r="FQA553" s="178"/>
      <c r="FQB553" s="178"/>
      <c r="FQC553" s="178"/>
      <c r="FQD553" s="178"/>
      <c r="FQE553" s="178"/>
      <c r="FQF553" s="178"/>
      <c r="FQG553" s="178"/>
      <c r="FQH553" s="178"/>
      <c r="FQI553" s="178"/>
      <c r="FQJ553" s="178"/>
      <c r="FQK553" s="178"/>
      <c r="FQL553" s="178"/>
      <c r="FQM553" s="178"/>
      <c r="FQN553" s="178"/>
      <c r="FQO553" s="178"/>
      <c r="FQP553" s="178"/>
      <c r="FQQ553" s="178"/>
      <c r="FQR553" s="178"/>
      <c r="FQS553" s="178"/>
      <c r="FQT553" s="178"/>
      <c r="FQU553" s="178"/>
      <c r="FQV553" s="178"/>
      <c r="FQW553" s="178"/>
      <c r="FQX553" s="178"/>
      <c r="FQY553" s="178"/>
      <c r="FQZ553" s="178"/>
      <c r="FRA553" s="178"/>
      <c r="FRB553" s="178"/>
      <c r="FRC553" s="178"/>
      <c r="FRD553" s="178"/>
      <c r="FRE553" s="178"/>
      <c r="FRF553" s="178"/>
      <c r="FRG553" s="178"/>
      <c r="FRH553" s="178"/>
      <c r="FRI553" s="178"/>
      <c r="FRJ553" s="178"/>
      <c r="FRK553" s="178"/>
      <c r="FRL553" s="178"/>
      <c r="FRM553" s="178"/>
      <c r="FRN553" s="178"/>
      <c r="FRO553" s="178"/>
      <c r="FRP553" s="178"/>
      <c r="FRQ553" s="178"/>
      <c r="FRR553" s="178"/>
      <c r="FRS553" s="178"/>
      <c r="FRT553" s="178"/>
      <c r="FRU553" s="178"/>
      <c r="FRV553" s="178"/>
      <c r="FRW553" s="178"/>
      <c r="FRX553" s="178"/>
      <c r="FRY553" s="178"/>
      <c r="FRZ553" s="178"/>
      <c r="FSA553" s="178"/>
      <c r="FSB553" s="178"/>
      <c r="FSC553" s="178"/>
      <c r="FSD553" s="178"/>
      <c r="FSE553" s="178"/>
      <c r="FSF553" s="178"/>
      <c r="FSG553" s="178"/>
      <c r="FSH553" s="178"/>
      <c r="FSI553" s="178"/>
      <c r="FSJ553" s="178"/>
      <c r="FSK553" s="178"/>
      <c r="FSL553" s="178"/>
      <c r="FSM553" s="178"/>
      <c r="FSN553" s="178"/>
      <c r="FSO553" s="178"/>
      <c r="FSP553" s="178"/>
      <c r="FSQ553" s="178"/>
      <c r="FSR553" s="178"/>
      <c r="FSS553" s="178"/>
      <c r="FST553" s="178"/>
      <c r="FSU553" s="178"/>
      <c r="FSV553" s="178"/>
      <c r="FSW553" s="178"/>
      <c r="FSX553" s="178"/>
      <c r="FSY553" s="178"/>
      <c r="FSZ553" s="178"/>
      <c r="FTA553" s="178"/>
      <c r="FTB553" s="178"/>
      <c r="FTC553" s="178"/>
      <c r="FTD553" s="178"/>
      <c r="FTE553" s="178"/>
      <c r="FTF553" s="178"/>
      <c r="FTG553" s="178"/>
      <c r="FTH553" s="178"/>
      <c r="FTI553" s="178"/>
      <c r="FTJ553" s="178"/>
      <c r="FTK553" s="178"/>
      <c r="FTL553" s="178"/>
      <c r="FTM553" s="178"/>
      <c r="FTN553" s="178"/>
      <c r="FTO553" s="178"/>
      <c r="FTP553" s="178"/>
      <c r="FTQ553" s="178"/>
      <c r="FTR553" s="178"/>
      <c r="FTS553" s="178"/>
      <c r="FTT553" s="178"/>
      <c r="FTU553" s="178"/>
      <c r="FTV553" s="178"/>
      <c r="FTW553" s="178"/>
      <c r="FTX553" s="178"/>
      <c r="FTY553" s="178"/>
      <c r="FTZ553" s="178"/>
      <c r="FUA553" s="178"/>
      <c r="FUB553" s="178"/>
      <c r="FUC553" s="178"/>
      <c r="FUD553" s="178"/>
      <c r="FUE553" s="178"/>
      <c r="FUF553" s="178"/>
      <c r="FUG553" s="178"/>
      <c r="FUH553" s="178"/>
      <c r="FUI553" s="178"/>
      <c r="FUJ553" s="178"/>
      <c r="FUK553" s="178"/>
      <c r="FUL553" s="178"/>
      <c r="FUM553" s="178"/>
      <c r="FUN553" s="178"/>
      <c r="FUO553" s="178"/>
      <c r="FUP553" s="178"/>
      <c r="FUQ553" s="178"/>
      <c r="FUR553" s="178"/>
      <c r="FUS553" s="178"/>
      <c r="FUT553" s="178"/>
      <c r="FUU553" s="178"/>
      <c r="FUV553" s="178"/>
      <c r="FUW553" s="178"/>
      <c r="FUX553" s="178"/>
      <c r="FUY553" s="178"/>
      <c r="FUZ553" s="178"/>
      <c r="FVA553" s="178"/>
      <c r="FVB553" s="178"/>
      <c r="FVC553" s="178"/>
      <c r="FVD553" s="178"/>
      <c r="FVE553" s="178"/>
      <c r="FVF553" s="178"/>
      <c r="FVG553" s="178"/>
      <c r="FVH553" s="178"/>
      <c r="FVI553" s="178"/>
      <c r="FVJ553" s="178"/>
      <c r="FVK553" s="178"/>
      <c r="FVL553" s="178"/>
      <c r="FVM553" s="178"/>
      <c r="FVN553" s="178"/>
      <c r="FVO553" s="178"/>
      <c r="FVP553" s="178"/>
      <c r="FVQ553" s="178"/>
      <c r="FVR553" s="178"/>
      <c r="FVS553" s="178"/>
      <c r="FVT553" s="178"/>
      <c r="FVU553" s="178"/>
      <c r="FVV553" s="178"/>
      <c r="FVW553" s="178"/>
      <c r="FVX553" s="178"/>
      <c r="FVY553" s="178"/>
      <c r="FVZ553" s="178"/>
      <c r="FWA553" s="178"/>
      <c r="FWB553" s="178"/>
      <c r="FWC553" s="178"/>
      <c r="FWD553" s="178"/>
      <c r="FWE553" s="178"/>
      <c r="FWF553" s="178"/>
      <c r="FWG553" s="178"/>
      <c r="FWH553" s="178"/>
      <c r="FWI553" s="178"/>
      <c r="FWJ553" s="178"/>
      <c r="FWK553" s="178"/>
      <c r="FWL553" s="178"/>
      <c r="FWM553" s="178"/>
      <c r="FWN553" s="178"/>
      <c r="FWO553" s="178"/>
      <c r="FWP553" s="178"/>
      <c r="FWQ553" s="178"/>
      <c r="FWR553" s="178"/>
      <c r="FWS553" s="178"/>
      <c r="FWT553" s="178"/>
      <c r="FWU553" s="178"/>
      <c r="FWV553" s="178"/>
      <c r="FWW553" s="178"/>
      <c r="FWX553" s="178"/>
      <c r="FWY553" s="178"/>
      <c r="FWZ553" s="178"/>
      <c r="FXA553" s="178"/>
      <c r="FXB553" s="178"/>
      <c r="FXC553" s="178"/>
      <c r="FXD553" s="178"/>
      <c r="FXE553" s="178"/>
      <c r="FXF553" s="178"/>
      <c r="FXG553" s="178"/>
      <c r="FXH553" s="178"/>
      <c r="FXI553" s="178"/>
      <c r="FXJ553" s="178"/>
      <c r="FXK553" s="178"/>
      <c r="FXL553" s="178"/>
      <c r="FXM553" s="178"/>
      <c r="FXN553" s="178"/>
      <c r="FXO553" s="178"/>
      <c r="FXP553" s="178"/>
      <c r="FXQ553" s="178"/>
      <c r="FXR553" s="178"/>
      <c r="FXS553" s="178"/>
      <c r="FXT553" s="178"/>
      <c r="FXU553" s="178"/>
      <c r="FXV553" s="178"/>
      <c r="FXW553" s="178"/>
      <c r="FXX553" s="178"/>
      <c r="FXY553" s="178"/>
      <c r="FXZ553" s="178"/>
      <c r="FYA553" s="178"/>
      <c r="FYB553" s="178"/>
      <c r="FYC553" s="178"/>
      <c r="FYD553" s="178"/>
      <c r="FYE553" s="178"/>
      <c r="FYF553" s="178"/>
      <c r="FYG553" s="178"/>
      <c r="FYH553" s="178"/>
      <c r="FYI553" s="178"/>
      <c r="FYJ553" s="178"/>
      <c r="FYK553" s="178"/>
      <c r="FYL553" s="178"/>
      <c r="FYM553" s="178"/>
      <c r="FYN553" s="178"/>
      <c r="FYO553" s="178"/>
      <c r="FYP553" s="178"/>
      <c r="FYQ553" s="178"/>
      <c r="FYR553" s="178"/>
      <c r="FYS553" s="178"/>
      <c r="FYT553" s="178"/>
      <c r="FYU553" s="178"/>
      <c r="FYV553" s="178"/>
      <c r="FYW553" s="178"/>
      <c r="FYX553" s="178"/>
      <c r="FYY553" s="178"/>
      <c r="FYZ553" s="178"/>
      <c r="FZA553" s="178"/>
      <c r="FZB553" s="178"/>
      <c r="FZC553" s="178"/>
      <c r="FZD553" s="178"/>
      <c r="FZE553" s="178"/>
      <c r="FZF553" s="178"/>
      <c r="FZG553" s="178"/>
      <c r="FZH553" s="178"/>
      <c r="FZI553" s="178"/>
      <c r="FZJ553" s="178"/>
      <c r="FZK553" s="178"/>
      <c r="FZL553" s="178"/>
      <c r="FZM553" s="178"/>
      <c r="FZN553" s="178"/>
      <c r="FZO553" s="178"/>
      <c r="FZP553" s="178"/>
      <c r="FZQ553" s="178"/>
      <c r="FZR553" s="178"/>
      <c r="FZS553" s="178"/>
      <c r="FZT553" s="178"/>
      <c r="FZU553" s="178"/>
      <c r="FZV553" s="178"/>
      <c r="FZW553" s="178"/>
      <c r="FZX553" s="178"/>
      <c r="FZY553" s="178"/>
      <c r="FZZ553" s="178"/>
      <c r="GAA553" s="178"/>
      <c r="GAB553" s="178"/>
      <c r="GAC553" s="178"/>
      <c r="GAD553" s="178"/>
      <c r="GAE553" s="178"/>
      <c r="GAF553" s="178"/>
      <c r="GAG553" s="178"/>
      <c r="GAH553" s="178"/>
      <c r="GAI553" s="178"/>
      <c r="GAJ553" s="178"/>
      <c r="GAK553" s="178"/>
      <c r="GAL553" s="178"/>
      <c r="GAM553" s="178"/>
      <c r="GAN553" s="178"/>
      <c r="GAO553" s="178"/>
      <c r="GAP553" s="178"/>
      <c r="GAQ553" s="178"/>
      <c r="GAR553" s="178"/>
      <c r="GAS553" s="178"/>
      <c r="GAT553" s="178"/>
      <c r="GAU553" s="178"/>
      <c r="GAV553" s="178"/>
      <c r="GAW553" s="178"/>
      <c r="GAX553" s="178"/>
      <c r="GAY553" s="178"/>
      <c r="GAZ553" s="178"/>
      <c r="GBA553" s="178"/>
      <c r="GBB553" s="178"/>
      <c r="GBC553" s="178"/>
      <c r="GBD553" s="178"/>
      <c r="GBE553" s="178"/>
      <c r="GBF553" s="178"/>
      <c r="GBG553" s="178"/>
      <c r="GBH553" s="178"/>
      <c r="GBI553" s="178"/>
      <c r="GBJ553" s="178"/>
      <c r="GBK553" s="178"/>
      <c r="GBL553" s="178"/>
      <c r="GBM553" s="178"/>
      <c r="GBN553" s="178"/>
      <c r="GBO553" s="178"/>
      <c r="GBP553" s="178"/>
      <c r="GBQ553" s="178"/>
      <c r="GBR553" s="178"/>
      <c r="GBS553" s="178"/>
      <c r="GBT553" s="178"/>
      <c r="GBU553" s="178"/>
      <c r="GBV553" s="178"/>
      <c r="GBW553" s="178"/>
      <c r="GBX553" s="178"/>
      <c r="GBY553" s="178"/>
      <c r="GBZ553" s="178"/>
      <c r="GCA553" s="178"/>
      <c r="GCB553" s="178"/>
      <c r="GCC553" s="178"/>
      <c r="GCD553" s="178"/>
      <c r="GCE553" s="178"/>
      <c r="GCF553" s="178"/>
      <c r="GCG553" s="178"/>
      <c r="GCH553" s="178"/>
      <c r="GCI553" s="178"/>
      <c r="GCJ553" s="178"/>
      <c r="GCK553" s="178"/>
      <c r="GCL553" s="178"/>
      <c r="GCM553" s="178"/>
      <c r="GCN553" s="178"/>
      <c r="GCO553" s="178"/>
      <c r="GCP553" s="178"/>
      <c r="GCQ553" s="178"/>
      <c r="GCR553" s="178"/>
      <c r="GCS553" s="178"/>
      <c r="GCT553" s="178"/>
      <c r="GCU553" s="178"/>
      <c r="GCV553" s="178"/>
      <c r="GCW553" s="178"/>
      <c r="GCX553" s="178"/>
      <c r="GCY553" s="178"/>
      <c r="GCZ553" s="178"/>
      <c r="GDA553" s="178"/>
      <c r="GDB553" s="178"/>
      <c r="GDC553" s="178"/>
      <c r="GDD553" s="178"/>
      <c r="GDE553" s="178"/>
      <c r="GDF553" s="178"/>
      <c r="GDG553" s="178"/>
      <c r="GDH553" s="178"/>
      <c r="GDI553" s="178"/>
      <c r="GDJ553" s="178"/>
      <c r="GDK553" s="178"/>
      <c r="GDL553" s="178"/>
      <c r="GDM553" s="178"/>
      <c r="GDN553" s="178"/>
      <c r="GDO553" s="178"/>
      <c r="GDP553" s="178"/>
      <c r="GDQ553" s="178"/>
      <c r="GDR553" s="178"/>
      <c r="GDS553" s="178"/>
      <c r="GDT553" s="178"/>
      <c r="GDU553" s="178"/>
      <c r="GDV553" s="178"/>
      <c r="GDW553" s="178"/>
      <c r="GDX553" s="178"/>
      <c r="GDY553" s="178"/>
      <c r="GDZ553" s="178"/>
      <c r="GEA553" s="178"/>
      <c r="GEB553" s="178"/>
      <c r="GEC553" s="178"/>
      <c r="GED553" s="178"/>
      <c r="GEE553" s="178"/>
      <c r="GEF553" s="178"/>
      <c r="GEG553" s="178"/>
      <c r="GEH553" s="178"/>
      <c r="GEI553" s="178"/>
      <c r="GEJ553" s="178"/>
      <c r="GEK553" s="178"/>
      <c r="GEL553" s="178"/>
      <c r="GEM553" s="178"/>
      <c r="GEN553" s="178"/>
      <c r="GEO553" s="178"/>
      <c r="GEP553" s="178"/>
      <c r="GEQ553" s="178"/>
      <c r="GER553" s="178"/>
      <c r="GES553" s="178"/>
      <c r="GET553" s="178"/>
      <c r="GEU553" s="178"/>
      <c r="GEV553" s="178"/>
      <c r="GEW553" s="178"/>
      <c r="GEX553" s="178"/>
      <c r="GEY553" s="178"/>
      <c r="GEZ553" s="178"/>
      <c r="GFA553" s="178"/>
      <c r="GFB553" s="178"/>
      <c r="GFC553" s="178"/>
      <c r="GFD553" s="178"/>
      <c r="GFE553" s="178"/>
      <c r="GFF553" s="178"/>
      <c r="GFG553" s="178"/>
      <c r="GFH553" s="178"/>
      <c r="GFI553" s="178"/>
      <c r="GFJ553" s="178"/>
      <c r="GFK553" s="178"/>
      <c r="GFL553" s="178"/>
      <c r="GFM553" s="178"/>
      <c r="GFN553" s="178"/>
      <c r="GFO553" s="178"/>
      <c r="GFP553" s="178"/>
      <c r="GFQ553" s="178"/>
      <c r="GFR553" s="178"/>
      <c r="GFS553" s="178"/>
      <c r="GFT553" s="178"/>
      <c r="GFU553" s="178"/>
      <c r="GFV553" s="178"/>
      <c r="GFW553" s="178"/>
      <c r="GFX553" s="178"/>
      <c r="GFY553" s="178"/>
      <c r="GFZ553" s="178"/>
      <c r="GGA553" s="178"/>
      <c r="GGB553" s="178"/>
      <c r="GGC553" s="178"/>
      <c r="GGD553" s="178"/>
      <c r="GGE553" s="178"/>
      <c r="GGF553" s="178"/>
      <c r="GGG553" s="178"/>
      <c r="GGH553" s="178"/>
      <c r="GGI553" s="178"/>
      <c r="GGJ553" s="178"/>
      <c r="GGK553" s="178"/>
      <c r="GGL553" s="178"/>
      <c r="GGM553" s="178"/>
      <c r="GGN553" s="178"/>
      <c r="GGO553" s="178"/>
      <c r="GGP553" s="178"/>
      <c r="GGQ553" s="178"/>
      <c r="GGR553" s="178"/>
      <c r="GGS553" s="178"/>
      <c r="GGT553" s="178"/>
      <c r="GGU553" s="178"/>
      <c r="GGV553" s="178"/>
      <c r="GGW553" s="178"/>
      <c r="GGX553" s="178"/>
      <c r="GGY553" s="178"/>
      <c r="GGZ553" s="178"/>
      <c r="GHA553" s="178"/>
      <c r="GHB553" s="178"/>
      <c r="GHC553" s="178"/>
      <c r="GHD553" s="178"/>
      <c r="GHE553" s="178"/>
      <c r="GHF553" s="178"/>
      <c r="GHG553" s="178"/>
      <c r="GHH553" s="178"/>
      <c r="GHI553" s="178"/>
      <c r="GHJ553" s="178"/>
      <c r="GHK553" s="178"/>
      <c r="GHL553" s="178"/>
      <c r="GHM553" s="178"/>
      <c r="GHN553" s="178"/>
      <c r="GHO553" s="178"/>
      <c r="GHP553" s="178"/>
      <c r="GHQ553" s="178"/>
      <c r="GHR553" s="178"/>
      <c r="GHS553" s="178"/>
      <c r="GHT553" s="178"/>
      <c r="GHU553" s="178"/>
      <c r="GHV553" s="178"/>
      <c r="GHW553" s="178"/>
      <c r="GHX553" s="178"/>
      <c r="GHY553" s="178"/>
      <c r="GHZ553" s="178"/>
      <c r="GIA553" s="178"/>
      <c r="GIB553" s="178"/>
      <c r="GIC553" s="178"/>
      <c r="GID553" s="178"/>
      <c r="GIE553" s="178"/>
      <c r="GIF553" s="178"/>
      <c r="GIG553" s="178"/>
      <c r="GIH553" s="178"/>
      <c r="GII553" s="178"/>
      <c r="GIJ553" s="178"/>
      <c r="GIK553" s="178"/>
      <c r="GIL553" s="178"/>
      <c r="GIM553" s="178"/>
      <c r="GIN553" s="178"/>
      <c r="GIO553" s="178"/>
      <c r="GIP553" s="178"/>
      <c r="GIQ553" s="178"/>
      <c r="GIR553" s="178"/>
      <c r="GIS553" s="178"/>
      <c r="GIT553" s="178"/>
      <c r="GIU553" s="178"/>
      <c r="GIV553" s="178"/>
      <c r="GIW553" s="178"/>
      <c r="GIX553" s="178"/>
      <c r="GIY553" s="178"/>
      <c r="GIZ553" s="178"/>
      <c r="GJA553" s="178"/>
      <c r="GJB553" s="178"/>
      <c r="GJC553" s="178"/>
      <c r="GJD553" s="178"/>
      <c r="GJE553" s="178"/>
      <c r="GJF553" s="178"/>
      <c r="GJG553" s="178"/>
      <c r="GJH553" s="178"/>
      <c r="GJI553" s="178"/>
      <c r="GJJ553" s="178"/>
      <c r="GJK553" s="178"/>
      <c r="GJL553" s="178"/>
      <c r="GJM553" s="178"/>
      <c r="GJN553" s="178"/>
      <c r="GJO553" s="178"/>
      <c r="GJP553" s="178"/>
      <c r="GJQ553" s="178"/>
      <c r="GJR553" s="178"/>
      <c r="GJS553" s="178"/>
      <c r="GJT553" s="178"/>
      <c r="GJU553" s="178"/>
      <c r="GJV553" s="178"/>
      <c r="GJW553" s="178"/>
      <c r="GJX553" s="178"/>
      <c r="GJY553" s="178"/>
      <c r="GJZ553" s="178"/>
      <c r="GKA553" s="178"/>
      <c r="GKB553" s="178"/>
      <c r="GKC553" s="178"/>
      <c r="GKD553" s="178"/>
      <c r="GKE553" s="178"/>
      <c r="GKF553" s="178"/>
      <c r="GKG553" s="178"/>
      <c r="GKH553" s="178"/>
      <c r="GKI553" s="178"/>
      <c r="GKJ553" s="178"/>
      <c r="GKK553" s="178"/>
      <c r="GKL553" s="178"/>
      <c r="GKM553" s="178"/>
      <c r="GKN553" s="178"/>
      <c r="GKO553" s="178"/>
      <c r="GKP553" s="178"/>
      <c r="GKQ553" s="178"/>
      <c r="GKR553" s="178"/>
      <c r="GKS553" s="178"/>
      <c r="GKT553" s="178"/>
      <c r="GKU553" s="178"/>
      <c r="GKV553" s="178"/>
      <c r="GKW553" s="178"/>
      <c r="GKX553" s="178"/>
      <c r="GKY553" s="178"/>
      <c r="GKZ553" s="178"/>
      <c r="GLA553" s="178"/>
      <c r="GLB553" s="178"/>
      <c r="GLC553" s="178"/>
      <c r="GLD553" s="178"/>
      <c r="GLE553" s="178"/>
      <c r="GLF553" s="178"/>
      <c r="GLG553" s="178"/>
      <c r="GLH553" s="178"/>
      <c r="GLI553" s="178"/>
      <c r="GLJ553" s="178"/>
      <c r="GLK553" s="178"/>
      <c r="GLL553" s="178"/>
      <c r="GLM553" s="178"/>
      <c r="GLN553" s="178"/>
      <c r="GLO553" s="178"/>
      <c r="GLP553" s="178"/>
      <c r="GLQ553" s="178"/>
      <c r="GLR553" s="178"/>
      <c r="GLS553" s="178"/>
      <c r="GLT553" s="178"/>
      <c r="GLU553" s="178"/>
      <c r="GLV553" s="178"/>
      <c r="GLW553" s="178"/>
      <c r="GLX553" s="178"/>
      <c r="GLY553" s="178"/>
      <c r="GLZ553" s="178"/>
      <c r="GMA553" s="178"/>
      <c r="GMB553" s="178"/>
      <c r="GMC553" s="178"/>
      <c r="GMD553" s="178"/>
      <c r="GME553" s="178"/>
      <c r="GMF553" s="178"/>
      <c r="GMG553" s="178"/>
      <c r="GMH553" s="178"/>
      <c r="GMI553" s="178"/>
      <c r="GMJ553" s="178"/>
      <c r="GMK553" s="178"/>
      <c r="GML553" s="178"/>
      <c r="GMM553" s="178"/>
      <c r="GMN553" s="178"/>
      <c r="GMO553" s="178"/>
      <c r="GMP553" s="178"/>
      <c r="GMQ553" s="178"/>
      <c r="GMR553" s="178"/>
      <c r="GMS553" s="178"/>
      <c r="GMT553" s="178"/>
      <c r="GMU553" s="178"/>
      <c r="GMV553" s="178"/>
      <c r="GMW553" s="178"/>
      <c r="GMX553" s="178"/>
      <c r="GMY553" s="178"/>
      <c r="GMZ553" s="178"/>
      <c r="GNA553" s="178"/>
      <c r="GNB553" s="178"/>
      <c r="GNC553" s="178"/>
      <c r="GND553" s="178"/>
      <c r="GNE553" s="178"/>
      <c r="GNF553" s="178"/>
      <c r="GNG553" s="178"/>
      <c r="GNH553" s="178"/>
      <c r="GNI553" s="178"/>
      <c r="GNJ553" s="178"/>
      <c r="GNK553" s="178"/>
      <c r="GNL553" s="178"/>
      <c r="GNM553" s="178"/>
      <c r="GNN553" s="178"/>
      <c r="GNO553" s="178"/>
      <c r="GNP553" s="178"/>
      <c r="GNQ553" s="178"/>
      <c r="GNR553" s="178"/>
      <c r="GNS553" s="178"/>
      <c r="GNT553" s="178"/>
      <c r="GNU553" s="178"/>
      <c r="GNV553" s="178"/>
      <c r="GNW553" s="178"/>
      <c r="GNX553" s="178"/>
      <c r="GNY553" s="178"/>
      <c r="GNZ553" s="178"/>
      <c r="GOA553" s="178"/>
      <c r="GOB553" s="178"/>
      <c r="GOC553" s="178"/>
      <c r="GOD553" s="178"/>
      <c r="GOE553" s="178"/>
      <c r="GOF553" s="178"/>
      <c r="GOG553" s="178"/>
      <c r="GOH553" s="178"/>
      <c r="GOI553" s="178"/>
      <c r="GOJ553" s="178"/>
      <c r="GOK553" s="178"/>
      <c r="GOL553" s="178"/>
      <c r="GOM553" s="178"/>
      <c r="GON553" s="178"/>
      <c r="GOO553" s="178"/>
      <c r="GOP553" s="178"/>
      <c r="GOQ553" s="178"/>
      <c r="GOR553" s="178"/>
      <c r="GOS553" s="178"/>
      <c r="GOT553" s="178"/>
      <c r="GOU553" s="178"/>
      <c r="GOV553" s="178"/>
      <c r="GOW553" s="178"/>
      <c r="GOX553" s="178"/>
      <c r="GOY553" s="178"/>
      <c r="GOZ553" s="178"/>
      <c r="GPA553" s="178"/>
      <c r="GPB553" s="178"/>
      <c r="GPC553" s="178"/>
      <c r="GPD553" s="178"/>
      <c r="GPE553" s="178"/>
      <c r="GPF553" s="178"/>
      <c r="GPG553" s="178"/>
      <c r="GPH553" s="178"/>
      <c r="GPI553" s="178"/>
      <c r="GPJ553" s="178"/>
      <c r="GPK553" s="178"/>
      <c r="GPL553" s="178"/>
      <c r="GPM553" s="178"/>
      <c r="GPN553" s="178"/>
      <c r="GPO553" s="178"/>
      <c r="GPP553" s="178"/>
      <c r="GPQ553" s="178"/>
      <c r="GPR553" s="178"/>
      <c r="GPS553" s="178"/>
      <c r="GPT553" s="178"/>
      <c r="GPU553" s="178"/>
      <c r="GPV553" s="178"/>
      <c r="GPW553" s="178"/>
      <c r="GPX553" s="178"/>
      <c r="GPY553" s="178"/>
      <c r="GPZ553" s="178"/>
      <c r="GQA553" s="178"/>
      <c r="GQB553" s="178"/>
      <c r="GQC553" s="178"/>
      <c r="GQD553" s="178"/>
      <c r="GQE553" s="178"/>
      <c r="GQF553" s="178"/>
      <c r="GQG553" s="178"/>
      <c r="GQH553" s="178"/>
      <c r="GQI553" s="178"/>
      <c r="GQJ553" s="178"/>
      <c r="GQK553" s="178"/>
      <c r="GQL553" s="178"/>
      <c r="GQM553" s="178"/>
      <c r="GQN553" s="178"/>
      <c r="GQO553" s="178"/>
      <c r="GQP553" s="178"/>
      <c r="GQQ553" s="178"/>
      <c r="GQR553" s="178"/>
      <c r="GQS553" s="178"/>
      <c r="GQT553" s="178"/>
      <c r="GQU553" s="178"/>
      <c r="GQV553" s="178"/>
      <c r="GQW553" s="178"/>
      <c r="GQX553" s="178"/>
      <c r="GQY553" s="178"/>
      <c r="GQZ553" s="178"/>
      <c r="GRA553" s="178"/>
      <c r="GRB553" s="178"/>
      <c r="GRC553" s="178"/>
      <c r="GRD553" s="178"/>
      <c r="GRE553" s="178"/>
      <c r="GRF553" s="178"/>
      <c r="GRG553" s="178"/>
      <c r="GRH553" s="178"/>
      <c r="GRI553" s="178"/>
      <c r="GRJ553" s="178"/>
      <c r="GRK553" s="178"/>
      <c r="GRL553" s="178"/>
      <c r="GRM553" s="178"/>
      <c r="GRN553" s="178"/>
      <c r="GRO553" s="178"/>
      <c r="GRP553" s="178"/>
      <c r="GRQ553" s="178"/>
      <c r="GRR553" s="178"/>
      <c r="GRS553" s="178"/>
      <c r="GRT553" s="178"/>
      <c r="GRU553" s="178"/>
      <c r="GRV553" s="178"/>
      <c r="GRW553" s="178"/>
      <c r="GRX553" s="178"/>
      <c r="GRY553" s="178"/>
      <c r="GRZ553" s="178"/>
      <c r="GSA553" s="178"/>
      <c r="GSB553" s="178"/>
      <c r="GSC553" s="178"/>
      <c r="GSD553" s="178"/>
      <c r="GSE553" s="178"/>
      <c r="GSF553" s="178"/>
      <c r="GSG553" s="178"/>
      <c r="GSH553" s="178"/>
      <c r="GSI553" s="178"/>
      <c r="GSJ553" s="178"/>
      <c r="GSK553" s="178"/>
      <c r="GSL553" s="178"/>
      <c r="GSM553" s="178"/>
      <c r="GSN553" s="178"/>
      <c r="GSO553" s="178"/>
      <c r="GSP553" s="178"/>
      <c r="GSQ553" s="178"/>
      <c r="GSR553" s="178"/>
      <c r="GSS553" s="178"/>
      <c r="GST553" s="178"/>
      <c r="GSU553" s="178"/>
      <c r="GSV553" s="178"/>
      <c r="GSW553" s="178"/>
      <c r="GSX553" s="178"/>
      <c r="GSY553" s="178"/>
      <c r="GSZ553" s="178"/>
      <c r="GTA553" s="178"/>
      <c r="GTB553" s="178"/>
      <c r="GTC553" s="178"/>
      <c r="GTD553" s="178"/>
      <c r="GTE553" s="178"/>
      <c r="GTF553" s="178"/>
      <c r="GTG553" s="178"/>
      <c r="GTH553" s="178"/>
      <c r="GTI553" s="178"/>
      <c r="GTJ553" s="178"/>
      <c r="GTK553" s="178"/>
      <c r="GTL553" s="178"/>
      <c r="GTM553" s="178"/>
      <c r="GTN553" s="178"/>
      <c r="GTO553" s="178"/>
      <c r="GTP553" s="178"/>
      <c r="GTQ553" s="178"/>
      <c r="GTR553" s="178"/>
      <c r="GTS553" s="178"/>
      <c r="GTT553" s="178"/>
      <c r="GTU553" s="178"/>
      <c r="GTV553" s="178"/>
      <c r="GTW553" s="178"/>
      <c r="GTX553" s="178"/>
      <c r="GTY553" s="178"/>
      <c r="GTZ553" s="178"/>
      <c r="GUA553" s="178"/>
      <c r="GUB553" s="178"/>
      <c r="GUC553" s="178"/>
      <c r="GUD553" s="178"/>
      <c r="GUE553" s="178"/>
      <c r="GUF553" s="178"/>
      <c r="GUG553" s="178"/>
      <c r="GUH553" s="178"/>
      <c r="GUI553" s="178"/>
      <c r="GUJ553" s="178"/>
      <c r="GUK553" s="178"/>
      <c r="GUL553" s="178"/>
      <c r="GUM553" s="178"/>
      <c r="GUN553" s="178"/>
      <c r="GUO553" s="178"/>
      <c r="GUP553" s="178"/>
      <c r="GUQ553" s="178"/>
      <c r="GUR553" s="178"/>
      <c r="GUS553" s="178"/>
      <c r="GUT553" s="178"/>
      <c r="GUU553" s="178"/>
      <c r="GUV553" s="178"/>
      <c r="GUW553" s="178"/>
      <c r="GUX553" s="178"/>
      <c r="GUY553" s="178"/>
      <c r="GUZ553" s="178"/>
      <c r="GVA553" s="178"/>
      <c r="GVB553" s="178"/>
      <c r="GVC553" s="178"/>
      <c r="GVD553" s="178"/>
      <c r="GVE553" s="178"/>
      <c r="GVF553" s="178"/>
      <c r="GVG553" s="178"/>
      <c r="GVH553" s="178"/>
      <c r="GVI553" s="178"/>
      <c r="GVJ553" s="178"/>
      <c r="GVK553" s="178"/>
      <c r="GVL553" s="178"/>
      <c r="GVM553" s="178"/>
      <c r="GVN553" s="178"/>
      <c r="GVO553" s="178"/>
      <c r="GVP553" s="178"/>
      <c r="GVQ553" s="178"/>
      <c r="GVR553" s="178"/>
      <c r="GVS553" s="178"/>
      <c r="GVT553" s="178"/>
      <c r="GVU553" s="178"/>
      <c r="GVV553" s="178"/>
      <c r="GVW553" s="178"/>
      <c r="GVX553" s="178"/>
      <c r="GVY553" s="178"/>
      <c r="GVZ553" s="178"/>
      <c r="GWA553" s="178"/>
      <c r="GWB553" s="178"/>
      <c r="GWC553" s="178"/>
      <c r="GWD553" s="178"/>
      <c r="GWE553" s="178"/>
      <c r="GWF553" s="178"/>
      <c r="GWG553" s="178"/>
      <c r="GWH553" s="178"/>
      <c r="GWI553" s="178"/>
      <c r="GWJ553" s="178"/>
      <c r="GWK553" s="178"/>
      <c r="GWL553" s="178"/>
      <c r="GWM553" s="178"/>
      <c r="GWN553" s="178"/>
      <c r="GWO553" s="178"/>
      <c r="GWP553" s="178"/>
      <c r="GWQ553" s="178"/>
      <c r="GWR553" s="178"/>
      <c r="GWS553" s="178"/>
      <c r="GWT553" s="178"/>
      <c r="GWU553" s="178"/>
      <c r="GWV553" s="178"/>
      <c r="GWW553" s="178"/>
      <c r="GWX553" s="178"/>
      <c r="GWY553" s="178"/>
      <c r="GWZ553" s="178"/>
      <c r="GXA553" s="178"/>
      <c r="GXB553" s="178"/>
      <c r="GXC553" s="178"/>
      <c r="GXD553" s="178"/>
      <c r="GXE553" s="178"/>
      <c r="GXF553" s="178"/>
      <c r="GXG553" s="178"/>
      <c r="GXH553" s="178"/>
      <c r="GXI553" s="178"/>
      <c r="GXJ553" s="178"/>
      <c r="GXK553" s="178"/>
      <c r="GXL553" s="178"/>
      <c r="GXM553" s="178"/>
      <c r="GXN553" s="178"/>
      <c r="GXO553" s="178"/>
      <c r="GXP553" s="178"/>
      <c r="GXQ553" s="178"/>
      <c r="GXR553" s="178"/>
      <c r="GXS553" s="178"/>
      <c r="GXT553" s="178"/>
      <c r="GXU553" s="178"/>
      <c r="GXV553" s="178"/>
      <c r="GXW553" s="178"/>
      <c r="GXX553" s="178"/>
      <c r="GXY553" s="178"/>
      <c r="GXZ553" s="178"/>
      <c r="GYA553" s="178"/>
      <c r="GYB553" s="178"/>
      <c r="GYC553" s="178"/>
      <c r="GYD553" s="178"/>
      <c r="GYE553" s="178"/>
      <c r="GYF553" s="178"/>
      <c r="GYG553" s="178"/>
      <c r="GYH553" s="178"/>
      <c r="GYI553" s="178"/>
      <c r="GYJ553" s="178"/>
      <c r="GYK553" s="178"/>
      <c r="GYL553" s="178"/>
      <c r="GYM553" s="178"/>
      <c r="GYN553" s="178"/>
      <c r="GYO553" s="178"/>
      <c r="GYP553" s="178"/>
      <c r="GYQ553" s="178"/>
      <c r="GYR553" s="178"/>
      <c r="GYS553" s="178"/>
      <c r="GYT553" s="178"/>
      <c r="GYU553" s="178"/>
      <c r="GYV553" s="178"/>
      <c r="GYW553" s="178"/>
      <c r="GYX553" s="178"/>
      <c r="GYY553" s="178"/>
      <c r="GYZ553" s="178"/>
      <c r="GZA553" s="178"/>
      <c r="GZB553" s="178"/>
      <c r="GZC553" s="178"/>
      <c r="GZD553" s="178"/>
      <c r="GZE553" s="178"/>
      <c r="GZF553" s="178"/>
      <c r="GZG553" s="178"/>
      <c r="GZH553" s="178"/>
      <c r="GZI553" s="178"/>
      <c r="GZJ553" s="178"/>
      <c r="GZK553" s="178"/>
      <c r="GZL553" s="178"/>
      <c r="GZM553" s="178"/>
      <c r="GZN553" s="178"/>
      <c r="GZO553" s="178"/>
      <c r="GZP553" s="178"/>
      <c r="GZQ553" s="178"/>
      <c r="GZR553" s="178"/>
      <c r="GZS553" s="178"/>
      <c r="GZT553" s="178"/>
      <c r="GZU553" s="178"/>
      <c r="GZV553" s="178"/>
      <c r="GZW553" s="178"/>
      <c r="GZX553" s="178"/>
      <c r="GZY553" s="178"/>
      <c r="GZZ553" s="178"/>
      <c r="HAA553" s="178"/>
      <c r="HAB553" s="178"/>
      <c r="HAC553" s="178"/>
      <c r="HAD553" s="178"/>
      <c r="HAE553" s="178"/>
      <c r="HAF553" s="178"/>
      <c r="HAG553" s="178"/>
      <c r="HAH553" s="178"/>
      <c r="HAI553" s="178"/>
      <c r="HAJ553" s="178"/>
      <c r="HAK553" s="178"/>
      <c r="HAL553" s="178"/>
      <c r="HAM553" s="178"/>
      <c r="HAN553" s="178"/>
      <c r="HAO553" s="178"/>
      <c r="HAP553" s="178"/>
      <c r="HAQ553" s="178"/>
      <c r="HAR553" s="178"/>
      <c r="HAS553" s="178"/>
      <c r="HAT553" s="178"/>
      <c r="HAU553" s="178"/>
      <c r="HAV553" s="178"/>
      <c r="HAW553" s="178"/>
      <c r="HAX553" s="178"/>
      <c r="HAY553" s="178"/>
      <c r="HAZ553" s="178"/>
      <c r="HBA553" s="178"/>
      <c r="HBB553" s="178"/>
      <c r="HBC553" s="178"/>
      <c r="HBD553" s="178"/>
      <c r="HBE553" s="178"/>
      <c r="HBF553" s="178"/>
      <c r="HBG553" s="178"/>
      <c r="HBH553" s="178"/>
      <c r="HBI553" s="178"/>
      <c r="HBJ553" s="178"/>
      <c r="HBK553" s="178"/>
      <c r="HBL553" s="178"/>
      <c r="HBM553" s="178"/>
      <c r="HBN553" s="178"/>
      <c r="HBO553" s="178"/>
      <c r="HBP553" s="178"/>
      <c r="HBQ553" s="178"/>
      <c r="HBR553" s="178"/>
      <c r="HBS553" s="178"/>
      <c r="HBT553" s="178"/>
      <c r="HBU553" s="178"/>
      <c r="HBV553" s="178"/>
      <c r="HBW553" s="178"/>
      <c r="HBX553" s="178"/>
      <c r="HBY553" s="178"/>
      <c r="HBZ553" s="178"/>
      <c r="HCA553" s="178"/>
      <c r="HCB553" s="178"/>
      <c r="HCC553" s="178"/>
      <c r="HCD553" s="178"/>
      <c r="HCE553" s="178"/>
      <c r="HCF553" s="178"/>
      <c r="HCG553" s="178"/>
      <c r="HCH553" s="178"/>
      <c r="HCI553" s="178"/>
      <c r="HCJ553" s="178"/>
      <c r="HCK553" s="178"/>
      <c r="HCL553" s="178"/>
      <c r="HCM553" s="178"/>
      <c r="HCN553" s="178"/>
      <c r="HCO553" s="178"/>
      <c r="HCP553" s="178"/>
      <c r="HCQ553" s="178"/>
      <c r="HCR553" s="178"/>
      <c r="HCS553" s="178"/>
      <c r="HCT553" s="178"/>
      <c r="HCU553" s="178"/>
      <c r="HCV553" s="178"/>
      <c r="HCW553" s="178"/>
      <c r="HCX553" s="178"/>
      <c r="HCY553" s="178"/>
      <c r="HCZ553" s="178"/>
      <c r="HDA553" s="178"/>
      <c r="HDB553" s="178"/>
      <c r="HDC553" s="178"/>
      <c r="HDD553" s="178"/>
      <c r="HDE553" s="178"/>
      <c r="HDF553" s="178"/>
      <c r="HDG553" s="178"/>
      <c r="HDH553" s="178"/>
      <c r="HDI553" s="178"/>
      <c r="HDJ553" s="178"/>
      <c r="HDK553" s="178"/>
      <c r="HDL553" s="178"/>
      <c r="HDM553" s="178"/>
      <c r="HDN553" s="178"/>
      <c r="HDO553" s="178"/>
      <c r="HDP553" s="178"/>
      <c r="HDQ553" s="178"/>
      <c r="HDR553" s="178"/>
      <c r="HDS553" s="178"/>
      <c r="HDT553" s="178"/>
      <c r="HDU553" s="178"/>
      <c r="HDV553" s="178"/>
      <c r="HDW553" s="178"/>
      <c r="HDX553" s="178"/>
      <c r="HDY553" s="178"/>
      <c r="HDZ553" s="178"/>
      <c r="HEA553" s="178"/>
      <c r="HEB553" s="178"/>
      <c r="HEC553" s="178"/>
      <c r="HED553" s="178"/>
      <c r="HEE553" s="178"/>
      <c r="HEF553" s="178"/>
      <c r="HEG553" s="178"/>
      <c r="HEH553" s="178"/>
      <c r="HEI553" s="178"/>
      <c r="HEJ553" s="178"/>
      <c r="HEK553" s="178"/>
      <c r="HEL553" s="178"/>
      <c r="HEM553" s="178"/>
      <c r="HEN553" s="178"/>
      <c r="HEO553" s="178"/>
      <c r="HEP553" s="178"/>
      <c r="HEQ553" s="178"/>
      <c r="HER553" s="178"/>
      <c r="HES553" s="178"/>
      <c r="HET553" s="178"/>
      <c r="HEU553" s="178"/>
      <c r="HEV553" s="178"/>
      <c r="HEW553" s="178"/>
      <c r="HEX553" s="178"/>
      <c r="HEY553" s="178"/>
      <c r="HEZ553" s="178"/>
      <c r="HFA553" s="178"/>
      <c r="HFB553" s="178"/>
      <c r="HFC553" s="178"/>
      <c r="HFD553" s="178"/>
      <c r="HFE553" s="178"/>
      <c r="HFF553" s="178"/>
      <c r="HFG553" s="178"/>
      <c r="HFH553" s="178"/>
      <c r="HFI553" s="178"/>
      <c r="HFJ553" s="178"/>
      <c r="HFK553" s="178"/>
      <c r="HFL553" s="178"/>
      <c r="HFM553" s="178"/>
      <c r="HFN553" s="178"/>
      <c r="HFO553" s="178"/>
      <c r="HFP553" s="178"/>
      <c r="HFQ553" s="178"/>
      <c r="HFR553" s="178"/>
      <c r="HFS553" s="178"/>
      <c r="HFT553" s="178"/>
      <c r="HFU553" s="178"/>
      <c r="HFV553" s="178"/>
      <c r="HFW553" s="178"/>
      <c r="HFX553" s="178"/>
      <c r="HFY553" s="178"/>
      <c r="HFZ553" s="178"/>
      <c r="HGA553" s="178"/>
      <c r="HGB553" s="178"/>
      <c r="HGC553" s="178"/>
      <c r="HGD553" s="178"/>
      <c r="HGE553" s="178"/>
      <c r="HGF553" s="178"/>
      <c r="HGG553" s="178"/>
      <c r="HGH553" s="178"/>
      <c r="HGI553" s="178"/>
      <c r="HGJ553" s="178"/>
      <c r="HGK553" s="178"/>
      <c r="HGL553" s="178"/>
      <c r="HGM553" s="178"/>
      <c r="HGN553" s="178"/>
      <c r="HGO553" s="178"/>
      <c r="HGP553" s="178"/>
      <c r="HGQ553" s="178"/>
      <c r="HGR553" s="178"/>
      <c r="HGS553" s="178"/>
      <c r="HGT553" s="178"/>
      <c r="HGU553" s="178"/>
      <c r="HGV553" s="178"/>
      <c r="HGW553" s="178"/>
      <c r="HGX553" s="178"/>
      <c r="HGY553" s="178"/>
      <c r="HGZ553" s="178"/>
      <c r="HHA553" s="178"/>
      <c r="HHB553" s="178"/>
      <c r="HHC553" s="178"/>
      <c r="HHD553" s="178"/>
      <c r="HHE553" s="178"/>
      <c r="HHF553" s="178"/>
      <c r="HHG553" s="178"/>
      <c r="HHH553" s="178"/>
      <c r="HHI553" s="178"/>
      <c r="HHJ553" s="178"/>
      <c r="HHK553" s="178"/>
      <c r="HHL553" s="178"/>
      <c r="HHM553" s="178"/>
      <c r="HHN553" s="178"/>
      <c r="HHO553" s="178"/>
      <c r="HHP553" s="178"/>
      <c r="HHQ553" s="178"/>
      <c r="HHR553" s="178"/>
      <c r="HHS553" s="178"/>
      <c r="HHT553" s="178"/>
      <c r="HHU553" s="178"/>
      <c r="HHV553" s="178"/>
      <c r="HHW553" s="178"/>
      <c r="HHX553" s="178"/>
      <c r="HHY553" s="178"/>
      <c r="HHZ553" s="178"/>
      <c r="HIA553" s="178"/>
      <c r="HIB553" s="178"/>
      <c r="HIC553" s="178"/>
      <c r="HID553" s="178"/>
      <c r="HIE553" s="178"/>
      <c r="HIF553" s="178"/>
      <c r="HIG553" s="178"/>
      <c r="HIH553" s="178"/>
      <c r="HII553" s="178"/>
      <c r="HIJ553" s="178"/>
      <c r="HIK553" s="178"/>
      <c r="HIL553" s="178"/>
      <c r="HIM553" s="178"/>
      <c r="HIN553" s="178"/>
      <c r="HIO553" s="178"/>
      <c r="HIP553" s="178"/>
      <c r="HIQ553" s="178"/>
      <c r="HIR553" s="178"/>
      <c r="HIS553" s="178"/>
      <c r="HIT553" s="178"/>
      <c r="HIU553" s="178"/>
      <c r="HIV553" s="178"/>
      <c r="HIW553" s="178"/>
      <c r="HIX553" s="178"/>
      <c r="HIY553" s="178"/>
      <c r="HIZ553" s="178"/>
      <c r="HJA553" s="178"/>
      <c r="HJB553" s="178"/>
      <c r="HJC553" s="178"/>
      <c r="HJD553" s="178"/>
      <c r="HJE553" s="178"/>
      <c r="HJF553" s="178"/>
      <c r="HJG553" s="178"/>
      <c r="HJH553" s="178"/>
      <c r="HJI553" s="178"/>
      <c r="HJJ553" s="178"/>
      <c r="HJK553" s="178"/>
      <c r="HJL553" s="178"/>
      <c r="HJM553" s="178"/>
      <c r="HJN553" s="178"/>
      <c r="HJO553" s="178"/>
      <c r="HJP553" s="178"/>
      <c r="HJQ553" s="178"/>
      <c r="HJR553" s="178"/>
      <c r="HJS553" s="178"/>
      <c r="HJT553" s="178"/>
      <c r="HJU553" s="178"/>
      <c r="HJV553" s="178"/>
      <c r="HJW553" s="178"/>
      <c r="HJX553" s="178"/>
      <c r="HJY553" s="178"/>
      <c r="HJZ553" s="178"/>
      <c r="HKA553" s="178"/>
      <c r="HKB553" s="178"/>
      <c r="HKC553" s="178"/>
      <c r="HKD553" s="178"/>
      <c r="HKE553" s="178"/>
      <c r="HKF553" s="178"/>
      <c r="HKG553" s="178"/>
      <c r="HKH553" s="178"/>
      <c r="HKI553" s="178"/>
      <c r="HKJ553" s="178"/>
      <c r="HKK553" s="178"/>
      <c r="HKL553" s="178"/>
      <c r="HKM553" s="178"/>
      <c r="HKN553" s="178"/>
      <c r="HKO553" s="178"/>
      <c r="HKP553" s="178"/>
      <c r="HKQ553" s="178"/>
      <c r="HKR553" s="178"/>
      <c r="HKS553" s="178"/>
      <c r="HKT553" s="178"/>
      <c r="HKU553" s="178"/>
      <c r="HKV553" s="178"/>
      <c r="HKW553" s="178"/>
      <c r="HKX553" s="178"/>
      <c r="HKY553" s="178"/>
      <c r="HKZ553" s="178"/>
      <c r="HLA553" s="178"/>
      <c r="HLB553" s="178"/>
      <c r="HLC553" s="178"/>
      <c r="HLD553" s="178"/>
      <c r="HLE553" s="178"/>
      <c r="HLF553" s="178"/>
      <c r="HLG553" s="178"/>
      <c r="HLH553" s="178"/>
      <c r="HLI553" s="178"/>
      <c r="HLJ553" s="178"/>
      <c r="HLK553" s="178"/>
      <c r="HLL553" s="178"/>
      <c r="HLM553" s="178"/>
      <c r="HLN553" s="178"/>
      <c r="HLO553" s="178"/>
      <c r="HLP553" s="178"/>
      <c r="HLQ553" s="178"/>
      <c r="HLR553" s="178"/>
      <c r="HLS553" s="178"/>
      <c r="HLT553" s="178"/>
      <c r="HLU553" s="178"/>
      <c r="HLV553" s="178"/>
      <c r="HLW553" s="178"/>
      <c r="HLX553" s="178"/>
      <c r="HLY553" s="178"/>
      <c r="HLZ553" s="178"/>
      <c r="HMA553" s="178"/>
      <c r="HMB553" s="178"/>
      <c r="HMC553" s="178"/>
      <c r="HMD553" s="178"/>
      <c r="HME553" s="178"/>
      <c r="HMF553" s="178"/>
      <c r="HMG553" s="178"/>
      <c r="HMH553" s="178"/>
      <c r="HMI553" s="178"/>
      <c r="HMJ553" s="178"/>
      <c r="HMK553" s="178"/>
      <c r="HML553" s="178"/>
      <c r="HMM553" s="178"/>
      <c r="HMN553" s="178"/>
      <c r="HMO553" s="178"/>
      <c r="HMP553" s="178"/>
      <c r="HMQ553" s="178"/>
      <c r="HMR553" s="178"/>
      <c r="HMS553" s="178"/>
      <c r="HMT553" s="178"/>
      <c r="HMU553" s="178"/>
      <c r="HMV553" s="178"/>
      <c r="HMW553" s="178"/>
      <c r="HMX553" s="178"/>
      <c r="HMY553" s="178"/>
      <c r="HMZ553" s="178"/>
      <c r="HNA553" s="178"/>
      <c r="HNB553" s="178"/>
      <c r="HNC553" s="178"/>
      <c r="HND553" s="178"/>
      <c r="HNE553" s="178"/>
      <c r="HNF553" s="178"/>
      <c r="HNG553" s="178"/>
      <c r="HNH553" s="178"/>
      <c r="HNI553" s="178"/>
      <c r="HNJ553" s="178"/>
      <c r="HNK553" s="178"/>
      <c r="HNL553" s="178"/>
      <c r="HNM553" s="178"/>
      <c r="HNN553" s="178"/>
      <c r="HNO553" s="178"/>
      <c r="HNP553" s="178"/>
      <c r="HNQ553" s="178"/>
      <c r="HNR553" s="178"/>
      <c r="HNS553" s="178"/>
      <c r="HNT553" s="178"/>
      <c r="HNU553" s="178"/>
      <c r="HNV553" s="178"/>
      <c r="HNW553" s="178"/>
      <c r="HNX553" s="178"/>
      <c r="HNY553" s="178"/>
      <c r="HNZ553" s="178"/>
      <c r="HOA553" s="178"/>
      <c r="HOB553" s="178"/>
      <c r="HOC553" s="178"/>
      <c r="HOD553" s="178"/>
      <c r="HOE553" s="178"/>
      <c r="HOF553" s="178"/>
      <c r="HOG553" s="178"/>
      <c r="HOH553" s="178"/>
      <c r="HOI553" s="178"/>
      <c r="HOJ553" s="178"/>
      <c r="HOK553" s="178"/>
      <c r="HOL553" s="178"/>
      <c r="HOM553" s="178"/>
      <c r="HON553" s="178"/>
      <c r="HOO553" s="178"/>
      <c r="HOP553" s="178"/>
      <c r="HOQ553" s="178"/>
      <c r="HOR553" s="178"/>
      <c r="HOS553" s="178"/>
      <c r="HOT553" s="178"/>
      <c r="HOU553" s="178"/>
      <c r="HOV553" s="178"/>
      <c r="HOW553" s="178"/>
      <c r="HOX553" s="178"/>
      <c r="HOY553" s="178"/>
      <c r="HOZ553" s="178"/>
      <c r="HPA553" s="178"/>
      <c r="HPB553" s="178"/>
      <c r="HPC553" s="178"/>
      <c r="HPD553" s="178"/>
      <c r="HPE553" s="178"/>
      <c r="HPF553" s="178"/>
      <c r="HPG553" s="178"/>
      <c r="HPH553" s="178"/>
      <c r="HPI553" s="178"/>
      <c r="HPJ553" s="178"/>
      <c r="HPK553" s="178"/>
      <c r="HPL553" s="178"/>
      <c r="HPM553" s="178"/>
      <c r="HPN553" s="178"/>
      <c r="HPO553" s="178"/>
      <c r="HPP553" s="178"/>
      <c r="HPQ553" s="178"/>
      <c r="HPR553" s="178"/>
      <c r="HPS553" s="178"/>
      <c r="HPT553" s="178"/>
      <c r="HPU553" s="178"/>
      <c r="HPV553" s="178"/>
      <c r="HPW553" s="178"/>
      <c r="HPX553" s="178"/>
      <c r="HPY553" s="178"/>
      <c r="HPZ553" s="178"/>
      <c r="HQA553" s="178"/>
      <c r="HQB553" s="178"/>
      <c r="HQC553" s="178"/>
      <c r="HQD553" s="178"/>
      <c r="HQE553" s="178"/>
      <c r="HQF553" s="178"/>
      <c r="HQG553" s="178"/>
      <c r="HQH553" s="178"/>
      <c r="HQI553" s="178"/>
      <c r="HQJ553" s="178"/>
      <c r="HQK553" s="178"/>
      <c r="HQL553" s="178"/>
      <c r="HQM553" s="178"/>
      <c r="HQN553" s="178"/>
      <c r="HQO553" s="178"/>
      <c r="HQP553" s="178"/>
      <c r="HQQ553" s="178"/>
      <c r="HQR553" s="178"/>
      <c r="HQS553" s="178"/>
      <c r="HQT553" s="178"/>
      <c r="HQU553" s="178"/>
      <c r="HQV553" s="178"/>
      <c r="HQW553" s="178"/>
      <c r="HQX553" s="178"/>
      <c r="HQY553" s="178"/>
      <c r="HQZ553" s="178"/>
      <c r="HRA553" s="178"/>
      <c r="HRB553" s="178"/>
      <c r="HRC553" s="178"/>
      <c r="HRD553" s="178"/>
      <c r="HRE553" s="178"/>
      <c r="HRF553" s="178"/>
      <c r="HRG553" s="178"/>
      <c r="HRH553" s="178"/>
      <c r="HRI553" s="178"/>
      <c r="HRJ553" s="178"/>
      <c r="HRK553" s="178"/>
      <c r="HRL553" s="178"/>
      <c r="HRM553" s="178"/>
      <c r="HRN553" s="178"/>
      <c r="HRO553" s="178"/>
      <c r="HRP553" s="178"/>
      <c r="HRQ553" s="178"/>
      <c r="HRR553" s="178"/>
      <c r="HRS553" s="178"/>
      <c r="HRT553" s="178"/>
      <c r="HRU553" s="178"/>
      <c r="HRV553" s="178"/>
      <c r="HRW553" s="178"/>
      <c r="HRX553" s="178"/>
      <c r="HRY553" s="178"/>
      <c r="HRZ553" s="178"/>
      <c r="HSA553" s="178"/>
      <c r="HSB553" s="178"/>
      <c r="HSC553" s="178"/>
      <c r="HSD553" s="178"/>
      <c r="HSE553" s="178"/>
      <c r="HSF553" s="178"/>
      <c r="HSG553" s="178"/>
      <c r="HSH553" s="178"/>
      <c r="HSI553" s="178"/>
      <c r="HSJ553" s="178"/>
      <c r="HSK553" s="178"/>
      <c r="HSL553" s="178"/>
      <c r="HSM553" s="178"/>
      <c r="HSN553" s="178"/>
      <c r="HSO553" s="178"/>
      <c r="HSP553" s="178"/>
      <c r="HSQ553" s="178"/>
      <c r="HSR553" s="178"/>
      <c r="HSS553" s="178"/>
      <c r="HST553" s="178"/>
      <c r="HSU553" s="178"/>
      <c r="HSV553" s="178"/>
      <c r="HSW553" s="178"/>
      <c r="HSX553" s="178"/>
      <c r="HSY553" s="178"/>
      <c r="HSZ553" s="178"/>
      <c r="HTA553" s="178"/>
      <c r="HTB553" s="178"/>
      <c r="HTC553" s="178"/>
      <c r="HTD553" s="178"/>
      <c r="HTE553" s="178"/>
      <c r="HTF553" s="178"/>
      <c r="HTG553" s="178"/>
      <c r="HTH553" s="178"/>
      <c r="HTI553" s="178"/>
      <c r="HTJ553" s="178"/>
      <c r="HTK553" s="178"/>
      <c r="HTL553" s="178"/>
      <c r="HTM553" s="178"/>
      <c r="HTN553" s="178"/>
      <c r="HTO553" s="178"/>
      <c r="HTP553" s="178"/>
      <c r="HTQ553" s="178"/>
      <c r="HTR553" s="178"/>
      <c r="HTS553" s="178"/>
      <c r="HTT553" s="178"/>
      <c r="HTU553" s="178"/>
      <c r="HTV553" s="178"/>
      <c r="HTW553" s="178"/>
      <c r="HTX553" s="178"/>
      <c r="HTY553" s="178"/>
      <c r="HTZ553" s="178"/>
      <c r="HUA553" s="178"/>
      <c r="HUB553" s="178"/>
      <c r="HUC553" s="178"/>
      <c r="HUD553" s="178"/>
      <c r="HUE553" s="178"/>
      <c r="HUF553" s="178"/>
      <c r="HUG553" s="178"/>
      <c r="HUH553" s="178"/>
      <c r="HUI553" s="178"/>
      <c r="HUJ553" s="178"/>
      <c r="HUK553" s="178"/>
      <c r="HUL553" s="178"/>
      <c r="HUM553" s="178"/>
      <c r="HUN553" s="178"/>
      <c r="HUO553" s="178"/>
      <c r="HUP553" s="178"/>
      <c r="HUQ553" s="178"/>
      <c r="HUR553" s="178"/>
      <c r="HUS553" s="178"/>
      <c r="HUT553" s="178"/>
      <c r="HUU553" s="178"/>
      <c r="HUV553" s="178"/>
      <c r="HUW553" s="178"/>
      <c r="HUX553" s="178"/>
      <c r="HUY553" s="178"/>
      <c r="HUZ553" s="178"/>
      <c r="HVA553" s="178"/>
      <c r="HVB553" s="178"/>
      <c r="HVC553" s="178"/>
      <c r="HVD553" s="178"/>
      <c r="HVE553" s="178"/>
      <c r="HVF553" s="178"/>
      <c r="HVG553" s="178"/>
      <c r="HVH553" s="178"/>
      <c r="HVI553" s="178"/>
      <c r="HVJ553" s="178"/>
      <c r="HVK553" s="178"/>
      <c r="HVL553" s="178"/>
      <c r="HVM553" s="178"/>
      <c r="HVN553" s="178"/>
      <c r="HVO553" s="178"/>
      <c r="HVP553" s="178"/>
      <c r="HVQ553" s="178"/>
      <c r="HVR553" s="178"/>
      <c r="HVS553" s="178"/>
      <c r="HVT553" s="178"/>
      <c r="HVU553" s="178"/>
      <c r="HVV553" s="178"/>
      <c r="HVW553" s="178"/>
      <c r="HVX553" s="178"/>
      <c r="HVY553" s="178"/>
      <c r="HVZ553" s="178"/>
      <c r="HWA553" s="178"/>
      <c r="HWB553" s="178"/>
      <c r="HWC553" s="178"/>
      <c r="HWD553" s="178"/>
      <c r="HWE553" s="178"/>
      <c r="HWF553" s="178"/>
      <c r="HWG553" s="178"/>
      <c r="HWH553" s="178"/>
      <c r="HWI553" s="178"/>
      <c r="HWJ553" s="178"/>
      <c r="HWK553" s="178"/>
      <c r="HWL553" s="178"/>
      <c r="HWM553" s="178"/>
      <c r="HWN553" s="178"/>
      <c r="HWO553" s="178"/>
      <c r="HWP553" s="178"/>
      <c r="HWQ553" s="178"/>
      <c r="HWR553" s="178"/>
      <c r="HWS553" s="178"/>
      <c r="HWT553" s="178"/>
      <c r="HWU553" s="178"/>
      <c r="HWV553" s="178"/>
      <c r="HWW553" s="178"/>
      <c r="HWX553" s="178"/>
      <c r="HWY553" s="178"/>
      <c r="HWZ553" s="178"/>
      <c r="HXA553" s="178"/>
      <c r="HXB553" s="178"/>
      <c r="HXC553" s="178"/>
      <c r="HXD553" s="178"/>
      <c r="HXE553" s="178"/>
      <c r="HXF553" s="178"/>
      <c r="HXG553" s="178"/>
      <c r="HXH553" s="178"/>
      <c r="HXI553" s="178"/>
      <c r="HXJ553" s="178"/>
      <c r="HXK553" s="178"/>
      <c r="HXL553" s="178"/>
      <c r="HXM553" s="178"/>
      <c r="HXN553" s="178"/>
      <c r="HXO553" s="178"/>
      <c r="HXP553" s="178"/>
      <c r="HXQ553" s="178"/>
      <c r="HXR553" s="178"/>
      <c r="HXS553" s="178"/>
      <c r="HXT553" s="178"/>
      <c r="HXU553" s="178"/>
      <c r="HXV553" s="178"/>
      <c r="HXW553" s="178"/>
      <c r="HXX553" s="178"/>
      <c r="HXY553" s="178"/>
      <c r="HXZ553" s="178"/>
      <c r="HYA553" s="178"/>
      <c r="HYB553" s="178"/>
      <c r="HYC553" s="178"/>
      <c r="HYD553" s="178"/>
      <c r="HYE553" s="178"/>
      <c r="HYF553" s="178"/>
      <c r="HYG553" s="178"/>
      <c r="HYH553" s="178"/>
      <c r="HYI553" s="178"/>
      <c r="HYJ553" s="178"/>
      <c r="HYK553" s="178"/>
      <c r="HYL553" s="178"/>
      <c r="HYM553" s="178"/>
      <c r="HYN553" s="178"/>
      <c r="HYO553" s="178"/>
      <c r="HYP553" s="178"/>
      <c r="HYQ553" s="178"/>
      <c r="HYR553" s="178"/>
      <c r="HYS553" s="178"/>
      <c r="HYT553" s="178"/>
      <c r="HYU553" s="178"/>
      <c r="HYV553" s="178"/>
      <c r="HYW553" s="178"/>
      <c r="HYX553" s="178"/>
      <c r="HYY553" s="178"/>
      <c r="HYZ553" s="178"/>
      <c r="HZA553" s="178"/>
      <c r="HZB553" s="178"/>
      <c r="HZC553" s="178"/>
      <c r="HZD553" s="178"/>
      <c r="HZE553" s="178"/>
      <c r="HZF553" s="178"/>
      <c r="HZG553" s="178"/>
      <c r="HZH553" s="178"/>
      <c r="HZI553" s="178"/>
      <c r="HZJ553" s="178"/>
      <c r="HZK553" s="178"/>
      <c r="HZL553" s="178"/>
      <c r="HZM553" s="178"/>
      <c r="HZN553" s="178"/>
      <c r="HZO553" s="178"/>
      <c r="HZP553" s="178"/>
      <c r="HZQ553" s="178"/>
      <c r="HZR553" s="178"/>
      <c r="HZS553" s="178"/>
      <c r="HZT553" s="178"/>
      <c r="HZU553" s="178"/>
      <c r="HZV553" s="178"/>
      <c r="HZW553" s="178"/>
      <c r="HZX553" s="178"/>
      <c r="HZY553" s="178"/>
      <c r="HZZ553" s="178"/>
      <c r="IAA553" s="178"/>
      <c r="IAB553" s="178"/>
      <c r="IAC553" s="178"/>
      <c r="IAD553" s="178"/>
      <c r="IAE553" s="178"/>
      <c r="IAF553" s="178"/>
      <c r="IAG553" s="178"/>
      <c r="IAH553" s="178"/>
      <c r="IAI553" s="178"/>
      <c r="IAJ553" s="178"/>
      <c r="IAK553" s="178"/>
      <c r="IAL553" s="178"/>
      <c r="IAM553" s="178"/>
      <c r="IAN553" s="178"/>
      <c r="IAO553" s="178"/>
      <c r="IAP553" s="178"/>
      <c r="IAQ553" s="178"/>
      <c r="IAR553" s="178"/>
      <c r="IAS553" s="178"/>
      <c r="IAT553" s="178"/>
      <c r="IAU553" s="178"/>
      <c r="IAV553" s="178"/>
      <c r="IAW553" s="178"/>
      <c r="IAX553" s="178"/>
      <c r="IAY553" s="178"/>
      <c r="IAZ553" s="178"/>
      <c r="IBA553" s="178"/>
      <c r="IBB553" s="178"/>
      <c r="IBC553" s="178"/>
      <c r="IBD553" s="178"/>
      <c r="IBE553" s="178"/>
      <c r="IBF553" s="178"/>
      <c r="IBG553" s="178"/>
      <c r="IBH553" s="178"/>
      <c r="IBI553" s="178"/>
      <c r="IBJ553" s="178"/>
      <c r="IBK553" s="178"/>
      <c r="IBL553" s="178"/>
      <c r="IBM553" s="178"/>
      <c r="IBN553" s="178"/>
      <c r="IBO553" s="178"/>
      <c r="IBP553" s="178"/>
      <c r="IBQ553" s="178"/>
      <c r="IBR553" s="178"/>
      <c r="IBS553" s="178"/>
      <c r="IBT553" s="178"/>
      <c r="IBU553" s="178"/>
      <c r="IBV553" s="178"/>
      <c r="IBW553" s="178"/>
      <c r="IBX553" s="178"/>
      <c r="IBY553" s="178"/>
      <c r="IBZ553" s="178"/>
      <c r="ICA553" s="178"/>
      <c r="ICB553" s="178"/>
      <c r="ICC553" s="178"/>
      <c r="ICD553" s="178"/>
      <c r="ICE553" s="178"/>
      <c r="ICF553" s="178"/>
      <c r="ICG553" s="178"/>
      <c r="ICH553" s="178"/>
      <c r="ICI553" s="178"/>
      <c r="ICJ553" s="178"/>
      <c r="ICK553" s="178"/>
      <c r="ICL553" s="178"/>
      <c r="ICM553" s="178"/>
      <c r="ICN553" s="178"/>
      <c r="ICO553" s="178"/>
      <c r="ICP553" s="178"/>
      <c r="ICQ553" s="178"/>
      <c r="ICR553" s="178"/>
      <c r="ICS553" s="178"/>
      <c r="ICT553" s="178"/>
      <c r="ICU553" s="178"/>
      <c r="ICV553" s="178"/>
      <c r="ICW553" s="178"/>
      <c r="ICX553" s="178"/>
      <c r="ICY553" s="178"/>
      <c r="ICZ553" s="178"/>
      <c r="IDA553" s="178"/>
      <c r="IDB553" s="178"/>
      <c r="IDC553" s="178"/>
      <c r="IDD553" s="178"/>
      <c r="IDE553" s="178"/>
      <c r="IDF553" s="178"/>
      <c r="IDG553" s="178"/>
      <c r="IDH553" s="178"/>
      <c r="IDI553" s="178"/>
      <c r="IDJ553" s="178"/>
      <c r="IDK553" s="178"/>
      <c r="IDL553" s="178"/>
      <c r="IDM553" s="178"/>
      <c r="IDN553" s="178"/>
      <c r="IDO553" s="178"/>
      <c r="IDP553" s="178"/>
      <c r="IDQ553" s="178"/>
      <c r="IDR553" s="178"/>
      <c r="IDS553" s="178"/>
      <c r="IDT553" s="178"/>
      <c r="IDU553" s="178"/>
      <c r="IDV553" s="178"/>
      <c r="IDW553" s="178"/>
      <c r="IDX553" s="178"/>
      <c r="IDY553" s="178"/>
      <c r="IDZ553" s="178"/>
      <c r="IEA553" s="178"/>
      <c r="IEB553" s="178"/>
      <c r="IEC553" s="178"/>
      <c r="IED553" s="178"/>
      <c r="IEE553" s="178"/>
      <c r="IEF553" s="178"/>
      <c r="IEG553" s="178"/>
      <c r="IEH553" s="178"/>
      <c r="IEI553" s="178"/>
      <c r="IEJ553" s="178"/>
      <c r="IEK553" s="178"/>
      <c r="IEL553" s="178"/>
      <c r="IEM553" s="178"/>
      <c r="IEN553" s="178"/>
      <c r="IEO553" s="178"/>
      <c r="IEP553" s="178"/>
      <c r="IEQ553" s="178"/>
      <c r="IER553" s="178"/>
      <c r="IES553" s="178"/>
      <c r="IET553" s="178"/>
      <c r="IEU553" s="178"/>
      <c r="IEV553" s="178"/>
      <c r="IEW553" s="178"/>
      <c r="IEX553" s="178"/>
      <c r="IEY553" s="178"/>
      <c r="IEZ553" s="178"/>
      <c r="IFA553" s="178"/>
      <c r="IFB553" s="178"/>
      <c r="IFC553" s="178"/>
      <c r="IFD553" s="178"/>
      <c r="IFE553" s="178"/>
      <c r="IFF553" s="178"/>
      <c r="IFG553" s="178"/>
      <c r="IFH553" s="178"/>
      <c r="IFI553" s="178"/>
      <c r="IFJ553" s="178"/>
      <c r="IFK553" s="178"/>
      <c r="IFL553" s="178"/>
      <c r="IFM553" s="178"/>
      <c r="IFN553" s="178"/>
      <c r="IFO553" s="178"/>
      <c r="IFP553" s="178"/>
      <c r="IFQ553" s="178"/>
      <c r="IFR553" s="178"/>
      <c r="IFS553" s="178"/>
      <c r="IFT553" s="178"/>
      <c r="IFU553" s="178"/>
      <c r="IFV553" s="178"/>
      <c r="IFW553" s="178"/>
      <c r="IFX553" s="178"/>
      <c r="IFY553" s="178"/>
      <c r="IFZ553" s="178"/>
      <c r="IGA553" s="178"/>
      <c r="IGB553" s="178"/>
      <c r="IGC553" s="178"/>
      <c r="IGD553" s="178"/>
      <c r="IGE553" s="178"/>
      <c r="IGF553" s="178"/>
      <c r="IGG553" s="178"/>
      <c r="IGH553" s="178"/>
      <c r="IGI553" s="178"/>
      <c r="IGJ553" s="178"/>
      <c r="IGK553" s="178"/>
      <c r="IGL553" s="178"/>
      <c r="IGM553" s="178"/>
      <c r="IGN553" s="178"/>
      <c r="IGO553" s="178"/>
      <c r="IGP553" s="178"/>
      <c r="IGQ553" s="178"/>
      <c r="IGR553" s="178"/>
      <c r="IGS553" s="178"/>
      <c r="IGT553" s="178"/>
      <c r="IGU553" s="178"/>
      <c r="IGV553" s="178"/>
      <c r="IGW553" s="178"/>
      <c r="IGX553" s="178"/>
      <c r="IGY553" s="178"/>
      <c r="IGZ553" s="178"/>
      <c r="IHA553" s="178"/>
      <c r="IHB553" s="178"/>
      <c r="IHC553" s="178"/>
      <c r="IHD553" s="178"/>
      <c r="IHE553" s="178"/>
      <c r="IHF553" s="178"/>
      <c r="IHG553" s="178"/>
      <c r="IHH553" s="178"/>
      <c r="IHI553" s="178"/>
      <c r="IHJ553" s="178"/>
      <c r="IHK553" s="178"/>
      <c r="IHL553" s="178"/>
      <c r="IHM553" s="178"/>
      <c r="IHN553" s="178"/>
      <c r="IHO553" s="178"/>
      <c r="IHP553" s="178"/>
      <c r="IHQ553" s="178"/>
      <c r="IHR553" s="178"/>
      <c r="IHS553" s="178"/>
      <c r="IHT553" s="178"/>
      <c r="IHU553" s="178"/>
      <c r="IHV553" s="178"/>
      <c r="IHW553" s="178"/>
      <c r="IHX553" s="178"/>
      <c r="IHY553" s="178"/>
      <c r="IHZ553" s="178"/>
      <c r="IIA553" s="178"/>
      <c r="IIB553" s="178"/>
      <c r="IIC553" s="178"/>
      <c r="IID553" s="178"/>
      <c r="IIE553" s="178"/>
      <c r="IIF553" s="178"/>
      <c r="IIG553" s="178"/>
      <c r="IIH553" s="178"/>
      <c r="III553" s="178"/>
      <c r="IIJ553" s="178"/>
      <c r="IIK553" s="178"/>
      <c r="IIL553" s="178"/>
      <c r="IIM553" s="178"/>
      <c r="IIN553" s="178"/>
      <c r="IIO553" s="178"/>
      <c r="IIP553" s="178"/>
      <c r="IIQ553" s="178"/>
      <c r="IIR553" s="178"/>
      <c r="IIS553" s="178"/>
      <c r="IIT553" s="178"/>
      <c r="IIU553" s="178"/>
      <c r="IIV553" s="178"/>
      <c r="IIW553" s="178"/>
      <c r="IIX553" s="178"/>
      <c r="IIY553" s="178"/>
      <c r="IIZ553" s="178"/>
      <c r="IJA553" s="178"/>
      <c r="IJB553" s="178"/>
      <c r="IJC553" s="178"/>
      <c r="IJD553" s="178"/>
      <c r="IJE553" s="178"/>
      <c r="IJF553" s="178"/>
      <c r="IJG553" s="178"/>
      <c r="IJH553" s="178"/>
      <c r="IJI553" s="178"/>
      <c r="IJJ553" s="178"/>
      <c r="IJK553" s="178"/>
      <c r="IJL553" s="178"/>
      <c r="IJM553" s="178"/>
      <c r="IJN553" s="178"/>
      <c r="IJO553" s="178"/>
      <c r="IJP553" s="178"/>
      <c r="IJQ553" s="178"/>
      <c r="IJR553" s="178"/>
      <c r="IJS553" s="178"/>
      <c r="IJT553" s="178"/>
      <c r="IJU553" s="178"/>
      <c r="IJV553" s="178"/>
      <c r="IJW553" s="178"/>
      <c r="IJX553" s="178"/>
      <c r="IJY553" s="178"/>
      <c r="IJZ553" s="178"/>
      <c r="IKA553" s="178"/>
      <c r="IKB553" s="178"/>
      <c r="IKC553" s="178"/>
      <c r="IKD553" s="178"/>
      <c r="IKE553" s="178"/>
      <c r="IKF553" s="178"/>
      <c r="IKG553" s="178"/>
      <c r="IKH553" s="178"/>
      <c r="IKI553" s="178"/>
      <c r="IKJ553" s="178"/>
      <c r="IKK553" s="178"/>
      <c r="IKL553" s="178"/>
      <c r="IKM553" s="178"/>
      <c r="IKN553" s="178"/>
      <c r="IKO553" s="178"/>
      <c r="IKP553" s="178"/>
      <c r="IKQ553" s="178"/>
      <c r="IKR553" s="178"/>
      <c r="IKS553" s="178"/>
      <c r="IKT553" s="178"/>
      <c r="IKU553" s="178"/>
      <c r="IKV553" s="178"/>
      <c r="IKW553" s="178"/>
      <c r="IKX553" s="178"/>
      <c r="IKY553" s="178"/>
      <c r="IKZ553" s="178"/>
      <c r="ILA553" s="178"/>
      <c r="ILB553" s="178"/>
      <c r="ILC553" s="178"/>
      <c r="ILD553" s="178"/>
      <c r="ILE553" s="178"/>
      <c r="ILF553" s="178"/>
      <c r="ILG553" s="178"/>
      <c r="ILH553" s="178"/>
      <c r="ILI553" s="178"/>
      <c r="ILJ553" s="178"/>
      <c r="ILK553" s="178"/>
      <c r="ILL553" s="178"/>
      <c r="ILM553" s="178"/>
      <c r="ILN553" s="178"/>
      <c r="ILO553" s="178"/>
      <c r="ILP553" s="178"/>
      <c r="ILQ553" s="178"/>
      <c r="ILR553" s="178"/>
      <c r="ILS553" s="178"/>
      <c r="ILT553" s="178"/>
      <c r="ILU553" s="178"/>
      <c r="ILV553" s="178"/>
      <c r="ILW553" s="178"/>
      <c r="ILX553" s="178"/>
      <c r="ILY553" s="178"/>
      <c r="ILZ553" s="178"/>
      <c r="IMA553" s="178"/>
      <c r="IMB553" s="178"/>
      <c r="IMC553" s="178"/>
      <c r="IMD553" s="178"/>
      <c r="IME553" s="178"/>
      <c r="IMF553" s="178"/>
      <c r="IMG553" s="178"/>
      <c r="IMH553" s="178"/>
      <c r="IMI553" s="178"/>
      <c r="IMJ553" s="178"/>
      <c r="IMK553" s="178"/>
      <c r="IML553" s="178"/>
      <c r="IMM553" s="178"/>
      <c r="IMN553" s="178"/>
      <c r="IMO553" s="178"/>
      <c r="IMP553" s="178"/>
      <c r="IMQ553" s="178"/>
      <c r="IMR553" s="178"/>
      <c r="IMS553" s="178"/>
      <c r="IMT553" s="178"/>
      <c r="IMU553" s="178"/>
      <c r="IMV553" s="178"/>
      <c r="IMW553" s="178"/>
      <c r="IMX553" s="178"/>
      <c r="IMY553" s="178"/>
      <c r="IMZ553" s="178"/>
      <c r="INA553" s="178"/>
      <c r="INB553" s="178"/>
      <c r="INC553" s="178"/>
      <c r="IND553" s="178"/>
      <c r="INE553" s="178"/>
      <c r="INF553" s="178"/>
      <c r="ING553" s="178"/>
      <c r="INH553" s="178"/>
      <c r="INI553" s="178"/>
      <c r="INJ553" s="178"/>
      <c r="INK553" s="178"/>
      <c r="INL553" s="178"/>
      <c r="INM553" s="178"/>
      <c r="INN553" s="178"/>
      <c r="INO553" s="178"/>
      <c r="INP553" s="178"/>
      <c r="INQ553" s="178"/>
      <c r="INR553" s="178"/>
      <c r="INS553" s="178"/>
      <c r="INT553" s="178"/>
      <c r="INU553" s="178"/>
      <c r="INV553" s="178"/>
      <c r="INW553" s="178"/>
      <c r="INX553" s="178"/>
      <c r="INY553" s="178"/>
      <c r="INZ553" s="178"/>
      <c r="IOA553" s="178"/>
      <c r="IOB553" s="178"/>
      <c r="IOC553" s="178"/>
      <c r="IOD553" s="178"/>
      <c r="IOE553" s="178"/>
      <c r="IOF553" s="178"/>
      <c r="IOG553" s="178"/>
      <c r="IOH553" s="178"/>
      <c r="IOI553" s="178"/>
      <c r="IOJ553" s="178"/>
      <c r="IOK553" s="178"/>
      <c r="IOL553" s="178"/>
      <c r="IOM553" s="178"/>
      <c r="ION553" s="178"/>
      <c r="IOO553" s="178"/>
      <c r="IOP553" s="178"/>
      <c r="IOQ553" s="178"/>
      <c r="IOR553" s="178"/>
      <c r="IOS553" s="178"/>
      <c r="IOT553" s="178"/>
      <c r="IOU553" s="178"/>
      <c r="IOV553" s="178"/>
      <c r="IOW553" s="178"/>
      <c r="IOX553" s="178"/>
      <c r="IOY553" s="178"/>
      <c r="IOZ553" s="178"/>
      <c r="IPA553" s="178"/>
      <c r="IPB553" s="178"/>
      <c r="IPC553" s="178"/>
      <c r="IPD553" s="178"/>
      <c r="IPE553" s="178"/>
      <c r="IPF553" s="178"/>
      <c r="IPG553" s="178"/>
      <c r="IPH553" s="178"/>
      <c r="IPI553" s="178"/>
      <c r="IPJ553" s="178"/>
      <c r="IPK553" s="178"/>
      <c r="IPL553" s="178"/>
      <c r="IPM553" s="178"/>
      <c r="IPN553" s="178"/>
      <c r="IPO553" s="178"/>
      <c r="IPP553" s="178"/>
      <c r="IPQ553" s="178"/>
      <c r="IPR553" s="178"/>
      <c r="IPS553" s="178"/>
      <c r="IPT553" s="178"/>
      <c r="IPU553" s="178"/>
      <c r="IPV553" s="178"/>
      <c r="IPW553" s="178"/>
      <c r="IPX553" s="178"/>
      <c r="IPY553" s="178"/>
      <c r="IPZ553" s="178"/>
      <c r="IQA553" s="178"/>
      <c r="IQB553" s="178"/>
      <c r="IQC553" s="178"/>
      <c r="IQD553" s="178"/>
      <c r="IQE553" s="178"/>
      <c r="IQF553" s="178"/>
      <c r="IQG553" s="178"/>
      <c r="IQH553" s="178"/>
      <c r="IQI553" s="178"/>
      <c r="IQJ553" s="178"/>
      <c r="IQK553" s="178"/>
      <c r="IQL553" s="178"/>
      <c r="IQM553" s="178"/>
      <c r="IQN553" s="178"/>
      <c r="IQO553" s="178"/>
      <c r="IQP553" s="178"/>
      <c r="IQQ553" s="178"/>
      <c r="IQR553" s="178"/>
      <c r="IQS553" s="178"/>
      <c r="IQT553" s="178"/>
      <c r="IQU553" s="178"/>
      <c r="IQV553" s="178"/>
      <c r="IQW553" s="178"/>
      <c r="IQX553" s="178"/>
      <c r="IQY553" s="178"/>
      <c r="IQZ553" s="178"/>
      <c r="IRA553" s="178"/>
      <c r="IRB553" s="178"/>
      <c r="IRC553" s="178"/>
      <c r="IRD553" s="178"/>
      <c r="IRE553" s="178"/>
      <c r="IRF553" s="178"/>
      <c r="IRG553" s="178"/>
      <c r="IRH553" s="178"/>
      <c r="IRI553" s="178"/>
      <c r="IRJ553" s="178"/>
      <c r="IRK553" s="178"/>
      <c r="IRL553" s="178"/>
      <c r="IRM553" s="178"/>
      <c r="IRN553" s="178"/>
      <c r="IRO553" s="178"/>
      <c r="IRP553" s="178"/>
      <c r="IRQ553" s="178"/>
      <c r="IRR553" s="178"/>
      <c r="IRS553" s="178"/>
      <c r="IRT553" s="178"/>
      <c r="IRU553" s="178"/>
      <c r="IRV553" s="178"/>
      <c r="IRW553" s="178"/>
      <c r="IRX553" s="178"/>
      <c r="IRY553" s="178"/>
      <c r="IRZ553" s="178"/>
      <c r="ISA553" s="178"/>
      <c r="ISB553" s="178"/>
      <c r="ISC553" s="178"/>
      <c r="ISD553" s="178"/>
      <c r="ISE553" s="178"/>
      <c r="ISF553" s="178"/>
      <c r="ISG553" s="178"/>
      <c r="ISH553" s="178"/>
      <c r="ISI553" s="178"/>
      <c r="ISJ553" s="178"/>
      <c r="ISK553" s="178"/>
      <c r="ISL553" s="178"/>
      <c r="ISM553" s="178"/>
      <c r="ISN553" s="178"/>
      <c r="ISO553" s="178"/>
      <c r="ISP553" s="178"/>
      <c r="ISQ553" s="178"/>
      <c r="ISR553" s="178"/>
      <c r="ISS553" s="178"/>
      <c r="IST553" s="178"/>
      <c r="ISU553" s="178"/>
      <c r="ISV553" s="178"/>
      <c r="ISW553" s="178"/>
      <c r="ISX553" s="178"/>
      <c r="ISY553" s="178"/>
      <c r="ISZ553" s="178"/>
      <c r="ITA553" s="178"/>
      <c r="ITB553" s="178"/>
      <c r="ITC553" s="178"/>
      <c r="ITD553" s="178"/>
      <c r="ITE553" s="178"/>
      <c r="ITF553" s="178"/>
      <c r="ITG553" s="178"/>
      <c r="ITH553" s="178"/>
      <c r="ITI553" s="178"/>
      <c r="ITJ553" s="178"/>
      <c r="ITK553" s="178"/>
      <c r="ITL553" s="178"/>
      <c r="ITM553" s="178"/>
      <c r="ITN553" s="178"/>
      <c r="ITO553" s="178"/>
      <c r="ITP553" s="178"/>
      <c r="ITQ553" s="178"/>
      <c r="ITR553" s="178"/>
      <c r="ITS553" s="178"/>
      <c r="ITT553" s="178"/>
      <c r="ITU553" s="178"/>
      <c r="ITV553" s="178"/>
      <c r="ITW553" s="178"/>
      <c r="ITX553" s="178"/>
      <c r="ITY553" s="178"/>
      <c r="ITZ553" s="178"/>
      <c r="IUA553" s="178"/>
      <c r="IUB553" s="178"/>
      <c r="IUC553" s="178"/>
      <c r="IUD553" s="178"/>
      <c r="IUE553" s="178"/>
      <c r="IUF553" s="178"/>
      <c r="IUG553" s="178"/>
      <c r="IUH553" s="178"/>
      <c r="IUI553" s="178"/>
      <c r="IUJ553" s="178"/>
      <c r="IUK553" s="178"/>
      <c r="IUL553" s="178"/>
      <c r="IUM553" s="178"/>
      <c r="IUN553" s="178"/>
      <c r="IUO553" s="178"/>
      <c r="IUP553" s="178"/>
      <c r="IUQ553" s="178"/>
      <c r="IUR553" s="178"/>
      <c r="IUS553" s="178"/>
      <c r="IUT553" s="178"/>
      <c r="IUU553" s="178"/>
      <c r="IUV553" s="178"/>
      <c r="IUW553" s="178"/>
      <c r="IUX553" s="178"/>
      <c r="IUY553" s="178"/>
      <c r="IUZ553" s="178"/>
      <c r="IVA553" s="178"/>
      <c r="IVB553" s="178"/>
      <c r="IVC553" s="178"/>
      <c r="IVD553" s="178"/>
      <c r="IVE553" s="178"/>
      <c r="IVF553" s="178"/>
      <c r="IVG553" s="178"/>
      <c r="IVH553" s="178"/>
      <c r="IVI553" s="178"/>
      <c r="IVJ553" s="178"/>
      <c r="IVK553" s="178"/>
      <c r="IVL553" s="178"/>
      <c r="IVM553" s="178"/>
      <c r="IVN553" s="178"/>
      <c r="IVO553" s="178"/>
      <c r="IVP553" s="178"/>
      <c r="IVQ553" s="178"/>
      <c r="IVR553" s="178"/>
      <c r="IVS553" s="178"/>
      <c r="IVT553" s="178"/>
      <c r="IVU553" s="178"/>
      <c r="IVV553" s="178"/>
      <c r="IVW553" s="178"/>
      <c r="IVX553" s="178"/>
      <c r="IVY553" s="178"/>
      <c r="IVZ553" s="178"/>
      <c r="IWA553" s="178"/>
      <c r="IWB553" s="178"/>
      <c r="IWC553" s="178"/>
      <c r="IWD553" s="178"/>
      <c r="IWE553" s="178"/>
      <c r="IWF553" s="178"/>
      <c r="IWG553" s="178"/>
      <c r="IWH553" s="178"/>
      <c r="IWI553" s="178"/>
      <c r="IWJ553" s="178"/>
      <c r="IWK553" s="178"/>
      <c r="IWL553" s="178"/>
      <c r="IWM553" s="178"/>
      <c r="IWN553" s="178"/>
      <c r="IWO553" s="178"/>
      <c r="IWP553" s="178"/>
      <c r="IWQ553" s="178"/>
      <c r="IWR553" s="178"/>
      <c r="IWS553" s="178"/>
      <c r="IWT553" s="178"/>
      <c r="IWU553" s="178"/>
      <c r="IWV553" s="178"/>
      <c r="IWW553" s="178"/>
      <c r="IWX553" s="178"/>
      <c r="IWY553" s="178"/>
      <c r="IWZ553" s="178"/>
      <c r="IXA553" s="178"/>
      <c r="IXB553" s="178"/>
      <c r="IXC553" s="178"/>
      <c r="IXD553" s="178"/>
      <c r="IXE553" s="178"/>
      <c r="IXF553" s="178"/>
      <c r="IXG553" s="178"/>
      <c r="IXH553" s="178"/>
      <c r="IXI553" s="178"/>
      <c r="IXJ553" s="178"/>
      <c r="IXK553" s="178"/>
      <c r="IXL553" s="178"/>
      <c r="IXM553" s="178"/>
      <c r="IXN553" s="178"/>
      <c r="IXO553" s="178"/>
      <c r="IXP553" s="178"/>
      <c r="IXQ553" s="178"/>
      <c r="IXR553" s="178"/>
      <c r="IXS553" s="178"/>
      <c r="IXT553" s="178"/>
      <c r="IXU553" s="178"/>
      <c r="IXV553" s="178"/>
      <c r="IXW553" s="178"/>
      <c r="IXX553" s="178"/>
      <c r="IXY553" s="178"/>
      <c r="IXZ553" s="178"/>
      <c r="IYA553" s="178"/>
      <c r="IYB553" s="178"/>
      <c r="IYC553" s="178"/>
      <c r="IYD553" s="178"/>
      <c r="IYE553" s="178"/>
      <c r="IYF553" s="178"/>
      <c r="IYG553" s="178"/>
      <c r="IYH553" s="178"/>
      <c r="IYI553" s="178"/>
      <c r="IYJ553" s="178"/>
      <c r="IYK553" s="178"/>
      <c r="IYL553" s="178"/>
      <c r="IYM553" s="178"/>
      <c r="IYN553" s="178"/>
      <c r="IYO553" s="178"/>
      <c r="IYP553" s="178"/>
      <c r="IYQ553" s="178"/>
      <c r="IYR553" s="178"/>
      <c r="IYS553" s="178"/>
      <c r="IYT553" s="178"/>
      <c r="IYU553" s="178"/>
      <c r="IYV553" s="178"/>
      <c r="IYW553" s="178"/>
      <c r="IYX553" s="178"/>
      <c r="IYY553" s="178"/>
      <c r="IYZ553" s="178"/>
      <c r="IZA553" s="178"/>
      <c r="IZB553" s="178"/>
      <c r="IZC553" s="178"/>
      <c r="IZD553" s="178"/>
      <c r="IZE553" s="178"/>
      <c r="IZF553" s="178"/>
      <c r="IZG553" s="178"/>
      <c r="IZH553" s="178"/>
      <c r="IZI553" s="178"/>
      <c r="IZJ553" s="178"/>
      <c r="IZK553" s="178"/>
      <c r="IZL553" s="178"/>
      <c r="IZM553" s="178"/>
      <c r="IZN553" s="178"/>
      <c r="IZO553" s="178"/>
      <c r="IZP553" s="178"/>
      <c r="IZQ553" s="178"/>
      <c r="IZR553" s="178"/>
      <c r="IZS553" s="178"/>
      <c r="IZT553" s="178"/>
      <c r="IZU553" s="178"/>
      <c r="IZV553" s="178"/>
      <c r="IZW553" s="178"/>
      <c r="IZX553" s="178"/>
      <c r="IZY553" s="178"/>
      <c r="IZZ553" s="178"/>
      <c r="JAA553" s="178"/>
      <c r="JAB553" s="178"/>
      <c r="JAC553" s="178"/>
      <c r="JAD553" s="178"/>
      <c r="JAE553" s="178"/>
      <c r="JAF553" s="178"/>
      <c r="JAG553" s="178"/>
      <c r="JAH553" s="178"/>
      <c r="JAI553" s="178"/>
      <c r="JAJ553" s="178"/>
      <c r="JAK553" s="178"/>
      <c r="JAL553" s="178"/>
      <c r="JAM553" s="178"/>
      <c r="JAN553" s="178"/>
      <c r="JAO553" s="178"/>
      <c r="JAP553" s="178"/>
      <c r="JAQ553" s="178"/>
      <c r="JAR553" s="178"/>
      <c r="JAS553" s="178"/>
      <c r="JAT553" s="178"/>
      <c r="JAU553" s="178"/>
      <c r="JAV553" s="178"/>
      <c r="JAW553" s="178"/>
      <c r="JAX553" s="178"/>
      <c r="JAY553" s="178"/>
      <c r="JAZ553" s="178"/>
      <c r="JBA553" s="178"/>
      <c r="JBB553" s="178"/>
      <c r="JBC553" s="178"/>
      <c r="JBD553" s="178"/>
      <c r="JBE553" s="178"/>
      <c r="JBF553" s="178"/>
      <c r="JBG553" s="178"/>
      <c r="JBH553" s="178"/>
      <c r="JBI553" s="178"/>
      <c r="JBJ553" s="178"/>
      <c r="JBK553" s="178"/>
      <c r="JBL553" s="178"/>
      <c r="JBM553" s="178"/>
      <c r="JBN553" s="178"/>
      <c r="JBO553" s="178"/>
      <c r="JBP553" s="178"/>
      <c r="JBQ553" s="178"/>
      <c r="JBR553" s="178"/>
      <c r="JBS553" s="178"/>
      <c r="JBT553" s="178"/>
      <c r="JBU553" s="178"/>
      <c r="JBV553" s="178"/>
      <c r="JBW553" s="178"/>
      <c r="JBX553" s="178"/>
      <c r="JBY553" s="178"/>
      <c r="JBZ553" s="178"/>
      <c r="JCA553" s="178"/>
      <c r="JCB553" s="178"/>
      <c r="JCC553" s="178"/>
      <c r="JCD553" s="178"/>
      <c r="JCE553" s="178"/>
      <c r="JCF553" s="178"/>
      <c r="JCG553" s="178"/>
      <c r="JCH553" s="178"/>
      <c r="JCI553" s="178"/>
      <c r="JCJ553" s="178"/>
      <c r="JCK553" s="178"/>
      <c r="JCL553" s="178"/>
      <c r="JCM553" s="178"/>
      <c r="JCN553" s="178"/>
      <c r="JCO553" s="178"/>
      <c r="JCP553" s="178"/>
      <c r="JCQ553" s="178"/>
      <c r="JCR553" s="178"/>
      <c r="JCS553" s="178"/>
      <c r="JCT553" s="178"/>
      <c r="JCU553" s="178"/>
      <c r="JCV553" s="178"/>
      <c r="JCW553" s="178"/>
      <c r="JCX553" s="178"/>
      <c r="JCY553" s="178"/>
      <c r="JCZ553" s="178"/>
      <c r="JDA553" s="178"/>
      <c r="JDB553" s="178"/>
      <c r="JDC553" s="178"/>
      <c r="JDD553" s="178"/>
      <c r="JDE553" s="178"/>
      <c r="JDF553" s="178"/>
      <c r="JDG553" s="178"/>
      <c r="JDH553" s="178"/>
      <c r="JDI553" s="178"/>
      <c r="JDJ553" s="178"/>
      <c r="JDK553" s="178"/>
      <c r="JDL553" s="178"/>
      <c r="JDM553" s="178"/>
      <c r="JDN553" s="178"/>
      <c r="JDO553" s="178"/>
      <c r="JDP553" s="178"/>
      <c r="JDQ553" s="178"/>
      <c r="JDR553" s="178"/>
      <c r="JDS553" s="178"/>
      <c r="JDT553" s="178"/>
      <c r="JDU553" s="178"/>
      <c r="JDV553" s="178"/>
      <c r="JDW553" s="178"/>
      <c r="JDX553" s="178"/>
      <c r="JDY553" s="178"/>
      <c r="JDZ553" s="178"/>
      <c r="JEA553" s="178"/>
      <c r="JEB553" s="178"/>
      <c r="JEC553" s="178"/>
      <c r="JED553" s="178"/>
      <c r="JEE553" s="178"/>
      <c r="JEF553" s="178"/>
      <c r="JEG553" s="178"/>
      <c r="JEH553" s="178"/>
      <c r="JEI553" s="178"/>
      <c r="JEJ553" s="178"/>
      <c r="JEK553" s="178"/>
      <c r="JEL553" s="178"/>
      <c r="JEM553" s="178"/>
      <c r="JEN553" s="178"/>
      <c r="JEO553" s="178"/>
      <c r="JEP553" s="178"/>
      <c r="JEQ553" s="178"/>
      <c r="JER553" s="178"/>
      <c r="JES553" s="178"/>
      <c r="JET553" s="178"/>
      <c r="JEU553" s="178"/>
      <c r="JEV553" s="178"/>
      <c r="JEW553" s="178"/>
      <c r="JEX553" s="178"/>
      <c r="JEY553" s="178"/>
      <c r="JEZ553" s="178"/>
      <c r="JFA553" s="178"/>
      <c r="JFB553" s="178"/>
      <c r="JFC553" s="178"/>
      <c r="JFD553" s="178"/>
      <c r="JFE553" s="178"/>
      <c r="JFF553" s="178"/>
      <c r="JFG553" s="178"/>
      <c r="JFH553" s="178"/>
      <c r="JFI553" s="178"/>
      <c r="JFJ553" s="178"/>
      <c r="JFK553" s="178"/>
      <c r="JFL553" s="178"/>
      <c r="JFM553" s="178"/>
      <c r="JFN553" s="178"/>
      <c r="JFO553" s="178"/>
      <c r="JFP553" s="178"/>
      <c r="JFQ553" s="178"/>
      <c r="JFR553" s="178"/>
      <c r="JFS553" s="178"/>
      <c r="JFT553" s="178"/>
      <c r="JFU553" s="178"/>
      <c r="JFV553" s="178"/>
      <c r="JFW553" s="178"/>
      <c r="JFX553" s="178"/>
      <c r="JFY553" s="178"/>
      <c r="JFZ553" s="178"/>
      <c r="JGA553" s="178"/>
      <c r="JGB553" s="178"/>
      <c r="JGC553" s="178"/>
      <c r="JGD553" s="178"/>
      <c r="JGE553" s="178"/>
      <c r="JGF553" s="178"/>
      <c r="JGG553" s="178"/>
      <c r="JGH553" s="178"/>
      <c r="JGI553" s="178"/>
      <c r="JGJ553" s="178"/>
      <c r="JGK553" s="178"/>
      <c r="JGL553" s="178"/>
      <c r="JGM553" s="178"/>
      <c r="JGN553" s="178"/>
      <c r="JGO553" s="178"/>
      <c r="JGP553" s="178"/>
      <c r="JGQ553" s="178"/>
      <c r="JGR553" s="178"/>
      <c r="JGS553" s="178"/>
      <c r="JGT553" s="178"/>
      <c r="JGU553" s="178"/>
      <c r="JGV553" s="178"/>
      <c r="JGW553" s="178"/>
      <c r="JGX553" s="178"/>
      <c r="JGY553" s="178"/>
      <c r="JGZ553" s="178"/>
      <c r="JHA553" s="178"/>
      <c r="JHB553" s="178"/>
      <c r="JHC553" s="178"/>
      <c r="JHD553" s="178"/>
      <c r="JHE553" s="178"/>
      <c r="JHF553" s="178"/>
      <c r="JHG553" s="178"/>
      <c r="JHH553" s="178"/>
      <c r="JHI553" s="178"/>
      <c r="JHJ553" s="178"/>
      <c r="JHK553" s="178"/>
      <c r="JHL553" s="178"/>
      <c r="JHM553" s="178"/>
      <c r="JHN553" s="178"/>
      <c r="JHO553" s="178"/>
      <c r="JHP553" s="178"/>
      <c r="JHQ553" s="178"/>
      <c r="JHR553" s="178"/>
      <c r="JHS553" s="178"/>
      <c r="JHT553" s="178"/>
      <c r="JHU553" s="178"/>
      <c r="JHV553" s="178"/>
      <c r="JHW553" s="178"/>
      <c r="JHX553" s="178"/>
      <c r="JHY553" s="178"/>
      <c r="JHZ553" s="178"/>
      <c r="JIA553" s="178"/>
      <c r="JIB553" s="178"/>
      <c r="JIC553" s="178"/>
      <c r="JID553" s="178"/>
      <c r="JIE553" s="178"/>
      <c r="JIF553" s="178"/>
      <c r="JIG553" s="178"/>
      <c r="JIH553" s="178"/>
      <c r="JII553" s="178"/>
      <c r="JIJ553" s="178"/>
      <c r="JIK553" s="178"/>
      <c r="JIL553" s="178"/>
      <c r="JIM553" s="178"/>
      <c r="JIN553" s="178"/>
      <c r="JIO553" s="178"/>
      <c r="JIP553" s="178"/>
      <c r="JIQ553" s="178"/>
      <c r="JIR553" s="178"/>
      <c r="JIS553" s="178"/>
      <c r="JIT553" s="178"/>
      <c r="JIU553" s="178"/>
      <c r="JIV553" s="178"/>
      <c r="JIW553" s="178"/>
      <c r="JIX553" s="178"/>
      <c r="JIY553" s="178"/>
      <c r="JIZ553" s="178"/>
      <c r="JJA553" s="178"/>
      <c r="JJB553" s="178"/>
      <c r="JJC553" s="178"/>
      <c r="JJD553" s="178"/>
      <c r="JJE553" s="178"/>
      <c r="JJF553" s="178"/>
      <c r="JJG553" s="178"/>
      <c r="JJH553" s="178"/>
      <c r="JJI553" s="178"/>
      <c r="JJJ553" s="178"/>
      <c r="JJK553" s="178"/>
      <c r="JJL553" s="178"/>
      <c r="JJM553" s="178"/>
      <c r="JJN553" s="178"/>
      <c r="JJO553" s="178"/>
      <c r="JJP553" s="178"/>
      <c r="JJQ553" s="178"/>
      <c r="JJR553" s="178"/>
      <c r="JJS553" s="178"/>
      <c r="JJT553" s="178"/>
      <c r="JJU553" s="178"/>
      <c r="JJV553" s="178"/>
      <c r="JJW553" s="178"/>
      <c r="JJX553" s="178"/>
      <c r="JJY553" s="178"/>
      <c r="JJZ553" s="178"/>
      <c r="JKA553" s="178"/>
      <c r="JKB553" s="178"/>
      <c r="JKC553" s="178"/>
      <c r="JKD553" s="178"/>
      <c r="JKE553" s="178"/>
      <c r="JKF553" s="178"/>
      <c r="JKG553" s="178"/>
      <c r="JKH553" s="178"/>
      <c r="JKI553" s="178"/>
      <c r="JKJ553" s="178"/>
      <c r="JKK553" s="178"/>
      <c r="JKL553" s="178"/>
      <c r="JKM553" s="178"/>
      <c r="JKN553" s="178"/>
      <c r="JKO553" s="178"/>
      <c r="JKP553" s="178"/>
      <c r="JKQ553" s="178"/>
      <c r="JKR553" s="178"/>
      <c r="JKS553" s="178"/>
      <c r="JKT553" s="178"/>
      <c r="JKU553" s="178"/>
      <c r="JKV553" s="178"/>
      <c r="JKW553" s="178"/>
      <c r="JKX553" s="178"/>
      <c r="JKY553" s="178"/>
      <c r="JKZ553" s="178"/>
      <c r="JLA553" s="178"/>
      <c r="JLB553" s="178"/>
      <c r="JLC553" s="178"/>
      <c r="JLD553" s="178"/>
      <c r="JLE553" s="178"/>
      <c r="JLF553" s="178"/>
      <c r="JLG553" s="178"/>
      <c r="JLH553" s="178"/>
      <c r="JLI553" s="178"/>
      <c r="JLJ553" s="178"/>
      <c r="JLK553" s="178"/>
      <c r="JLL553" s="178"/>
      <c r="JLM553" s="178"/>
      <c r="JLN553" s="178"/>
      <c r="JLO553" s="178"/>
      <c r="JLP553" s="178"/>
      <c r="JLQ553" s="178"/>
      <c r="JLR553" s="178"/>
      <c r="JLS553" s="178"/>
      <c r="JLT553" s="178"/>
      <c r="JLU553" s="178"/>
      <c r="JLV553" s="178"/>
      <c r="JLW553" s="178"/>
      <c r="JLX553" s="178"/>
      <c r="JLY553" s="178"/>
      <c r="JLZ553" s="178"/>
      <c r="JMA553" s="178"/>
      <c r="JMB553" s="178"/>
      <c r="JMC553" s="178"/>
      <c r="JMD553" s="178"/>
      <c r="JME553" s="178"/>
      <c r="JMF553" s="178"/>
      <c r="JMG553" s="178"/>
      <c r="JMH553" s="178"/>
      <c r="JMI553" s="178"/>
      <c r="JMJ553" s="178"/>
      <c r="JMK553" s="178"/>
      <c r="JML553" s="178"/>
      <c r="JMM553" s="178"/>
      <c r="JMN553" s="178"/>
      <c r="JMO553" s="178"/>
      <c r="JMP553" s="178"/>
      <c r="JMQ553" s="178"/>
      <c r="JMR553" s="178"/>
      <c r="JMS553" s="178"/>
      <c r="JMT553" s="178"/>
      <c r="JMU553" s="178"/>
      <c r="JMV553" s="178"/>
      <c r="JMW553" s="178"/>
      <c r="JMX553" s="178"/>
      <c r="JMY553" s="178"/>
      <c r="JMZ553" s="178"/>
      <c r="JNA553" s="178"/>
      <c r="JNB553" s="178"/>
      <c r="JNC553" s="178"/>
      <c r="JND553" s="178"/>
      <c r="JNE553" s="178"/>
      <c r="JNF553" s="178"/>
      <c r="JNG553" s="178"/>
      <c r="JNH553" s="178"/>
      <c r="JNI553" s="178"/>
      <c r="JNJ553" s="178"/>
      <c r="JNK553" s="178"/>
      <c r="JNL553" s="178"/>
      <c r="JNM553" s="178"/>
      <c r="JNN553" s="178"/>
      <c r="JNO553" s="178"/>
      <c r="JNP553" s="178"/>
      <c r="JNQ553" s="178"/>
      <c r="JNR553" s="178"/>
      <c r="JNS553" s="178"/>
      <c r="JNT553" s="178"/>
      <c r="JNU553" s="178"/>
      <c r="JNV553" s="178"/>
      <c r="JNW553" s="178"/>
      <c r="JNX553" s="178"/>
      <c r="JNY553" s="178"/>
      <c r="JNZ553" s="178"/>
      <c r="JOA553" s="178"/>
      <c r="JOB553" s="178"/>
      <c r="JOC553" s="178"/>
      <c r="JOD553" s="178"/>
      <c r="JOE553" s="178"/>
      <c r="JOF553" s="178"/>
      <c r="JOG553" s="178"/>
      <c r="JOH553" s="178"/>
      <c r="JOI553" s="178"/>
      <c r="JOJ553" s="178"/>
      <c r="JOK553" s="178"/>
      <c r="JOL553" s="178"/>
      <c r="JOM553" s="178"/>
      <c r="JON553" s="178"/>
      <c r="JOO553" s="178"/>
      <c r="JOP553" s="178"/>
      <c r="JOQ553" s="178"/>
      <c r="JOR553" s="178"/>
      <c r="JOS553" s="178"/>
      <c r="JOT553" s="178"/>
      <c r="JOU553" s="178"/>
      <c r="JOV553" s="178"/>
      <c r="JOW553" s="178"/>
      <c r="JOX553" s="178"/>
      <c r="JOY553" s="178"/>
      <c r="JOZ553" s="178"/>
      <c r="JPA553" s="178"/>
      <c r="JPB553" s="178"/>
      <c r="JPC553" s="178"/>
      <c r="JPD553" s="178"/>
      <c r="JPE553" s="178"/>
      <c r="JPF553" s="178"/>
      <c r="JPG553" s="178"/>
      <c r="JPH553" s="178"/>
      <c r="JPI553" s="178"/>
      <c r="JPJ553" s="178"/>
      <c r="JPK553" s="178"/>
      <c r="JPL553" s="178"/>
      <c r="JPM553" s="178"/>
      <c r="JPN553" s="178"/>
      <c r="JPO553" s="178"/>
      <c r="JPP553" s="178"/>
      <c r="JPQ553" s="178"/>
      <c r="JPR553" s="178"/>
      <c r="JPS553" s="178"/>
      <c r="JPT553" s="178"/>
      <c r="JPU553" s="178"/>
      <c r="JPV553" s="178"/>
      <c r="JPW553" s="178"/>
      <c r="JPX553" s="178"/>
      <c r="JPY553" s="178"/>
      <c r="JPZ553" s="178"/>
      <c r="JQA553" s="178"/>
      <c r="JQB553" s="178"/>
      <c r="JQC553" s="178"/>
      <c r="JQD553" s="178"/>
      <c r="JQE553" s="178"/>
      <c r="JQF553" s="178"/>
      <c r="JQG553" s="178"/>
      <c r="JQH553" s="178"/>
      <c r="JQI553" s="178"/>
      <c r="JQJ553" s="178"/>
      <c r="JQK553" s="178"/>
      <c r="JQL553" s="178"/>
      <c r="JQM553" s="178"/>
      <c r="JQN553" s="178"/>
      <c r="JQO553" s="178"/>
      <c r="JQP553" s="178"/>
      <c r="JQQ553" s="178"/>
      <c r="JQR553" s="178"/>
      <c r="JQS553" s="178"/>
      <c r="JQT553" s="178"/>
      <c r="JQU553" s="178"/>
      <c r="JQV553" s="178"/>
      <c r="JQW553" s="178"/>
      <c r="JQX553" s="178"/>
      <c r="JQY553" s="178"/>
      <c r="JQZ553" s="178"/>
      <c r="JRA553" s="178"/>
      <c r="JRB553" s="178"/>
      <c r="JRC553" s="178"/>
      <c r="JRD553" s="178"/>
      <c r="JRE553" s="178"/>
      <c r="JRF553" s="178"/>
      <c r="JRG553" s="178"/>
      <c r="JRH553" s="178"/>
      <c r="JRI553" s="178"/>
      <c r="JRJ553" s="178"/>
      <c r="JRK553" s="178"/>
      <c r="JRL553" s="178"/>
      <c r="JRM553" s="178"/>
      <c r="JRN553" s="178"/>
      <c r="JRO553" s="178"/>
      <c r="JRP553" s="178"/>
      <c r="JRQ553" s="178"/>
      <c r="JRR553" s="178"/>
      <c r="JRS553" s="178"/>
      <c r="JRT553" s="178"/>
      <c r="JRU553" s="178"/>
      <c r="JRV553" s="178"/>
      <c r="JRW553" s="178"/>
      <c r="JRX553" s="178"/>
      <c r="JRY553" s="178"/>
      <c r="JRZ553" s="178"/>
      <c r="JSA553" s="178"/>
      <c r="JSB553" s="178"/>
      <c r="JSC553" s="178"/>
      <c r="JSD553" s="178"/>
      <c r="JSE553" s="178"/>
      <c r="JSF553" s="178"/>
      <c r="JSG553" s="178"/>
      <c r="JSH553" s="178"/>
      <c r="JSI553" s="178"/>
      <c r="JSJ553" s="178"/>
      <c r="JSK553" s="178"/>
      <c r="JSL553" s="178"/>
      <c r="JSM553" s="178"/>
      <c r="JSN553" s="178"/>
      <c r="JSO553" s="178"/>
      <c r="JSP553" s="178"/>
      <c r="JSQ553" s="178"/>
      <c r="JSR553" s="178"/>
      <c r="JSS553" s="178"/>
      <c r="JST553" s="178"/>
      <c r="JSU553" s="178"/>
      <c r="JSV553" s="178"/>
      <c r="JSW553" s="178"/>
      <c r="JSX553" s="178"/>
      <c r="JSY553" s="178"/>
      <c r="JSZ553" s="178"/>
      <c r="JTA553" s="178"/>
      <c r="JTB553" s="178"/>
      <c r="JTC553" s="178"/>
      <c r="JTD553" s="178"/>
      <c r="JTE553" s="178"/>
      <c r="JTF553" s="178"/>
      <c r="JTG553" s="178"/>
      <c r="JTH553" s="178"/>
      <c r="JTI553" s="178"/>
      <c r="JTJ553" s="178"/>
      <c r="JTK553" s="178"/>
      <c r="JTL553" s="178"/>
      <c r="JTM553" s="178"/>
      <c r="JTN553" s="178"/>
      <c r="JTO553" s="178"/>
      <c r="JTP553" s="178"/>
      <c r="JTQ553" s="178"/>
      <c r="JTR553" s="178"/>
      <c r="JTS553" s="178"/>
      <c r="JTT553" s="178"/>
      <c r="JTU553" s="178"/>
      <c r="JTV553" s="178"/>
      <c r="JTW553" s="178"/>
      <c r="JTX553" s="178"/>
      <c r="JTY553" s="178"/>
      <c r="JTZ553" s="178"/>
      <c r="JUA553" s="178"/>
      <c r="JUB553" s="178"/>
      <c r="JUC553" s="178"/>
      <c r="JUD553" s="178"/>
      <c r="JUE553" s="178"/>
      <c r="JUF553" s="178"/>
      <c r="JUG553" s="178"/>
      <c r="JUH553" s="178"/>
      <c r="JUI553" s="178"/>
      <c r="JUJ553" s="178"/>
      <c r="JUK553" s="178"/>
      <c r="JUL553" s="178"/>
      <c r="JUM553" s="178"/>
      <c r="JUN553" s="178"/>
      <c r="JUO553" s="178"/>
      <c r="JUP553" s="178"/>
      <c r="JUQ553" s="178"/>
      <c r="JUR553" s="178"/>
      <c r="JUS553" s="178"/>
      <c r="JUT553" s="178"/>
      <c r="JUU553" s="178"/>
      <c r="JUV553" s="178"/>
      <c r="JUW553" s="178"/>
      <c r="JUX553" s="178"/>
      <c r="JUY553" s="178"/>
      <c r="JUZ553" s="178"/>
      <c r="JVA553" s="178"/>
      <c r="JVB553" s="178"/>
      <c r="JVC553" s="178"/>
      <c r="JVD553" s="178"/>
      <c r="JVE553" s="178"/>
      <c r="JVF553" s="178"/>
      <c r="JVG553" s="178"/>
      <c r="JVH553" s="178"/>
      <c r="JVI553" s="178"/>
      <c r="JVJ553" s="178"/>
      <c r="JVK553" s="178"/>
      <c r="JVL553" s="178"/>
      <c r="JVM553" s="178"/>
      <c r="JVN553" s="178"/>
      <c r="JVO553" s="178"/>
      <c r="JVP553" s="178"/>
      <c r="JVQ553" s="178"/>
      <c r="JVR553" s="178"/>
      <c r="JVS553" s="178"/>
      <c r="JVT553" s="178"/>
      <c r="JVU553" s="178"/>
      <c r="JVV553" s="178"/>
      <c r="JVW553" s="178"/>
      <c r="JVX553" s="178"/>
      <c r="JVY553" s="178"/>
      <c r="JVZ553" s="178"/>
      <c r="JWA553" s="178"/>
      <c r="JWB553" s="178"/>
      <c r="JWC553" s="178"/>
      <c r="JWD553" s="178"/>
      <c r="JWE553" s="178"/>
      <c r="JWF553" s="178"/>
      <c r="JWG553" s="178"/>
      <c r="JWH553" s="178"/>
      <c r="JWI553" s="178"/>
      <c r="JWJ553" s="178"/>
      <c r="JWK553" s="178"/>
      <c r="JWL553" s="178"/>
      <c r="JWM553" s="178"/>
      <c r="JWN553" s="178"/>
      <c r="JWO553" s="178"/>
      <c r="JWP553" s="178"/>
      <c r="JWQ553" s="178"/>
      <c r="JWR553" s="178"/>
      <c r="JWS553" s="178"/>
      <c r="JWT553" s="178"/>
      <c r="JWU553" s="178"/>
      <c r="JWV553" s="178"/>
      <c r="JWW553" s="178"/>
      <c r="JWX553" s="178"/>
      <c r="JWY553" s="178"/>
      <c r="JWZ553" s="178"/>
      <c r="JXA553" s="178"/>
      <c r="JXB553" s="178"/>
      <c r="JXC553" s="178"/>
      <c r="JXD553" s="178"/>
      <c r="JXE553" s="178"/>
      <c r="JXF553" s="178"/>
      <c r="JXG553" s="178"/>
      <c r="JXH553" s="178"/>
      <c r="JXI553" s="178"/>
      <c r="JXJ553" s="178"/>
      <c r="JXK553" s="178"/>
      <c r="JXL553" s="178"/>
      <c r="JXM553" s="178"/>
      <c r="JXN553" s="178"/>
      <c r="JXO553" s="178"/>
      <c r="JXP553" s="178"/>
      <c r="JXQ553" s="178"/>
      <c r="JXR553" s="178"/>
      <c r="JXS553" s="178"/>
      <c r="JXT553" s="178"/>
      <c r="JXU553" s="178"/>
      <c r="JXV553" s="178"/>
      <c r="JXW553" s="178"/>
      <c r="JXX553" s="178"/>
      <c r="JXY553" s="178"/>
      <c r="JXZ553" s="178"/>
      <c r="JYA553" s="178"/>
      <c r="JYB553" s="178"/>
      <c r="JYC553" s="178"/>
      <c r="JYD553" s="178"/>
      <c r="JYE553" s="178"/>
      <c r="JYF553" s="178"/>
      <c r="JYG553" s="178"/>
      <c r="JYH553" s="178"/>
      <c r="JYI553" s="178"/>
      <c r="JYJ553" s="178"/>
      <c r="JYK553" s="178"/>
      <c r="JYL553" s="178"/>
      <c r="JYM553" s="178"/>
      <c r="JYN553" s="178"/>
      <c r="JYO553" s="178"/>
      <c r="JYP553" s="178"/>
      <c r="JYQ553" s="178"/>
      <c r="JYR553" s="178"/>
      <c r="JYS553" s="178"/>
      <c r="JYT553" s="178"/>
      <c r="JYU553" s="178"/>
      <c r="JYV553" s="178"/>
      <c r="JYW553" s="178"/>
      <c r="JYX553" s="178"/>
      <c r="JYY553" s="178"/>
      <c r="JYZ553" s="178"/>
      <c r="JZA553" s="178"/>
      <c r="JZB553" s="178"/>
      <c r="JZC553" s="178"/>
      <c r="JZD553" s="178"/>
      <c r="JZE553" s="178"/>
      <c r="JZF553" s="178"/>
      <c r="JZG553" s="178"/>
      <c r="JZH553" s="178"/>
      <c r="JZI553" s="178"/>
      <c r="JZJ553" s="178"/>
      <c r="JZK553" s="178"/>
      <c r="JZL553" s="178"/>
      <c r="JZM553" s="178"/>
      <c r="JZN553" s="178"/>
      <c r="JZO553" s="178"/>
      <c r="JZP553" s="178"/>
      <c r="JZQ553" s="178"/>
      <c r="JZR553" s="178"/>
      <c r="JZS553" s="178"/>
      <c r="JZT553" s="178"/>
      <c r="JZU553" s="178"/>
      <c r="JZV553" s="178"/>
      <c r="JZW553" s="178"/>
      <c r="JZX553" s="178"/>
      <c r="JZY553" s="178"/>
      <c r="JZZ553" s="178"/>
      <c r="KAA553" s="178"/>
      <c r="KAB553" s="178"/>
      <c r="KAC553" s="178"/>
      <c r="KAD553" s="178"/>
      <c r="KAE553" s="178"/>
      <c r="KAF553" s="178"/>
      <c r="KAG553" s="178"/>
      <c r="KAH553" s="178"/>
      <c r="KAI553" s="178"/>
      <c r="KAJ553" s="178"/>
      <c r="KAK553" s="178"/>
      <c r="KAL553" s="178"/>
      <c r="KAM553" s="178"/>
      <c r="KAN553" s="178"/>
      <c r="KAO553" s="178"/>
      <c r="KAP553" s="178"/>
      <c r="KAQ553" s="178"/>
      <c r="KAR553" s="178"/>
      <c r="KAS553" s="178"/>
      <c r="KAT553" s="178"/>
      <c r="KAU553" s="178"/>
      <c r="KAV553" s="178"/>
      <c r="KAW553" s="178"/>
      <c r="KAX553" s="178"/>
      <c r="KAY553" s="178"/>
      <c r="KAZ553" s="178"/>
      <c r="KBA553" s="178"/>
      <c r="KBB553" s="178"/>
      <c r="KBC553" s="178"/>
      <c r="KBD553" s="178"/>
      <c r="KBE553" s="178"/>
      <c r="KBF553" s="178"/>
      <c r="KBG553" s="178"/>
      <c r="KBH553" s="178"/>
      <c r="KBI553" s="178"/>
      <c r="KBJ553" s="178"/>
      <c r="KBK553" s="178"/>
      <c r="KBL553" s="178"/>
      <c r="KBM553" s="178"/>
      <c r="KBN553" s="178"/>
      <c r="KBO553" s="178"/>
      <c r="KBP553" s="178"/>
      <c r="KBQ553" s="178"/>
      <c r="KBR553" s="178"/>
      <c r="KBS553" s="178"/>
      <c r="KBT553" s="178"/>
      <c r="KBU553" s="178"/>
      <c r="KBV553" s="178"/>
      <c r="KBW553" s="178"/>
      <c r="KBX553" s="178"/>
      <c r="KBY553" s="178"/>
      <c r="KBZ553" s="178"/>
      <c r="KCA553" s="178"/>
      <c r="KCB553" s="178"/>
      <c r="KCC553" s="178"/>
      <c r="KCD553" s="178"/>
      <c r="KCE553" s="178"/>
      <c r="KCF553" s="178"/>
      <c r="KCG553" s="178"/>
      <c r="KCH553" s="178"/>
      <c r="KCI553" s="178"/>
      <c r="KCJ553" s="178"/>
      <c r="KCK553" s="178"/>
      <c r="KCL553" s="178"/>
      <c r="KCM553" s="178"/>
      <c r="KCN553" s="178"/>
      <c r="KCO553" s="178"/>
      <c r="KCP553" s="178"/>
      <c r="KCQ553" s="178"/>
      <c r="KCR553" s="178"/>
      <c r="KCS553" s="178"/>
      <c r="KCT553" s="178"/>
      <c r="KCU553" s="178"/>
      <c r="KCV553" s="178"/>
      <c r="KCW553" s="178"/>
      <c r="KCX553" s="178"/>
      <c r="KCY553" s="178"/>
      <c r="KCZ553" s="178"/>
      <c r="KDA553" s="178"/>
      <c r="KDB553" s="178"/>
      <c r="KDC553" s="178"/>
      <c r="KDD553" s="178"/>
      <c r="KDE553" s="178"/>
      <c r="KDF553" s="178"/>
      <c r="KDG553" s="178"/>
      <c r="KDH553" s="178"/>
      <c r="KDI553" s="178"/>
      <c r="KDJ553" s="178"/>
      <c r="KDK553" s="178"/>
      <c r="KDL553" s="178"/>
      <c r="KDM553" s="178"/>
      <c r="KDN553" s="178"/>
      <c r="KDO553" s="178"/>
      <c r="KDP553" s="178"/>
      <c r="KDQ553" s="178"/>
      <c r="KDR553" s="178"/>
      <c r="KDS553" s="178"/>
      <c r="KDT553" s="178"/>
      <c r="KDU553" s="178"/>
      <c r="KDV553" s="178"/>
      <c r="KDW553" s="178"/>
      <c r="KDX553" s="178"/>
      <c r="KDY553" s="178"/>
      <c r="KDZ553" s="178"/>
      <c r="KEA553" s="178"/>
      <c r="KEB553" s="178"/>
      <c r="KEC553" s="178"/>
      <c r="KED553" s="178"/>
      <c r="KEE553" s="178"/>
      <c r="KEF553" s="178"/>
      <c r="KEG553" s="178"/>
      <c r="KEH553" s="178"/>
      <c r="KEI553" s="178"/>
      <c r="KEJ553" s="178"/>
      <c r="KEK553" s="178"/>
      <c r="KEL553" s="178"/>
      <c r="KEM553" s="178"/>
      <c r="KEN553" s="178"/>
      <c r="KEO553" s="178"/>
      <c r="KEP553" s="178"/>
      <c r="KEQ553" s="178"/>
      <c r="KER553" s="178"/>
      <c r="KES553" s="178"/>
      <c r="KET553" s="178"/>
      <c r="KEU553" s="178"/>
      <c r="KEV553" s="178"/>
      <c r="KEW553" s="178"/>
      <c r="KEX553" s="178"/>
      <c r="KEY553" s="178"/>
      <c r="KEZ553" s="178"/>
      <c r="KFA553" s="178"/>
      <c r="KFB553" s="178"/>
      <c r="KFC553" s="178"/>
      <c r="KFD553" s="178"/>
      <c r="KFE553" s="178"/>
      <c r="KFF553" s="178"/>
      <c r="KFG553" s="178"/>
      <c r="KFH553" s="178"/>
      <c r="KFI553" s="178"/>
      <c r="KFJ553" s="178"/>
      <c r="KFK553" s="178"/>
      <c r="KFL553" s="178"/>
      <c r="KFM553" s="178"/>
      <c r="KFN553" s="178"/>
      <c r="KFO553" s="178"/>
      <c r="KFP553" s="178"/>
      <c r="KFQ553" s="178"/>
      <c r="KFR553" s="178"/>
      <c r="KFS553" s="178"/>
      <c r="KFT553" s="178"/>
      <c r="KFU553" s="178"/>
      <c r="KFV553" s="178"/>
      <c r="KFW553" s="178"/>
      <c r="KFX553" s="178"/>
      <c r="KFY553" s="178"/>
      <c r="KFZ553" s="178"/>
      <c r="KGA553" s="178"/>
      <c r="KGB553" s="178"/>
      <c r="KGC553" s="178"/>
      <c r="KGD553" s="178"/>
      <c r="KGE553" s="178"/>
      <c r="KGF553" s="178"/>
      <c r="KGG553" s="178"/>
      <c r="KGH553" s="178"/>
      <c r="KGI553" s="178"/>
      <c r="KGJ553" s="178"/>
      <c r="KGK553" s="178"/>
      <c r="KGL553" s="178"/>
      <c r="KGM553" s="178"/>
      <c r="KGN553" s="178"/>
      <c r="KGO553" s="178"/>
      <c r="KGP553" s="178"/>
      <c r="KGQ553" s="178"/>
      <c r="KGR553" s="178"/>
      <c r="KGS553" s="178"/>
      <c r="KGT553" s="178"/>
      <c r="KGU553" s="178"/>
      <c r="KGV553" s="178"/>
      <c r="KGW553" s="178"/>
      <c r="KGX553" s="178"/>
      <c r="KGY553" s="178"/>
      <c r="KGZ553" s="178"/>
      <c r="KHA553" s="178"/>
      <c r="KHB553" s="178"/>
      <c r="KHC553" s="178"/>
      <c r="KHD553" s="178"/>
      <c r="KHE553" s="178"/>
      <c r="KHF553" s="178"/>
      <c r="KHG553" s="178"/>
      <c r="KHH553" s="178"/>
      <c r="KHI553" s="178"/>
      <c r="KHJ553" s="178"/>
      <c r="KHK553" s="178"/>
      <c r="KHL553" s="178"/>
      <c r="KHM553" s="178"/>
      <c r="KHN553" s="178"/>
      <c r="KHO553" s="178"/>
      <c r="KHP553" s="178"/>
      <c r="KHQ553" s="178"/>
      <c r="KHR553" s="178"/>
      <c r="KHS553" s="178"/>
      <c r="KHT553" s="178"/>
      <c r="KHU553" s="178"/>
      <c r="KHV553" s="178"/>
      <c r="KHW553" s="178"/>
      <c r="KHX553" s="178"/>
      <c r="KHY553" s="178"/>
      <c r="KHZ553" s="178"/>
      <c r="KIA553" s="178"/>
      <c r="KIB553" s="178"/>
      <c r="KIC553" s="178"/>
      <c r="KID553" s="178"/>
      <c r="KIE553" s="178"/>
      <c r="KIF553" s="178"/>
      <c r="KIG553" s="178"/>
      <c r="KIH553" s="178"/>
      <c r="KII553" s="178"/>
      <c r="KIJ553" s="178"/>
      <c r="KIK553" s="178"/>
      <c r="KIL553" s="178"/>
      <c r="KIM553" s="178"/>
      <c r="KIN553" s="178"/>
      <c r="KIO553" s="178"/>
      <c r="KIP553" s="178"/>
      <c r="KIQ553" s="178"/>
      <c r="KIR553" s="178"/>
      <c r="KIS553" s="178"/>
      <c r="KIT553" s="178"/>
      <c r="KIU553" s="178"/>
      <c r="KIV553" s="178"/>
      <c r="KIW553" s="178"/>
      <c r="KIX553" s="178"/>
      <c r="KIY553" s="178"/>
      <c r="KIZ553" s="178"/>
      <c r="KJA553" s="178"/>
      <c r="KJB553" s="178"/>
      <c r="KJC553" s="178"/>
      <c r="KJD553" s="178"/>
      <c r="KJE553" s="178"/>
      <c r="KJF553" s="178"/>
      <c r="KJG553" s="178"/>
      <c r="KJH553" s="178"/>
      <c r="KJI553" s="178"/>
      <c r="KJJ553" s="178"/>
      <c r="KJK553" s="178"/>
      <c r="KJL553" s="178"/>
      <c r="KJM553" s="178"/>
      <c r="KJN553" s="178"/>
      <c r="KJO553" s="178"/>
      <c r="KJP553" s="178"/>
      <c r="KJQ553" s="178"/>
      <c r="KJR553" s="178"/>
      <c r="KJS553" s="178"/>
      <c r="KJT553" s="178"/>
      <c r="KJU553" s="178"/>
      <c r="KJV553" s="178"/>
      <c r="KJW553" s="178"/>
      <c r="KJX553" s="178"/>
      <c r="KJY553" s="178"/>
      <c r="KJZ553" s="178"/>
      <c r="KKA553" s="178"/>
      <c r="KKB553" s="178"/>
      <c r="KKC553" s="178"/>
      <c r="KKD553" s="178"/>
      <c r="KKE553" s="178"/>
      <c r="KKF553" s="178"/>
      <c r="KKG553" s="178"/>
      <c r="KKH553" s="178"/>
      <c r="KKI553" s="178"/>
      <c r="KKJ553" s="178"/>
      <c r="KKK553" s="178"/>
      <c r="KKL553" s="178"/>
      <c r="KKM553" s="178"/>
      <c r="KKN553" s="178"/>
      <c r="KKO553" s="178"/>
      <c r="KKP553" s="178"/>
      <c r="KKQ553" s="178"/>
      <c r="KKR553" s="178"/>
      <c r="KKS553" s="178"/>
      <c r="KKT553" s="178"/>
      <c r="KKU553" s="178"/>
      <c r="KKV553" s="178"/>
      <c r="KKW553" s="178"/>
      <c r="KKX553" s="178"/>
      <c r="KKY553" s="178"/>
      <c r="KKZ553" s="178"/>
      <c r="KLA553" s="178"/>
      <c r="KLB553" s="178"/>
      <c r="KLC553" s="178"/>
      <c r="KLD553" s="178"/>
      <c r="KLE553" s="178"/>
      <c r="KLF553" s="178"/>
      <c r="KLG553" s="178"/>
      <c r="KLH553" s="178"/>
      <c r="KLI553" s="178"/>
      <c r="KLJ553" s="178"/>
      <c r="KLK553" s="178"/>
      <c r="KLL553" s="178"/>
      <c r="KLM553" s="178"/>
      <c r="KLN553" s="178"/>
      <c r="KLO553" s="178"/>
      <c r="KLP553" s="178"/>
      <c r="KLQ553" s="178"/>
      <c r="KLR553" s="178"/>
      <c r="KLS553" s="178"/>
      <c r="KLT553" s="178"/>
      <c r="KLU553" s="178"/>
      <c r="KLV553" s="178"/>
      <c r="KLW553" s="178"/>
      <c r="KLX553" s="178"/>
      <c r="KLY553" s="178"/>
      <c r="KLZ553" s="178"/>
      <c r="KMA553" s="178"/>
      <c r="KMB553" s="178"/>
      <c r="KMC553" s="178"/>
      <c r="KMD553" s="178"/>
      <c r="KME553" s="178"/>
      <c r="KMF553" s="178"/>
      <c r="KMG553" s="178"/>
      <c r="KMH553" s="178"/>
      <c r="KMI553" s="178"/>
      <c r="KMJ553" s="178"/>
      <c r="KMK553" s="178"/>
      <c r="KML553" s="178"/>
      <c r="KMM553" s="178"/>
      <c r="KMN553" s="178"/>
      <c r="KMO553" s="178"/>
      <c r="KMP553" s="178"/>
      <c r="KMQ553" s="178"/>
      <c r="KMR553" s="178"/>
      <c r="KMS553" s="178"/>
      <c r="KMT553" s="178"/>
      <c r="KMU553" s="178"/>
      <c r="KMV553" s="178"/>
      <c r="KMW553" s="178"/>
      <c r="KMX553" s="178"/>
      <c r="KMY553" s="178"/>
      <c r="KMZ553" s="178"/>
      <c r="KNA553" s="178"/>
      <c r="KNB553" s="178"/>
      <c r="KNC553" s="178"/>
      <c r="KND553" s="178"/>
      <c r="KNE553" s="178"/>
      <c r="KNF553" s="178"/>
      <c r="KNG553" s="178"/>
      <c r="KNH553" s="178"/>
      <c r="KNI553" s="178"/>
      <c r="KNJ553" s="178"/>
      <c r="KNK553" s="178"/>
      <c r="KNL553" s="178"/>
      <c r="KNM553" s="178"/>
      <c r="KNN553" s="178"/>
      <c r="KNO553" s="178"/>
      <c r="KNP553" s="178"/>
      <c r="KNQ553" s="178"/>
      <c r="KNR553" s="178"/>
      <c r="KNS553" s="178"/>
      <c r="KNT553" s="178"/>
      <c r="KNU553" s="178"/>
      <c r="KNV553" s="178"/>
      <c r="KNW553" s="178"/>
      <c r="KNX553" s="178"/>
      <c r="KNY553" s="178"/>
      <c r="KNZ553" s="178"/>
      <c r="KOA553" s="178"/>
      <c r="KOB553" s="178"/>
      <c r="KOC553" s="178"/>
      <c r="KOD553" s="178"/>
      <c r="KOE553" s="178"/>
      <c r="KOF553" s="178"/>
      <c r="KOG553" s="178"/>
      <c r="KOH553" s="178"/>
      <c r="KOI553" s="178"/>
      <c r="KOJ553" s="178"/>
      <c r="KOK553" s="178"/>
      <c r="KOL553" s="178"/>
      <c r="KOM553" s="178"/>
      <c r="KON553" s="178"/>
      <c r="KOO553" s="178"/>
      <c r="KOP553" s="178"/>
      <c r="KOQ553" s="178"/>
      <c r="KOR553" s="178"/>
      <c r="KOS553" s="178"/>
      <c r="KOT553" s="178"/>
      <c r="KOU553" s="178"/>
      <c r="KOV553" s="178"/>
      <c r="KOW553" s="178"/>
      <c r="KOX553" s="178"/>
      <c r="KOY553" s="178"/>
      <c r="KOZ553" s="178"/>
      <c r="KPA553" s="178"/>
      <c r="KPB553" s="178"/>
      <c r="KPC553" s="178"/>
      <c r="KPD553" s="178"/>
      <c r="KPE553" s="178"/>
      <c r="KPF553" s="178"/>
      <c r="KPG553" s="178"/>
      <c r="KPH553" s="178"/>
      <c r="KPI553" s="178"/>
      <c r="KPJ553" s="178"/>
      <c r="KPK553" s="178"/>
      <c r="KPL553" s="178"/>
      <c r="KPM553" s="178"/>
      <c r="KPN553" s="178"/>
      <c r="KPO553" s="178"/>
      <c r="KPP553" s="178"/>
      <c r="KPQ553" s="178"/>
      <c r="KPR553" s="178"/>
      <c r="KPS553" s="178"/>
      <c r="KPT553" s="178"/>
      <c r="KPU553" s="178"/>
      <c r="KPV553" s="178"/>
      <c r="KPW553" s="178"/>
      <c r="KPX553" s="178"/>
      <c r="KPY553" s="178"/>
      <c r="KPZ553" s="178"/>
      <c r="KQA553" s="178"/>
      <c r="KQB553" s="178"/>
      <c r="KQC553" s="178"/>
      <c r="KQD553" s="178"/>
      <c r="KQE553" s="178"/>
      <c r="KQF553" s="178"/>
      <c r="KQG553" s="178"/>
      <c r="KQH553" s="178"/>
      <c r="KQI553" s="178"/>
      <c r="KQJ553" s="178"/>
      <c r="KQK553" s="178"/>
      <c r="KQL553" s="178"/>
      <c r="KQM553" s="178"/>
      <c r="KQN553" s="178"/>
      <c r="KQO553" s="178"/>
      <c r="KQP553" s="178"/>
      <c r="KQQ553" s="178"/>
      <c r="KQR553" s="178"/>
      <c r="KQS553" s="178"/>
      <c r="KQT553" s="178"/>
      <c r="KQU553" s="178"/>
      <c r="KQV553" s="178"/>
      <c r="KQW553" s="178"/>
      <c r="KQX553" s="178"/>
      <c r="KQY553" s="178"/>
      <c r="KQZ553" s="178"/>
      <c r="KRA553" s="178"/>
      <c r="KRB553" s="178"/>
      <c r="KRC553" s="178"/>
      <c r="KRD553" s="178"/>
      <c r="KRE553" s="178"/>
      <c r="KRF553" s="178"/>
      <c r="KRG553" s="178"/>
      <c r="KRH553" s="178"/>
      <c r="KRI553" s="178"/>
      <c r="KRJ553" s="178"/>
      <c r="KRK553" s="178"/>
      <c r="KRL553" s="178"/>
      <c r="KRM553" s="178"/>
      <c r="KRN553" s="178"/>
      <c r="KRO553" s="178"/>
      <c r="KRP553" s="178"/>
      <c r="KRQ553" s="178"/>
      <c r="KRR553" s="178"/>
      <c r="KRS553" s="178"/>
      <c r="KRT553" s="178"/>
      <c r="KRU553" s="178"/>
      <c r="KRV553" s="178"/>
      <c r="KRW553" s="178"/>
      <c r="KRX553" s="178"/>
      <c r="KRY553" s="178"/>
      <c r="KRZ553" s="178"/>
      <c r="KSA553" s="178"/>
      <c r="KSB553" s="178"/>
      <c r="KSC553" s="178"/>
      <c r="KSD553" s="178"/>
      <c r="KSE553" s="178"/>
      <c r="KSF553" s="178"/>
      <c r="KSG553" s="178"/>
      <c r="KSH553" s="178"/>
      <c r="KSI553" s="178"/>
      <c r="KSJ553" s="178"/>
      <c r="KSK553" s="178"/>
      <c r="KSL553" s="178"/>
      <c r="KSM553" s="178"/>
      <c r="KSN553" s="178"/>
      <c r="KSO553" s="178"/>
      <c r="KSP553" s="178"/>
      <c r="KSQ553" s="178"/>
      <c r="KSR553" s="178"/>
      <c r="KSS553" s="178"/>
      <c r="KST553" s="178"/>
      <c r="KSU553" s="178"/>
      <c r="KSV553" s="178"/>
      <c r="KSW553" s="178"/>
      <c r="KSX553" s="178"/>
      <c r="KSY553" s="178"/>
      <c r="KSZ553" s="178"/>
      <c r="KTA553" s="178"/>
      <c r="KTB553" s="178"/>
      <c r="KTC553" s="178"/>
      <c r="KTD553" s="178"/>
      <c r="KTE553" s="178"/>
      <c r="KTF553" s="178"/>
      <c r="KTG553" s="178"/>
      <c r="KTH553" s="178"/>
      <c r="KTI553" s="178"/>
      <c r="KTJ553" s="178"/>
      <c r="KTK553" s="178"/>
      <c r="KTL553" s="178"/>
      <c r="KTM553" s="178"/>
      <c r="KTN553" s="178"/>
      <c r="KTO553" s="178"/>
      <c r="KTP553" s="178"/>
      <c r="KTQ553" s="178"/>
      <c r="KTR553" s="178"/>
      <c r="KTS553" s="178"/>
      <c r="KTT553" s="178"/>
      <c r="KTU553" s="178"/>
      <c r="KTV553" s="178"/>
      <c r="KTW553" s="178"/>
      <c r="KTX553" s="178"/>
      <c r="KTY553" s="178"/>
      <c r="KTZ553" s="178"/>
      <c r="KUA553" s="178"/>
      <c r="KUB553" s="178"/>
      <c r="KUC553" s="178"/>
      <c r="KUD553" s="178"/>
      <c r="KUE553" s="178"/>
      <c r="KUF553" s="178"/>
      <c r="KUG553" s="178"/>
      <c r="KUH553" s="178"/>
      <c r="KUI553" s="178"/>
      <c r="KUJ553" s="178"/>
      <c r="KUK553" s="178"/>
      <c r="KUL553" s="178"/>
      <c r="KUM553" s="178"/>
      <c r="KUN553" s="178"/>
      <c r="KUO553" s="178"/>
      <c r="KUP553" s="178"/>
      <c r="KUQ553" s="178"/>
      <c r="KUR553" s="178"/>
      <c r="KUS553" s="178"/>
      <c r="KUT553" s="178"/>
      <c r="KUU553" s="178"/>
      <c r="KUV553" s="178"/>
      <c r="KUW553" s="178"/>
      <c r="KUX553" s="178"/>
      <c r="KUY553" s="178"/>
      <c r="KUZ553" s="178"/>
      <c r="KVA553" s="178"/>
      <c r="KVB553" s="178"/>
      <c r="KVC553" s="178"/>
      <c r="KVD553" s="178"/>
      <c r="KVE553" s="178"/>
      <c r="KVF553" s="178"/>
      <c r="KVG553" s="178"/>
      <c r="KVH553" s="178"/>
      <c r="KVI553" s="178"/>
      <c r="KVJ553" s="178"/>
      <c r="KVK553" s="178"/>
      <c r="KVL553" s="178"/>
      <c r="KVM553" s="178"/>
      <c r="KVN553" s="178"/>
      <c r="KVO553" s="178"/>
      <c r="KVP553" s="178"/>
      <c r="KVQ553" s="178"/>
      <c r="KVR553" s="178"/>
      <c r="KVS553" s="178"/>
      <c r="KVT553" s="178"/>
      <c r="KVU553" s="178"/>
      <c r="KVV553" s="178"/>
      <c r="KVW553" s="178"/>
      <c r="KVX553" s="178"/>
      <c r="KVY553" s="178"/>
      <c r="KVZ553" s="178"/>
      <c r="KWA553" s="178"/>
      <c r="KWB553" s="178"/>
      <c r="KWC553" s="178"/>
      <c r="KWD553" s="178"/>
      <c r="KWE553" s="178"/>
      <c r="KWF553" s="178"/>
      <c r="KWG553" s="178"/>
      <c r="KWH553" s="178"/>
      <c r="KWI553" s="178"/>
      <c r="KWJ553" s="178"/>
      <c r="KWK553" s="178"/>
      <c r="KWL553" s="178"/>
      <c r="KWM553" s="178"/>
      <c r="KWN553" s="178"/>
      <c r="KWO553" s="178"/>
      <c r="KWP553" s="178"/>
      <c r="KWQ553" s="178"/>
      <c r="KWR553" s="178"/>
      <c r="KWS553" s="178"/>
      <c r="KWT553" s="178"/>
      <c r="KWU553" s="178"/>
      <c r="KWV553" s="178"/>
      <c r="KWW553" s="178"/>
      <c r="KWX553" s="178"/>
      <c r="KWY553" s="178"/>
      <c r="KWZ553" s="178"/>
      <c r="KXA553" s="178"/>
      <c r="KXB553" s="178"/>
      <c r="KXC553" s="178"/>
      <c r="KXD553" s="178"/>
      <c r="KXE553" s="178"/>
      <c r="KXF553" s="178"/>
      <c r="KXG553" s="178"/>
      <c r="KXH553" s="178"/>
      <c r="KXI553" s="178"/>
      <c r="KXJ553" s="178"/>
      <c r="KXK553" s="178"/>
      <c r="KXL553" s="178"/>
      <c r="KXM553" s="178"/>
      <c r="KXN553" s="178"/>
      <c r="KXO553" s="178"/>
      <c r="KXP553" s="178"/>
      <c r="KXQ553" s="178"/>
      <c r="KXR553" s="178"/>
      <c r="KXS553" s="178"/>
      <c r="KXT553" s="178"/>
      <c r="KXU553" s="178"/>
      <c r="KXV553" s="178"/>
      <c r="KXW553" s="178"/>
      <c r="KXX553" s="178"/>
      <c r="KXY553" s="178"/>
      <c r="KXZ553" s="178"/>
      <c r="KYA553" s="178"/>
      <c r="KYB553" s="178"/>
      <c r="KYC553" s="178"/>
      <c r="KYD553" s="178"/>
      <c r="KYE553" s="178"/>
      <c r="KYF553" s="178"/>
      <c r="KYG553" s="178"/>
      <c r="KYH553" s="178"/>
      <c r="KYI553" s="178"/>
      <c r="KYJ553" s="178"/>
      <c r="KYK553" s="178"/>
      <c r="KYL553" s="178"/>
      <c r="KYM553" s="178"/>
      <c r="KYN553" s="178"/>
      <c r="KYO553" s="178"/>
      <c r="KYP553" s="178"/>
      <c r="KYQ553" s="178"/>
      <c r="KYR553" s="178"/>
      <c r="KYS553" s="178"/>
      <c r="KYT553" s="178"/>
      <c r="KYU553" s="178"/>
      <c r="KYV553" s="178"/>
      <c r="KYW553" s="178"/>
      <c r="KYX553" s="178"/>
      <c r="KYY553" s="178"/>
      <c r="KYZ553" s="178"/>
      <c r="KZA553" s="178"/>
      <c r="KZB553" s="178"/>
      <c r="KZC553" s="178"/>
      <c r="KZD553" s="178"/>
      <c r="KZE553" s="178"/>
      <c r="KZF553" s="178"/>
      <c r="KZG553" s="178"/>
      <c r="KZH553" s="178"/>
      <c r="KZI553" s="178"/>
      <c r="KZJ553" s="178"/>
      <c r="KZK553" s="178"/>
      <c r="KZL553" s="178"/>
      <c r="KZM553" s="178"/>
      <c r="KZN553" s="178"/>
      <c r="KZO553" s="178"/>
      <c r="KZP553" s="178"/>
      <c r="KZQ553" s="178"/>
      <c r="KZR553" s="178"/>
      <c r="KZS553" s="178"/>
      <c r="KZT553" s="178"/>
      <c r="KZU553" s="178"/>
      <c r="KZV553" s="178"/>
      <c r="KZW553" s="178"/>
      <c r="KZX553" s="178"/>
      <c r="KZY553" s="178"/>
      <c r="KZZ553" s="178"/>
      <c r="LAA553" s="178"/>
      <c r="LAB553" s="178"/>
      <c r="LAC553" s="178"/>
      <c r="LAD553" s="178"/>
      <c r="LAE553" s="178"/>
      <c r="LAF553" s="178"/>
      <c r="LAG553" s="178"/>
      <c r="LAH553" s="178"/>
      <c r="LAI553" s="178"/>
      <c r="LAJ553" s="178"/>
      <c r="LAK553" s="178"/>
      <c r="LAL553" s="178"/>
      <c r="LAM553" s="178"/>
      <c r="LAN553" s="178"/>
      <c r="LAO553" s="178"/>
      <c r="LAP553" s="178"/>
      <c r="LAQ553" s="178"/>
      <c r="LAR553" s="178"/>
      <c r="LAS553" s="178"/>
      <c r="LAT553" s="178"/>
      <c r="LAU553" s="178"/>
      <c r="LAV553" s="178"/>
      <c r="LAW553" s="178"/>
      <c r="LAX553" s="178"/>
      <c r="LAY553" s="178"/>
      <c r="LAZ553" s="178"/>
      <c r="LBA553" s="178"/>
      <c r="LBB553" s="178"/>
      <c r="LBC553" s="178"/>
      <c r="LBD553" s="178"/>
      <c r="LBE553" s="178"/>
      <c r="LBF553" s="178"/>
      <c r="LBG553" s="178"/>
      <c r="LBH553" s="178"/>
      <c r="LBI553" s="178"/>
      <c r="LBJ553" s="178"/>
      <c r="LBK553" s="178"/>
      <c r="LBL553" s="178"/>
      <c r="LBM553" s="178"/>
      <c r="LBN553" s="178"/>
      <c r="LBO553" s="178"/>
      <c r="LBP553" s="178"/>
      <c r="LBQ553" s="178"/>
      <c r="LBR553" s="178"/>
      <c r="LBS553" s="178"/>
      <c r="LBT553" s="178"/>
      <c r="LBU553" s="178"/>
      <c r="LBV553" s="178"/>
      <c r="LBW553" s="178"/>
      <c r="LBX553" s="178"/>
      <c r="LBY553" s="178"/>
      <c r="LBZ553" s="178"/>
      <c r="LCA553" s="178"/>
      <c r="LCB553" s="178"/>
      <c r="LCC553" s="178"/>
      <c r="LCD553" s="178"/>
      <c r="LCE553" s="178"/>
      <c r="LCF553" s="178"/>
      <c r="LCG553" s="178"/>
      <c r="LCH553" s="178"/>
      <c r="LCI553" s="178"/>
      <c r="LCJ553" s="178"/>
      <c r="LCK553" s="178"/>
      <c r="LCL553" s="178"/>
      <c r="LCM553" s="178"/>
      <c r="LCN553" s="178"/>
      <c r="LCO553" s="178"/>
      <c r="LCP553" s="178"/>
      <c r="LCQ553" s="178"/>
      <c r="LCR553" s="178"/>
      <c r="LCS553" s="178"/>
      <c r="LCT553" s="178"/>
      <c r="LCU553" s="178"/>
      <c r="LCV553" s="178"/>
      <c r="LCW553" s="178"/>
      <c r="LCX553" s="178"/>
      <c r="LCY553" s="178"/>
      <c r="LCZ553" s="178"/>
      <c r="LDA553" s="178"/>
      <c r="LDB553" s="178"/>
      <c r="LDC553" s="178"/>
      <c r="LDD553" s="178"/>
      <c r="LDE553" s="178"/>
      <c r="LDF553" s="178"/>
      <c r="LDG553" s="178"/>
      <c r="LDH553" s="178"/>
      <c r="LDI553" s="178"/>
      <c r="LDJ553" s="178"/>
      <c r="LDK553" s="178"/>
      <c r="LDL553" s="178"/>
      <c r="LDM553" s="178"/>
      <c r="LDN553" s="178"/>
      <c r="LDO553" s="178"/>
      <c r="LDP553" s="178"/>
      <c r="LDQ553" s="178"/>
      <c r="LDR553" s="178"/>
      <c r="LDS553" s="178"/>
      <c r="LDT553" s="178"/>
      <c r="LDU553" s="178"/>
      <c r="LDV553" s="178"/>
      <c r="LDW553" s="178"/>
      <c r="LDX553" s="178"/>
      <c r="LDY553" s="178"/>
      <c r="LDZ553" s="178"/>
      <c r="LEA553" s="178"/>
      <c r="LEB553" s="178"/>
      <c r="LEC553" s="178"/>
      <c r="LED553" s="178"/>
      <c r="LEE553" s="178"/>
      <c r="LEF553" s="178"/>
      <c r="LEG553" s="178"/>
      <c r="LEH553" s="178"/>
      <c r="LEI553" s="178"/>
      <c r="LEJ553" s="178"/>
      <c r="LEK553" s="178"/>
      <c r="LEL553" s="178"/>
      <c r="LEM553" s="178"/>
      <c r="LEN553" s="178"/>
      <c r="LEO553" s="178"/>
      <c r="LEP553" s="178"/>
      <c r="LEQ553" s="178"/>
      <c r="LER553" s="178"/>
      <c r="LES553" s="178"/>
      <c r="LET553" s="178"/>
      <c r="LEU553" s="178"/>
      <c r="LEV553" s="178"/>
      <c r="LEW553" s="178"/>
      <c r="LEX553" s="178"/>
      <c r="LEY553" s="178"/>
      <c r="LEZ553" s="178"/>
      <c r="LFA553" s="178"/>
      <c r="LFB553" s="178"/>
      <c r="LFC553" s="178"/>
      <c r="LFD553" s="178"/>
      <c r="LFE553" s="178"/>
      <c r="LFF553" s="178"/>
      <c r="LFG553" s="178"/>
      <c r="LFH553" s="178"/>
      <c r="LFI553" s="178"/>
      <c r="LFJ553" s="178"/>
      <c r="LFK553" s="178"/>
      <c r="LFL553" s="178"/>
      <c r="LFM553" s="178"/>
      <c r="LFN553" s="178"/>
      <c r="LFO553" s="178"/>
      <c r="LFP553" s="178"/>
      <c r="LFQ553" s="178"/>
      <c r="LFR553" s="178"/>
      <c r="LFS553" s="178"/>
      <c r="LFT553" s="178"/>
      <c r="LFU553" s="178"/>
      <c r="LFV553" s="178"/>
      <c r="LFW553" s="178"/>
      <c r="LFX553" s="178"/>
      <c r="LFY553" s="178"/>
      <c r="LFZ553" s="178"/>
      <c r="LGA553" s="178"/>
      <c r="LGB553" s="178"/>
      <c r="LGC553" s="178"/>
      <c r="LGD553" s="178"/>
      <c r="LGE553" s="178"/>
      <c r="LGF553" s="178"/>
      <c r="LGG553" s="178"/>
      <c r="LGH553" s="178"/>
      <c r="LGI553" s="178"/>
      <c r="LGJ553" s="178"/>
      <c r="LGK553" s="178"/>
      <c r="LGL553" s="178"/>
      <c r="LGM553" s="178"/>
      <c r="LGN553" s="178"/>
      <c r="LGO553" s="178"/>
      <c r="LGP553" s="178"/>
      <c r="LGQ553" s="178"/>
      <c r="LGR553" s="178"/>
      <c r="LGS553" s="178"/>
      <c r="LGT553" s="178"/>
      <c r="LGU553" s="178"/>
      <c r="LGV553" s="178"/>
      <c r="LGW553" s="178"/>
      <c r="LGX553" s="178"/>
      <c r="LGY553" s="178"/>
      <c r="LGZ553" s="178"/>
      <c r="LHA553" s="178"/>
      <c r="LHB553" s="178"/>
      <c r="LHC553" s="178"/>
      <c r="LHD553" s="178"/>
      <c r="LHE553" s="178"/>
      <c r="LHF553" s="178"/>
      <c r="LHG553" s="178"/>
      <c r="LHH553" s="178"/>
      <c r="LHI553" s="178"/>
      <c r="LHJ553" s="178"/>
      <c r="LHK553" s="178"/>
      <c r="LHL553" s="178"/>
      <c r="LHM553" s="178"/>
      <c r="LHN553" s="178"/>
      <c r="LHO553" s="178"/>
      <c r="LHP553" s="178"/>
      <c r="LHQ553" s="178"/>
      <c r="LHR553" s="178"/>
      <c r="LHS553" s="178"/>
      <c r="LHT553" s="178"/>
      <c r="LHU553" s="178"/>
      <c r="LHV553" s="178"/>
      <c r="LHW553" s="178"/>
      <c r="LHX553" s="178"/>
      <c r="LHY553" s="178"/>
      <c r="LHZ553" s="178"/>
      <c r="LIA553" s="178"/>
      <c r="LIB553" s="178"/>
      <c r="LIC553" s="178"/>
      <c r="LID553" s="178"/>
      <c r="LIE553" s="178"/>
      <c r="LIF553" s="178"/>
      <c r="LIG553" s="178"/>
      <c r="LIH553" s="178"/>
      <c r="LII553" s="178"/>
      <c r="LIJ553" s="178"/>
      <c r="LIK553" s="178"/>
      <c r="LIL553" s="178"/>
      <c r="LIM553" s="178"/>
      <c r="LIN553" s="178"/>
      <c r="LIO553" s="178"/>
      <c r="LIP553" s="178"/>
      <c r="LIQ553" s="178"/>
      <c r="LIR553" s="178"/>
      <c r="LIS553" s="178"/>
      <c r="LIT553" s="178"/>
      <c r="LIU553" s="178"/>
      <c r="LIV553" s="178"/>
      <c r="LIW553" s="178"/>
      <c r="LIX553" s="178"/>
      <c r="LIY553" s="178"/>
      <c r="LIZ553" s="178"/>
      <c r="LJA553" s="178"/>
      <c r="LJB553" s="178"/>
      <c r="LJC553" s="178"/>
      <c r="LJD553" s="178"/>
      <c r="LJE553" s="178"/>
      <c r="LJF553" s="178"/>
      <c r="LJG553" s="178"/>
      <c r="LJH553" s="178"/>
      <c r="LJI553" s="178"/>
      <c r="LJJ553" s="178"/>
      <c r="LJK553" s="178"/>
      <c r="LJL553" s="178"/>
      <c r="LJM553" s="178"/>
      <c r="LJN553" s="178"/>
      <c r="LJO553" s="178"/>
      <c r="LJP553" s="178"/>
      <c r="LJQ553" s="178"/>
      <c r="LJR553" s="178"/>
      <c r="LJS553" s="178"/>
      <c r="LJT553" s="178"/>
      <c r="LJU553" s="178"/>
      <c r="LJV553" s="178"/>
      <c r="LJW553" s="178"/>
      <c r="LJX553" s="178"/>
      <c r="LJY553" s="178"/>
      <c r="LJZ553" s="178"/>
      <c r="LKA553" s="178"/>
      <c r="LKB553" s="178"/>
      <c r="LKC553" s="178"/>
      <c r="LKD553" s="178"/>
      <c r="LKE553" s="178"/>
      <c r="LKF553" s="178"/>
      <c r="LKG553" s="178"/>
      <c r="LKH553" s="178"/>
      <c r="LKI553" s="178"/>
      <c r="LKJ553" s="178"/>
      <c r="LKK553" s="178"/>
      <c r="LKL553" s="178"/>
      <c r="LKM553" s="178"/>
      <c r="LKN553" s="178"/>
      <c r="LKO553" s="178"/>
      <c r="LKP553" s="178"/>
      <c r="LKQ553" s="178"/>
      <c r="LKR553" s="178"/>
      <c r="LKS553" s="178"/>
      <c r="LKT553" s="178"/>
      <c r="LKU553" s="178"/>
      <c r="LKV553" s="178"/>
      <c r="LKW553" s="178"/>
      <c r="LKX553" s="178"/>
      <c r="LKY553" s="178"/>
      <c r="LKZ553" s="178"/>
      <c r="LLA553" s="178"/>
      <c r="LLB553" s="178"/>
      <c r="LLC553" s="178"/>
      <c r="LLD553" s="178"/>
      <c r="LLE553" s="178"/>
      <c r="LLF553" s="178"/>
      <c r="LLG553" s="178"/>
      <c r="LLH553" s="178"/>
      <c r="LLI553" s="178"/>
      <c r="LLJ553" s="178"/>
      <c r="LLK553" s="178"/>
      <c r="LLL553" s="178"/>
      <c r="LLM553" s="178"/>
      <c r="LLN553" s="178"/>
      <c r="LLO553" s="178"/>
      <c r="LLP553" s="178"/>
      <c r="LLQ553" s="178"/>
      <c r="LLR553" s="178"/>
      <c r="LLS553" s="178"/>
      <c r="LLT553" s="178"/>
      <c r="LLU553" s="178"/>
      <c r="LLV553" s="178"/>
      <c r="LLW553" s="178"/>
      <c r="LLX553" s="178"/>
      <c r="LLY553" s="178"/>
      <c r="LLZ553" s="178"/>
      <c r="LMA553" s="178"/>
      <c r="LMB553" s="178"/>
      <c r="LMC553" s="178"/>
      <c r="LMD553" s="178"/>
      <c r="LME553" s="178"/>
      <c r="LMF553" s="178"/>
      <c r="LMG553" s="178"/>
      <c r="LMH553" s="178"/>
      <c r="LMI553" s="178"/>
      <c r="LMJ553" s="178"/>
      <c r="LMK553" s="178"/>
      <c r="LML553" s="178"/>
      <c r="LMM553" s="178"/>
      <c r="LMN553" s="178"/>
      <c r="LMO553" s="178"/>
      <c r="LMP553" s="178"/>
      <c r="LMQ553" s="178"/>
      <c r="LMR553" s="178"/>
      <c r="LMS553" s="178"/>
      <c r="LMT553" s="178"/>
      <c r="LMU553" s="178"/>
      <c r="LMV553" s="178"/>
      <c r="LMW553" s="178"/>
      <c r="LMX553" s="178"/>
      <c r="LMY553" s="178"/>
      <c r="LMZ553" s="178"/>
      <c r="LNA553" s="178"/>
      <c r="LNB553" s="178"/>
      <c r="LNC553" s="178"/>
      <c r="LND553" s="178"/>
      <c r="LNE553" s="178"/>
      <c r="LNF553" s="178"/>
      <c r="LNG553" s="178"/>
      <c r="LNH553" s="178"/>
      <c r="LNI553" s="178"/>
      <c r="LNJ553" s="178"/>
      <c r="LNK553" s="178"/>
      <c r="LNL553" s="178"/>
      <c r="LNM553" s="178"/>
      <c r="LNN553" s="178"/>
      <c r="LNO553" s="178"/>
      <c r="LNP553" s="178"/>
      <c r="LNQ553" s="178"/>
      <c r="LNR553" s="178"/>
      <c r="LNS553" s="178"/>
      <c r="LNT553" s="178"/>
      <c r="LNU553" s="178"/>
      <c r="LNV553" s="178"/>
      <c r="LNW553" s="178"/>
      <c r="LNX553" s="178"/>
      <c r="LNY553" s="178"/>
      <c r="LNZ553" s="178"/>
      <c r="LOA553" s="178"/>
      <c r="LOB553" s="178"/>
      <c r="LOC553" s="178"/>
      <c r="LOD553" s="178"/>
      <c r="LOE553" s="178"/>
      <c r="LOF553" s="178"/>
      <c r="LOG553" s="178"/>
      <c r="LOH553" s="178"/>
      <c r="LOI553" s="178"/>
      <c r="LOJ553" s="178"/>
      <c r="LOK553" s="178"/>
      <c r="LOL553" s="178"/>
      <c r="LOM553" s="178"/>
      <c r="LON553" s="178"/>
      <c r="LOO553" s="178"/>
      <c r="LOP553" s="178"/>
      <c r="LOQ553" s="178"/>
      <c r="LOR553" s="178"/>
      <c r="LOS553" s="178"/>
      <c r="LOT553" s="178"/>
      <c r="LOU553" s="178"/>
      <c r="LOV553" s="178"/>
      <c r="LOW553" s="178"/>
      <c r="LOX553" s="178"/>
      <c r="LOY553" s="178"/>
      <c r="LOZ553" s="178"/>
      <c r="LPA553" s="178"/>
      <c r="LPB553" s="178"/>
      <c r="LPC553" s="178"/>
      <c r="LPD553" s="178"/>
      <c r="LPE553" s="178"/>
      <c r="LPF553" s="178"/>
      <c r="LPG553" s="178"/>
      <c r="LPH553" s="178"/>
      <c r="LPI553" s="178"/>
      <c r="LPJ553" s="178"/>
      <c r="LPK553" s="178"/>
      <c r="LPL553" s="178"/>
      <c r="LPM553" s="178"/>
      <c r="LPN553" s="178"/>
      <c r="LPO553" s="178"/>
      <c r="LPP553" s="178"/>
      <c r="LPQ553" s="178"/>
      <c r="LPR553" s="178"/>
      <c r="LPS553" s="178"/>
      <c r="LPT553" s="178"/>
      <c r="LPU553" s="178"/>
      <c r="LPV553" s="178"/>
      <c r="LPW553" s="178"/>
      <c r="LPX553" s="178"/>
      <c r="LPY553" s="178"/>
      <c r="LPZ553" s="178"/>
      <c r="LQA553" s="178"/>
      <c r="LQB553" s="178"/>
      <c r="LQC553" s="178"/>
      <c r="LQD553" s="178"/>
      <c r="LQE553" s="178"/>
      <c r="LQF553" s="178"/>
      <c r="LQG553" s="178"/>
      <c r="LQH553" s="178"/>
      <c r="LQI553" s="178"/>
      <c r="LQJ553" s="178"/>
      <c r="LQK553" s="178"/>
      <c r="LQL553" s="178"/>
      <c r="LQM553" s="178"/>
      <c r="LQN553" s="178"/>
      <c r="LQO553" s="178"/>
      <c r="LQP553" s="178"/>
      <c r="LQQ553" s="178"/>
      <c r="LQR553" s="178"/>
      <c r="LQS553" s="178"/>
      <c r="LQT553" s="178"/>
      <c r="LQU553" s="178"/>
      <c r="LQV553" s="178"/>
      <c r="LQW553" s="178"/>
      <c r="LQX553" s="178"/>
      <c r="LQY553" s="178"/>
      <c r="LQZ553" s="178"/>
      <c r="LRA553" s="178"/>
      <c r="LRB553" s="178"/>
      <c r="LRC553" s="178"/>
      <c r="LRD553" s="178"/>
      <c r="LRE553" s="178"/>
      <c r="LRF553" s="178"/>
      <c r="LRG553" s="178"/>
      <c r="LRH553" s="178"/>
      <c r="LRI553" s="178"/>
      <c r="LRJ553" s="178"/>
      <c r="LRK553" s="178"/>
      <c r="LRL553" s="178"/>
      <c r="LRM553" s="178"/>
      <c r="LRN553" s="178"/>
      <c r="LRO553" s="178"/>
      <c r="LRP553" s="178"/>
      <c r="LRQ553" s="178"/>
      <c r="LRR553" s="178"/>
      <c r="LRS553" s="178"/>
      <c r="LRT553" s="178"/>
      <c r="LRU553" s="178"/>
      <c r="LRV553" s="178"/>
      <c r="LRW553" s="178"/>
      <c r="LRX553" s="178"/>
      <c r="LRY553" s="178"/>
      <c r="LRZ553" s="178"/>
      <c r="LSA553" s="178"/>
      <c r="LSB553" s="178"/>
      <c r="LSC553" s="178"/>
      <c r="LSD553" s="178"/>
      <c r="LSE553" s="178"/>
      <c r="LSF553" s="178"/>
      <c r="LSG553" s="178"/>
      <c r="LSH553" s="178"/>
      <c r="LSI553" s="178"/>
      <c r="LSJ553" s="178"/>
      <c r="LSK553" s="178"/>
      <c r="LSL553" s="178"/>
      <c r="LSM553" s="178"/>
      <c r="LSN553" s="178"/>
      <c r="LSO553" s="178"/>
      <c r="LSP553" s="178"/>
      <c r="LSQ553" s="178"/>
      <c r="LSR553" s="178"/>
      <c r="LSS553" s="178"/>
      <c r="LST553" s="178"/>
      <c r="LSU553" s="178"/>
      <c r="LSV553" s="178"/>
      <c r="LSW553" s="178"/>
      <c r="LSX553" s="178"/>
      <c r="LSY553" s="178"/>
      <c r="LSZ553" s="178"/>
      <c r="LTA553" s="178"/>
      <c r="LTB553" s="178"/>
      <c r="LTC553" s="178"/>
      <c r="LTD553" s="178"/>
      <c r="LTE553" s="178"/>
      <c r="LTF553" s="178"/>
      <c r="LTG553" s="178"/>
      <c r="LTH553" s="178"/>
      <c r="LTI553" s="178"/>
      <c r="LTJ553" s="178"/>
      <c r="LTK553" s="178"/>
      <c r="LTL553" s="178"/>
      <c r="LTM553" s="178"/>
      <c r="LTN553" s="178"/>
      <c r="LTO553" s="178"/>
      <c r="LTP553" s="178"/>
      <c r="LTQ553" s="178"/>
      <c r="LTR553" s="178"/>
      <c r="LTS553" s="178"/>
      <c r="LTT553" s="178"/>
      <c r="LTU553" s="178"/>
      <c r="LTV553" s="178"/>
      <c r="LTW553" s="178"/>
      <c r="LTX553" s="178"/>
      <c r="LTY553" s="178"/>
      <c r="LTZ553" s="178"/>
      <c r="LUA553" s="178"/>
      <c r="LUB553" s="178"/>
      <c r="LUC553" s="178"/>
      <c r="LUD553" s="178"/>
      <c r="LUE553" s="178"/>
      <c r="LUF553" s="178"/>
      <c r="LUG553" s="178"/>
      <c r="LUH553" s="178"/>
      <c r="LUI553" s="178"/>
      <c r="LUJ553" s="178"/>
      <c r="LUK553" s="178"/>
      <c r="LUL553" s="178"/>
      <c r="LUM553" s="178"/>
      <c r="LUN553" s="178"/>
      <c r="LUO553" s="178"/>
      <c r="LUP553" s="178"/>
      <c r="LUQ553" s="178"/>
      <c r="LUR553" s="178"/>
      <c r="LUS553" s="178"/>
      <c r="LUT553" s="178"/>
      <c r="LUU553" s="178"/>
      <c r="LUV553" s="178"/>
      <c r="LUW553" s="178"/>
      <c r="LUX553" s="178"/>
      <c r="LUY553" s="178"/>
      <c r="LUZ553" s="178"/>
      <c r="LVA553" s="178"/>
      <c r="LVB553" s="178"/>
      <c r="LVC553" s="178"/>
      <c r="LVD553" s="178"/>
      <c r="LVE553" s="178"/>
      <c r="LVF553" s="178"/>
      <c r="LVG553" s="178"/>
      <c r="LVH553" s="178"/>
      <c r="LVI553" s="178"/>
      <c r="LVJ553" s="178"/>
      <c r="LVK553" s="178"/>
      <c r="LVL553" s="178"/>
      <c r="LVM553" s="178"/>
      <c r="LVN553" s="178"/>
      <c r="LVO553" s="178"/>
      <c r="LVP553" s="178"/>
      <c r="LVQ553" s="178"/>
      <c r="LVR553" s="178"/>
      <c r="LVS553" s="178"/>
      <c r="LVT553" s="178"/>
      <c r="LVU553" s="178"/>
      <c r="LVV553" s="178"/>
      <c r="LVW553" s="178"/>
      <c r="LVX553" s="178"/>
      <c r="LVY553" s="178"/>
      <c r="LVZ553" s="178"/>
      <c r="LWA553" s="178"/>
      <c r="LWB553" s="178"/>
      <c r="LWC553" s="178"/>
      <c r="LWD553" s="178"/>
      <c r="LWE553" s="178"/>
      <c r="LWF553" s="178"/>
      <c r="LWG553" s="178"/>
      <c r="LWH553" s="178"/>
      <c r="LWI553" s="178"/>
      <c r="LWJ553" s="178"/>
      <c r="LWK553" s="178"/>
      <c r="LWL553" s="178"/>
      <c r="LWM553" s="178"/>
      <c r="LWN553" s="178"/>
      <c r="LWO553" s="178"/>
      <c r="LWP553" s="178"/>
      <c r="LWQ553" s="178"/>
      <c r="LWR553" s="178"/>
      <c r="LWS553" s="178"/>
      <c r="LWT553" s="178"/>
      <c r="LWU553" s="178"/>
      <c r="LWV553" s="178"/>
      <c r="LWW553" s="178"/>
      <c r="LWX553" s="178"/>
      <c r="LWY553" s="178"/>
      <c r="LWZ553" s="178"/>
      <c r="LXA553" s="178"/>
      <c r="LXB553" s="178"/>
      <c r="LXC553" s="178"/>
      <c r="LXD553" s="178"/>
      <c r="LXE553" s="178"/>
      <c r="LXF553" s="178"/>
      <c r="LXG553" s="178"/>
      <c r="LXH553" s="178"/>
      <c r="LXI553" s="178"/>
      <c r="LXJ553" s="178"/>
      <c r="LXK553" s="178"/>
      <c r="LXL553" s="178"/>
      <c r="LXM553" s="178"/>
      <c r="LXN553" s="178"/>
      <c r="LXO553" s="178"/>
      <c r="LXP553" s="178"/>
      <c r="LXQ553" s="178"/>
      <c r="LXR553" s="178"/>
      <c r="LXS553" s="178"/>
      <c r="LXT553" s="178"/>
      <c r="LXU553" s="178"/>
      <c r="LXV553" s="178"/>
      <c r="LXW553" s="178"/>
      <c r="LXX553" s="178"/>
      <c r="LXY553" s="178"/>
      <c r="LXZ553" s="178"/>
      <c r="LYA553" s="178"/>
      <c r="LYB553" s="178"/>
      <c r="LYC553" s="178"/>
      <c r="LYD553" s="178"/>
      <c r="LYE553" s="178"/>
      <c r="LYF553" s="178"/>
      <c r="LYG553" s="178"/>
      <c r="LYH553" s="178"/>
      <c r="LYI553" s="178"/>
      <c r="LYJ553" s="178"/>
      <c r="LYK553" s="178"/>
      <c r="LYL553" s="178"/>
      <c r="LYM553" s="178"/>
      <c r="LYN553" s="178"/>
      <c r="LYO553" s="178"/>
      <c r="LYP553" s="178"/>
      <c r="LYQ553" s="178"/>
      <c r="LYR553" s="178"/>
      <c r="LYS553" s="178"/>
      <c r="LYT553" s="178"/>
      <c r="LYU553" s="178"/>
      <c r="LYV553" s="178"/>
      <c r="LYW553" s="178"/>
      <c r="LYX553" s="178"/>
      <c r="LYY553" s="178"/>
      <c r="LYZ553" s="178"/>
      <c r="LZA553" s="178"/>
      <c r="LZB553" s="178"/>
      <c r="LZC553" s="178"/>
      <c r="LZD553" s="178"/>
      <c r="LZE553" s="178"/>
      <c r="LZF553" s="178"/>
      <c r="LZG553" s="178"/>
      <c r="LZH553" s="178"/>
      <c r="LZI553" s="178"/>
      <c r="LZJ553" s="178"/>
      <c r="LZK553" s="178"/>
      <c r="LZL553" s="178"/>
      <c r="LZM553" s="178"/>
      <c r="LZN553" s="178"/>
      <c r="LZO553" s="178"/>
      <c r="LZP553" s="178"/>
      <c r="LZQ553" s="178"/>
      <c r="LZR553" s="178"/>
      <c r="LZS553" s="178"/>
      <c r="LZT553" s="178"/>
      <c r="LZU553" s="178"/>
      <c r="LZV553" s="178"/>
      <c r="LZW553" s="178"/>
      <c r="LZX553" s="178"/>
      <c r="LZY553" s="178"/>
      <c r="LZZ553" s="178"/>
      <c r="MAA553" s="178"/>
      <c r="MAB553" s="178"/>
      <c r="MAC553" s="178"/>
      <c r="MAD553" s="178"/>
      <c r="MAE553" s="178"/>
      <c r="MAF553" s="178"/>
      <c r="MAG553" s="178"/>
      <c r="MAH553" s="178"/>
      <c r="MAI553" s="178"/>
      <c r="MAJ553" s="178"/>
      <c r="MAK553" s="178"/>
      <c r="MAL553" s="178"/>
      <c r="MAM553" s="178"/>
      <c r="MAN553" s="178"/>
      <c r="MAO553" s="178"/>
      <c r="MAP553" s="178"/>
      <c r="MAQ553" s="178"/>
      <c r="MAR553" s="178"/>
      <c r="MAS553" s="178"/>
      <c r="MAT553" s="178"/>
      <c r="MAU553" s="178"/>
      <c r="MAV553" s="178"/>
      <c r="MAW553" s="178"/>
      <c r="MAX553" s="178"/>
      <c r="MAY553" s="178"/>
      <c r="MAZ553" s="178"/>
      <c r="MBA553" s="178"/>
      <c r="MBB553" s="178"/>
      <c r="MBC553" s="178"/>
      <c r="MBD553" s="178"/>
      <c r="MBE553" s="178"/>
      <c r="MBF553" s="178"/>
      <c r="MBG553" s="178"/>
      <c r="MBH553" s="178"/>
      <c r="MBI553" s="178"/>
      <c r="MBJ553" s="178"/>
      <c r="MBK553" s="178"/>
      <c r="MBL553" s="178"/>
      <c r="MBM553" s="178"/>
      <c r="MBN553" s="178"/>
      <c r="MBO553" s="178"/>
      <c r="MBP553" s="178"/>
      <c r="MBQ553" s="178"/>
      <c r="MBR553" s="178"/>
      <c r="MBS553" s="178"/>
      <c r="MBT553" s="178"/>
      <c r="MBU553" s="178"/>
      <c r="MBV553" s="178"/>
      <c r="MBW553" s="178"/>
      <c r="MBX553" s="178"/>
      <c r="MBY553" s="178"/>
      <c r="MBZ553" s="178"/>
      <c r="MCA553" s="178"/>
      <c r="MCB553" s="178"/>
      <c r="MCC553" s="178"/>
      <c r="MCD553" s="178"/>
      <c r="MCE553" s="178"/>
      <c r="MCF553" s="178"/>
      <c r="MCG553" s="178"/>
      <c r="MCH553" s="178"/>
      <c r="MCI553" s="178"/>
      <c r="MCJ553" s="178"/>
      <c r="MCK553" s="178"/>
      <c r="MCL553" s="178"/>
      <c r="MCM553" s="178"/>
      <c r="MCN553" s="178"/>
      <c r="MCO553" s="178"/>
      <c r="MCP553" s="178"/>
      <c r="MCQ553" s="178"/>
      <c r="MCR553" s="178"/>
      <c r="MCS553" s="178"/>
      <c r="MCT553" s="178"/>
      <c r="MCU553" s="178"/>
      <c r="MCV553" s="178"/>
      <c r="MCW553" s="178"/>
      <c r="MCX553" s="178"/>
      <c r="MCY553" s="178"/>
      <c r="MCZ553" s="178"/>
      <c r="MDA553" s="178"/>
      <c r="MDB553" s="178"/>
      <c r="MDC553" s="178"/>
      <c r="MDD553" s="178"/>
      <c r="MDE553" s="178"/>
      <c r="MDF553" s="178"/>
      <c r="MDG553" s="178"/>
      <c r="MDH553" s="178"/>
      <c r="MDI553" s="178"/>
      <c r="MDJ553" s="178"/>
      <c r="MDK553" s="178"/>
      <c r="MDL553" s="178"/>
      <c r="MDM553" s="178"/>
      <c r="MDN553" s="178"/>
      <c r="MDO553" s="178"/>
      <c r="MDP553" s="178"/>
      <c r="MDQ553" s="178"/>
      <c r="MDR553" s="178"/>
      <c r="MDS553" s="178"/>
      <c r="MDT553" s="178"/>
      <c r="MDU553" s="178"/>
      <c r="MDV553" s="178"/>
      <c r="MDW553" s="178"/>
      <c r="MDX553" s="178"/>
      <c r="MDY553" s="178"/>
      <c r="MDZ553" s="178"/>
      <c r="MEA553" s="178"/>
      <c r="MEB553" s="178"/>
      <c r="MEC553" s="178"/>
      <c r="MED553" s="178"/>
      <c r="MEE553" s="178"/>
      <c r="MEF553" s="178"/>
      <c r="MEG553" s="178"/>
      <c r="MEH553" s="178"/>
      <c r="MEI553" s="178"/>
      <c r="MEJ553" s="178"/>
      <c r="MEK553" s="178"/>
      <c r="MEL553" s="178"/>
      <c r="MEM553" s="178"/>
      <c r="MEN553" s="178"/>
      <c r="MEO553" s="178"/>
      <c r="MEP553" s="178"/>
      <c r="MEQ553" s="178"/>
      <c r="MER553" s="178"/>
      <c r="MES553" s="178"/>
      <c r="MET553" s="178"/>
      <c r="MEU553" s="178"/>
      <c r="MEV553" s="178"/>
      <c r="MEW553" s="178"/>
      <c r="MEX553" s="178"/>
      <c r="MEY553" s="178"/>
      <c r="MEZ553" s="178"/>
      <c r="MFA553" s="178"/>
      <c r="MFB553" s="178"/>
      <c r="MFC553" s="178"/>
      <c r="MFD553" s="178"/>
      <c r="MFE553" s="178"/>
      <c r="MFF553" s="178"/>
      <c r="MFG553" s="178"/>
      <c r="MFH553" s="178"/>
      <c r="MFI553" s="178"/>
      <c r="MFJ553" s="178"/>
      <c r="MFK553" s="178"/>
      <c r="MFL553" s="178"/>
      <c r="MFM553" s="178"/>
      <c r="MFN553" s="178"/>
      <c r="MFO553" s="178"/>
      <c r="MFP553" s="178"/>
      <c r="MFQ553" s="178"/>
      <c r="MFR553" s="178"/>
      <c r="MFS553" s="178"/>
      <c r="MFT553" s="178"/>
      <c r="MFU553" s="178"/>
      <c r="MFV553" s="178"/>
      <c r="MFW553" s="178"/>
      <c r="MFX553" s="178"/>
      <c r="MFY553" s="178"/>
      <c r="MFZ553" s="178"/>
      <c r="MGA553" s="178"/>
      <c r="MGB553" s="178"/>
      <c r="MGC553" s="178"/>
      <c r="MGD553" s="178"/>
      <c r="MGE553" s="178"/>
      <c r="MGF553" s="178"/>
      <c r="MGG553" s="178"/>
      <c r="MGH553" s="178"/>
      <c r="MGI553" s="178"/>
      <c r="MGJ553" s="178"/>
      <c r="MGK553" s="178"/>
      <c r="MGL553" s="178"/>
      <c r="MGM553" s="178"/>
      <c r="MGN553" s="178"/>
      <c r="MGO553" s="178"/>
      <c r="MGP553" s="178"/>
      <c r="MGQ553" s="178"/>
      <c r="MGR553" s="178"/>
      <c r="MGS553" s="178"/>
      <c r="MGT553" s="178"/>
      <c r="MGU553" s="178"/>
      <c r="MGV553" s="178"/>
      <c r="MGW553" s="178"/>
      <c r="MGX553" s="178"/>
      <c r="MGY553" s="178"/>
      <c r="MGZ553" s="178"/>
      <c r="MHA553" s="178"/>
      <c r="MHB553" s="178"/>
      <c r="MHC553" s="178"/>
      <c r="MHD553" s="178"/>
      <c r="MHE553" s="178"/>
      <c r="MHF553" s="178"/>
      <c r="MHG553" s="178"/>
      <c r="MHH553" s="178"/>
      <c r="MHI553" s="178"/>
      <c r="MHJ553" s="178"/>
      <c r="MHK553" s="178"/>
      <c r="MHL553" s="178"/>
      <c r="MHM553" s="178"/>
      <c r="MHN553" s="178"/>
      <c r="MHO553" s="178"/>
      <c r="MHP553" s="178"/>
      <c r="MHQ553" s="178"/>
      <c r="MHR553" s="178"/>
      <c r="MHS553" s="178"/>
      <c r="MHT553" s="178"/>
      <c r="MHU553" s="178"/>
      <c r="MHV553" s="178"/>
      <c r="MHW553" s="178"/>
      <c r="MHX553" s="178"/>
      <c r="MHY553" s="178"/>
      <c r="MHZ553" s="178"/>
      <c r="MIA553" s="178"/>
      <c r="MIB553" s="178"/>
      <c r="MIC553" s="178"/>
      <c r="MID553" s="178"/>
      <c r="MIE553" s="178"/>
      <c r="MIF553" s="178"/>
      <c r="MIG553" s="178"/>
      <c r="MIH553" s="178"/>
      <c r="MII553" s="178"/>
      <c r="MIJ553" s="178"/>
      <c r="MIK553" s="178"/>
      <c r="MIL553" s="178"/>
      <c r="MIM553" s="178"/>
      <c r="MIN553" s="178"/>
      <c r="MIO553" s="178"/>
      <c r="MIP553" s="178"/>
      <c r="MIQ553" s="178"/>
      <c r="MIR553" s="178"/>
      <c r="MIS553" s="178"/>
      <c r="MIT553" s="178"/>
      <c r="MIU553" s="178"/>
      <c r="MIV553" s="178"/>
      <c r="MIW553" s="178"/>
      <c r="MIX553" s="178"/>
      <c r="MIY553" s="178"/>
      <c r="MIZ553" s="178"/>
      <c r="MJA553" s="178"/>
      <c r="MJB553" s="178"/>
      <c r="MJC553" s="178"/>
      <c r="MJD553" s="178"/>
      <c r="MJE553" s="178"/>
      <c r="MJF553" s="178"/>
      <c r="MJG553" s="178"/>
      <c r="MJH553" s="178"/>
      <c r="MJI553" s="178"/>
      <c r="MJJ553" s="178"/>
      <c r="MJK553" s="178"/>
      <c r="MJL553" s="178"/>
      <c r="MJM553" s="178"/>
      <c r="MJN553" s="178"/>
      <c r="MJO553" s="178"/>
      <c r="MJP553" s="178"/>
      <c r="MJQ553" s="178"/>
      <c r="MJR553" s="178"/>
      <c r="MJS553" s="178"/>
      <c r="MJT553" s="178"/>
      <c r="MJU553" s="178"/>
      <c r="MJV553" s="178"/>
      <c r="MJW553" s="178"/>
      <c r="MJX553" s="178"/>
      <c r="MJY553" s="178"/>
      <c r="MJZ553" s="178"/>
      <c r="MKA553" s="178"/>
      <c r="MKB553" s="178"/>
      <c r="MKC553" s="178"/>
      <c r="MKD553" s="178"/>
      <c r="MKE553" s="178"/>
      <c r="MKF553" s="178"/>
      <c r="MKG553" s="178"/>
      <c r="MKH553" s="178"/>
      <c r="MKI553" s="178"/>
      <c r="MKJ553" s="178"/>
      <c r="MKK553" s="178"/>
      <c r="MKL553" s="178"/>
      <c r="MKM553" s="178"/>
      <c r="MKN553" s="178"/>
      <c r="MKO553" s="178"/>
      <c r="MKP553" s="178"/>
      <c r="MKQ553" s="178"/>
      <c r="MKR553" s="178"/>
      <c r="MKS553" s="178"/>
      <c r="MKT553" s="178"/>
      <c r="MKU553" s="178"/>
      <c r="MKV553" s="178"/>
      <c r="MKW553" s="178"/>
      <c r="MKX553" s="178"/>
      <c r="MKY553" s="178"/>
      <c r="MKZ553" s="178"/>
      <c r="MLA553" s="178"/>
      <c r="MLB553" s="178"/>
      <c r="MLC553" s="178"/>
      <c r="MLD553" s="178"/>
      <c r="MLE553" s="178"/>
      <c r="MLF553" s="178"/>
      <c r="MLG553" s="178"/>
      <c r="MLH553" s="178"/>
      <c r="MLI553" s="178"/>
      <c r="MLJ553" s="178"/>
      <c r="MLK553" s="178"/>
      <c r="MLL553" s="178"/>
      <c r="MLM553" s="178"/>
      <c r="MLN553" s="178"/>
      <c r="MLO553" s="178"/>
      <c r="MLP553" s="178"/>
      <c r="MLQ553" s="178"/>
      <c r="MLR553" s="178"/>
      <c r="MLS553" s="178"/>
      <c r="MLT553" s="178"/>
      <c r="MLU553" s="178"/>
      <c r="MLV553" s="178"/>
      <c r="MLW553" s="178"/>
      <c r="MLX553" s="178"/>
      <c r="MLY553" s="178"/>
      <c r="MLZ553" s="178"/>
      <c r="MMA553" s="178"/>
      <c r="MMB553" s="178"/>
      <c r="MMC553" s="178"/>
      <c r="MMD553" s="178"/>
      <c r="MME553" s="178"/>
      <c r="MMF553" s="178"/>
      <c r="MMG553" s="178"/>
      <c r="MMH553" s="178"/>
      <c r="MMI553" s="178"/>
      <c r="MMJ553" s="178"/>
      <c r="MMK553" s="178"/>
      <c r="MML553" s="178"/>
      <c r="MMM553" s="178"/>
      <c r="MMN553" s="178"/>
      <c r="MMO553" s="178"/>
      <c r="MMP553" s="178"/>
      <c r="MMQ553" s="178"/>
      <c r="MMR553" s="178"/>
      <c r="MMS553" s="178"/>
      <c r="MMT553" s="178"/>
      <c r="MMU553" s="178"/>
      <c r="MMV553" s="178"/>
      <c r="MMW553" s="178"/>
      <c r="MMX553" s="178"/>
      <c r="MMY553" s="178"/>
      <c r="MMZ553" s="178"/>
      <c r="MNA553" s="178"/>
      <c r="MNB553" s="178"/>
      <c r="MNC553" s="178"/>
      <c r="MND553" s="178"/>
      <c r="MNE553" s="178"/>
      <c r="MNF553" s="178"/>
      <c r="MNG553" s="178"/>
      <c r="MNH553" s="178"/>
      <c r="MNI553" s="178"/>
      <c r="MNJ553" s="178"/>
      <c r="MNK553" s="178"/>
      <c r="MNL553" s="178"/>
      <c r="MNM553" s="178"/>
      <c r="MNN553" s="178"/>
      <c r="MNO553" s="178"/>
      <c r="MNP553" s="178"/>
      <c r="MNQ553" s="178"/>
      <c r="MNR553" s="178"/>
      <c r="MNS553" s="178"/>
      <c r="MNT553" s="178"/>
      <c r="MNU553" s="178"/>
      <c r="MNV553" s="178"/>
      <c r="MNW553" s="178"/>
      <c r="MNX553" s="178"/>
      <c r="MNY553" s="178"/>
      <c r="MNZ553" s="178"/>
      <c r="MOA553" s="178"/>
      <c r="MOB553" s="178"/>
      <c r="MOC553" s="178"/>
      <c r="MOD553" s="178"/>
      <c r="MOE553" s="178"/>
      <c r="MOF553" s="178"/>
      <c r="MOG553" s="178"/>
      <c r="MOH553" s="178"/>
      <c r="MOI553" s="178"/>
      <c r="MOJ553" s="178"/>
      <c r="MOK553" s="178"/>
      <c r="MOL553" s="178"/>
      <c r="MOM553" s="178"/>
      <c r="MON553" s="178"/>
      <c r="MOO553" s="178"/>
      <c r="MOP553" s="178"/>
      <c r="MOQ553" s="178"/>
      <c r="MOR553" s="178"/>
      <c r="MOS553" s="178"/>
      <c r="MOT553" s="178"/>
      <c r="MOU553" s="178"/>
      <c r="MOV553" s="178"/>
      <c r="MOW553" s="178"/>
      <c r="MOX553" s="178"/>
      <c r="MOY553" s="178"/>
      <c r="MOZ553" s="178"/>
      <c r="MPA553" s="178"/>
      <c r="MPB553" s="178"/>
      <c r="MPC553" s="178"/>
      <c r="MPD553" s="178"/>
      <c r="MPE553" s="178"/>
      <c r="MPF553" s="178"/>
      <c r="MPG553" s="178"/>
      <c r="MPH553" s="178"/>
      <c r="MPI553" s="178"/>
      <c r="MPJ553" s="178"/>
      <c r="MPK553" s="178"/>
      <c r="MPL553" s="178"/>
      <c r="MPM553" s="178"/>
      <c r="MPN553" s="178"/>
      <c r="MPO553" s="178"/>
      <c r="MPP553" s="178"/>
      <c r="MPQ553" s="178"/>
      <c r="MPR553" s="178"/>
      <c r="MPS553" s="178"/>
      <c r="MPT553" s="178"/>
      <c r="MPU553" s="178"/>
      <c r="MPV553" s="178"/>
      <c r="MPW553" s="178"/>
      <c r="MPX553" s="178"/>
      <c r="MPY553" s="178"/>
      <c r="MPZ553" s="178"/>
      <c r="MQA553" s="178"/>
      <c r="MQB553" s="178"/>
      <c r="MQC553" s="178"/>
      <c r="MQD553" s="178"/>
      <c r="MQE553" s="178"/>
      <c r="MQF553" s="178"/>
      <c r="MQG553" s="178"/>
      <c r="MQH553" s="178"/>
      <c r="MQI553" s="178"/>
      <c r="MQJ553" s="178"/>
      <c r="MQK553" s="178"/>
      <c r="MQL553" s="178"/>
      <c r="MQM553" s="178"/>
      <c r="MQN553" s="178"/>
      <c r="MQO553" s="178"/>
      <c r="MQP553" s="178"/>
      <c r="MQQ553" s="178"/>
      <c r="MQR553" s="178"/>
      <c r="MQS553" s="178"/>
      <c r="MQT553" s="178"/>
      <c r="MQU553" s="178"/>
      <c r="MQV553" s="178"/>
      <c r="MQW553" s="178"/>
      <c r="MQX553" s="178"/>
      <c r="MQY553" s="178"/>
      <c r="MQZ553" s="178"/>
      <c r="MRA553" s="178"/>
      <c r="MRB553" s="178"/>
      <c r="MRC553" s="178"/>
      <c r="MRD553" s="178"/>
      <c r="MRE553" s="178"/>
      <c r="MRF553" s="178"/>
      <c r="MRG553" s="178"/>
      <c r="MRH553" s="178"/>
      <c r="MRI553" s="178"/>
      <c r="MRJ553" s="178"/>
      <c r="MRK553" s="178"/>
      <c r="MRL553" s="178"/>
      <c r="MRM553" s="178"/>
      <c r="MRN553" s="178"/>
      <c r="MRO553" s="178"/>
      <c r="MRP553" s="178"/>
      <c r="MRQ553" s="178"/>
      <c r="MRR553" s="178"/>
      <c r="MRS553" s="178"/>
      <c r="MRT553" s="178"/>
      <c r="MRU553" s="178"/>
      <c r="MRV553" s="178"/>
      <c r="MRW553" s="178"/>
      <c r="MRX553" s="178"/>
      <c r="MRY553" s="178"/>
      <c r="MRZ553" s="178"/>
      <c r="MSA553" s="178"/>
      <c r="MSB553" s="178"/>
      <c r="MSC553" s="178"/>
      <c r="MSD553" s="178"/>
      <c r="MSE553" s="178"/>
      <c r="MSF553" s="178"/>
      <c r="MSG553" s="178"/>
      <c r="MSH553" s="178"/>
      <c r="MSI553" s="178"/>
      <c r="MSJ553" s="178"/>
      <c r="MSK553" s="178"/>
      <c r="MSL553" s="178"/>
      <c r="MSM553" s="178"/>
      <c r="MSN553" s="178"/>
      <c r="MSO553" s="178"/>
      <c r="MSP553" s="178"/>
      <c r="MSQ553" s="178"/>
      <c r="MSR553" s="178"/>
      <c r="MSS553" s="178"/>
      <c r="MST553" s="178"/>
      <c r="MSU553" s="178"/>
      <c r="MSV553" s="178"/>
      <c r="MSW553" s="178"/>
      <c r="MSX553" s="178"/>
      <c r="MSY553" s="178"/>
      <c r="MSZ553" s="178"/>
      <c r="MTA553" s="178"/>
      <c r="MTB553" s="178"/>
      <c r="MTC553" s="178"/>
      <c r="MTD553" s="178"/>
      <c r="MTE553" s="178"/>
      <c r="MTF553" s="178"/>
      <c r="MTG553" s="178"/>
      <c r="MTH553" s="178"/>
      <c r="MTI553" s="178"/>
      <c r="MTJ553" s="178"/>
      <c r="MTK553" s="178"/>
      <c r="MTL553" s="178"/>
      <c r="MTM553" s="178"/>
      <c r="MTN553" s="178"/>
      <c r="MTO553" s="178"/>
      <c r="MTP553" s="178"/>
      <c r="MTQ553" s="178"/>
      <c r="MTR553" s="178"/>
      <c r="MTS553" s="178"/>
      <c r="MTT553" s="178"/>
      <c r="MTU553" s="178"/>
      <c r="MTV553" s="178"/>
      <c r="MTW553" s="178"/>
      <c r="MTX553" s="178"/>
      <c r="MTY553" s="178"/>
      <c r="MTZ553" s="178"/>
      <c r="MUA553" s="178"/>
      <c r="MUB553" s="178"/>
      <c r="MUC553" s="178"/>
      <c r="MUD553" s="178"/>
      <c r="MUE553" s="178"/>
      <c r="MUF553" s="178"/>
      <c r="MUG553" s="178"/>
      <c r="MUH553" s="178"/>
      <c r="MUI553" s="178"/>
      <c r="MUJ553" s="178"/>
      <c r="MUK553" s="178"/>
      <c r="MUL553" s="178"/>
      <c r="MUM553" s="178"/>
      <c r="MUN553" s="178"/>
      <c r="MUO553" s="178"/>
      <c r="MUP553" s="178"/>
      <c r="MUQ553" s="178"/>
      <c r="MUR553" s="178"/>
      <c r="MUS553" s="178"/>
      <c r="MUT553" s="178"/>
      <c r="MUU553" s="178"/>
      <c r="MUV553" s="178"/>
      <c r="MUW553" s="178"/>
      <c r="MUX553" s="178"/>
      <c r="MUY553" s="178"/>
      <c r="MUZ553" s="178"/>
      <c r="MVA553" s="178"/>
      <c r="MVB553" s="178"/>
      <c r="MVC553" s="178"/>
      <c r="MVD553" s="178"/>
      <c r="MVE553" s="178"/>
      <c r="MVF553" s="178"/>
      <c r="MVG553" s="178"/>
      <c r="MVH553" s="178"/>
      <c r="MVI553" s="178"/>
      <c r="MVJ553" s="178"/>
      <c r="MVK553" s="178"/>
      <c r="MVL553" s="178"/>
      <c r="MVM553" s="178"/>
      <c r="MVN553" s="178"/>
      <c r="MVO553" s="178"/>
      <c r="MVP553" s="178"/>
      <c r="MVQ553" s="178"/>
      <c r="MVR553" s="178"/>
      <c r="MVS553" s="178"/>
      <c r="MVT553" s="178"/>
      <c r="MVU553" s="178"/>
      <c r="MVV553" s="178"/>
      <c r="MVW553" s="178"/>
      <c r="MVX553" s="178"/>
      <c r="MVY553" s="178"/>
      <c r="MVZ553" s="178"/>
      <c r="MWA553" s="178"/>
      <c r="MWB553" s="178"/>
      <c r="MWC553" s="178"/>
      <c r="MWD553" s="178"/>
      <c r="MWE553" s="178"/>
      <c r="MWF553" s="178"/>
      <c r="MWG553" s="178"/>
      <c r="MWH553" s="178"/>
      <c r="MWI553" s="178"/>
      <c r="MWJ553" s="178"/>
      <c r="MWK553" s="178"/>
      <c r="MWL553" s="178"/>
      <c r="MWM553" s="178"/>
      <c r="MWN553" s="178"/>
      <c r="MWO553" s="178"/>
      <c r="MWP553" s="178"/>
      <c r="MWQ553" s="178"/>
      <c r="MWR553" s="178"/>
      <c r="MWS553" s="178"/>
      <c r="MWT553" s="178"/>
      <c r="MWU553" s="178"/>
      <c r="MWV553" s="178"/>
      <c r="MWW553" s="178"/>
      <c r="MWX553" s="178"/>
      <c r="MWY553" s="178"/>
      <c r="MWZ553" s="178"/>
      <c r="MXA553" s="178"/>
      <c r="MXB553" s="178"/>
      <c r="MXC553" s="178"/>
      <c r="MXD553" s="178"/>
      <c r="MXE553" s="178"/>
      <c r="MXF553" s="178"/>
      <c r="MXG553" s="178"/>
      <c r="MXH553" s="178"/>
      <c r="MXI553" s="178"/>
      <c r="MXJ553" s="178"/>
      <c r="MXK553" s="178"/>
      <c r="MXL553" s="178"/>
      <c r="MXM553" s="178"/>
      <c r="MXN553" s="178"/>
      <c r="MXO553" s="178"/>
      <c r="MXP553" s="178"/>
      <c r="MXQ553" s="178"/>
      <c r="MXR553" s="178"/>
      <c r="MXS553" s="178"/>
      <c r="MXT553" s="178"/>
      <c r="MXU553" s="178"/>
      <c r="MXV553" s="178"/>
      <c r="MXW553" s="178"/>
      <c r="MXX553" s="178"/>
      <c r="MXY553" s="178"/>
      <c r="MXZ553" s="178"/>
      <c r="MYA553" s="178"/>
      <c r="MYB553" s="178"/>
      <c r="MYC553" s="178"/>
      <c r="MYD553" s="178"/>
      <c r="MYE553" s="178"/>
      <c r="MYF553" s="178"/>
      <c r="MYG553" s="178"/>
      <c r="MYH553" s="178"/>
      <c r="MYI553" s="178"/>
      <c r="MYJ553" s="178"/>
      <c r="MYK553" s="178"/>
      <c r="MYL553" s="178"/>
      <c r="MYM553" s="178"/>
      <c r="MYN553" s="178"/>
      <c r="MYO553" s="178"/>
      <c r="MYP553" s="178"/>
      <c r="MYQ553" s="178"/>
      <c r="MYR553" s="178"/>
      <c r="MYS553" s="178"/>
      <c r="MYT553" s="178"/>
      <c r="MYU553" s="178"/>
      <c r="MYV553" s="178"/>
      <c r="MYW553" s="178"/>
      <c r="MYX553" s="178"/>
      <c r="MYY553" s="178"/>
      <c r="MYZ553" s="178"/>
      <c r="MZA553" s="178"/>
      <c r="MZB553" s="178"/>
      <c r="MZC553" s="178"/>
      <c r="MZD553" s="178"/>
      <c r="MZE553" s="178"/>
      <c r="MZF553" s="178"/>
      <c r="MZG553" s="178"/>
      <c r="MZH553" s="178"/>
      <c r="MZI553" s="178"/>
      <c r="MZJ553" s="178"/>
      <c r="MZK553" s="178"/>
      <c r="MZL553" s="178"/>
      <c r="MZM553" s="178"/>
      <c r="MZN553" s="178"/>
      <c r="MZO553" s="178"/>
      <c r="MZP553" s="178"/>
      <c r="MZQ553" s="178"/>
      <c r="MZR553" s="178"/>
      <c r="MZS553" s="178"/>
      <c r="MZT553" s="178"/>
      <c r="MZU553" s="178"/>
      <c r="MZV553" s="178"/>
      <c r="MZW553" s="178"/>
      <c r="MZX553" s="178"/>
      <c r="MZY553" s="178"/>
      <c r="MZZ553" s="178"/>
      <c r="NAA553" s="178"/>
      <c r="NAB553" s="178"/>
      <c r="NAC553" s="178"/>
      <c r="NAD553" s="178"/>
      <c r="NAE553" s="178"/>
      <c r="NAF553" s="178"/>
      <c r="NAG553" s="178"/>
      <c r="NAH553" s="178"/>
      <c r="NAI553" s="178"/>
      <c r="NAJ553" s="178"/>
      <c r="NAK553" s="178"/>
      <c r="NAL553" s="178"/>
      <c r="NAM553" s="178"/>
      <c r="NAN553" s="178"/>
      <c r="NAO553" s="178"/>
      <c r="NAP553" s="178"/>
      <c r="NAQ553" s="178"/>
      <c r="NAR553" s="178"/>
      <c r="NAS553" s="178"/>
      <c r="NAT553" s="178"/>
      <c r="NAU553" s="178"/>
      <c r="NAV553" s="178"/>
      <c r="NAW553" s="178"/>
      <c r="NAX553" s="178"/>
      <c r="NAY553" s="178"/>
      <c r="NAZ553" s="178"/>
      <c r="NBA553" s="178"/>
      <c r="NBB553" s="178"/>
      <c r="NBC553" s="178"/>
      <c r="NBD553" s="178"/>
      <c r="NBE553" s="178"/>
      <c r="NBF553" s="178"/>
      <c r="NBG553" s="178"/>
      <c r="NBH553" s="178"/>
      <c r="NBI553" s="178"/>
      <c r="NBJ553" s="178"/>
      <c r="NBK553" s="178"/>
      <c r="NBL553" s="178"/>
      <c r="NBM553" s="178"/>
      <c r="NBN553" s="178"/>
      <c r="NBO553" s="178"/>
      <c r="NBP553" s="178"/>
      <c r="NBQ553" s="178"/>
      <c r="NBR553" s="178"/>
      <c r="NBS553" s="178"/>
      <c r="NBT553" s="178"/>
      <c r="NBU553" s="178"/>
      <c r="NBV553" s="178"/>
      <c r="NBW553" s="178"/>
      <c r="NBX553" s="178"/>
      <c r="NBY553" s="178"/>
      <c r="NBZ553" s="178"/>
      <c r="NCA553" s="178"/>
      <c r="NCB553" s="178"/>
      <c r="NCC553" s="178"/>
      <c r="NCD553" s="178"/>
      <c r="NCE553" s="178"/>
      <c r="NCF553" s="178"/>
      <c r="NCG553" s="178"/>
      <c r="NCH553" s="178"/>
      <c r="NCI553" s="178"/>
      <c r="NCJ553" s="178"/>
      <c r="NCK553" s="178"/>
      <c r="NCL553" s="178"/>
      <c r="NCM553" s="178"/>
      <c r="NCN553" s="178"/>
      <c r="NCO553" s="178"/>
      <c r="NCP553" s="178"/>
      <c r="NCQ553" s="178"/>
      <c r="NCR553" s="178"/>
      <c r="NCS553" s="178"/>
      <c r="NCT553" s="178"/>
      <c r="NCU553" s="178"/>
      <c r="NCV553" s="178"/>
      <c r="NCW553" s="178"/>
      <c r="NCX553" s="178"/>
      <c r="NCY553" s="178"/>
      <c r="NCZ553" s="178"/>
      <c r="NDA553" s="178"/>
      <c r="NDB553" s="178"/>
      <c r="NDC553" s="178"/>
      <c r="NDD553" s="178"/>
      <c r="NDE553" s="178"/>
      <c r="NDF553" s="178"/>
      <c r="NDG553" s="178"/>
      <c r="NDH553" s="178"/>
      <c r="NDI553" s="178"/>
      <c r="NDJ553" s="178"/>
      <c r="NDK553" s="178"/>
      <c r="NDL553" s="178"/>
      <c r="NDM553" s="178"/>
      <c r="NDN553" s="178"/>
      <c r="NDO553" s="178"/>
      <c r="NDP553" s="178"/>
      <c r="NDQ553" s="178"/>
      <c r="NDR553" s="178"/>
      <c r="NDS553" s="178"/>
      <c r="NDT553" s="178"/>
      <c r="NDU553" s="178"/>
      <c r="NDV553" s="178"/>
      <c r="NDW553" s="178"/>
      <c r="NDX553" s="178"/>
      <c r="NDY553" s="178"/>
      <c r="NDZ553" s="178"/>
      <c r="NEA553" s="178"/>
      <c r="NEB553" s="178"/>
      <c r="NEC553" s="178"/>
      <c r="NED553" s="178"/>
      <c r="NEE553" s="178"/>
      <c r="NEF553" s="178"/>
      <c r="NEG553" s="178"/>
      <c r="NEH553" s="178"/>
      <c r="NEI553" s="178"/>
      <c r="NEJ553" s="178"/>
      <c r="NEK553" s="178"/>
      <c r="NEL553" s="178"/>
      <c r="NEM553" s="178"/>
      <c r="NEN553" s="178"/>
      <c r="NEO553" s="178"/>
      <c r="NEP553" s="178"/>
      <c r="NEQ553" s="178"/>
      <c r="NER553" s="178"/>
      <c r="NES553" s="178"/>
      <c r="NET553" s="178"/>
      <c r="NEU553" s="178"/>
      <c r="NEV553" s="178"/>
      <c r="NEW553" s="178"/>
      <c r="NEX553" s="178"/>
      <c r="NEY553" s="178"/>
      <c r="NEZ553" s="178"/>
      <c r="NFA553" s="178"/>
      <c r="NFB553" s="178"/>
      <c r="NFC553" s="178"/>
      <c r="NFD553" s="178"/>
      <c r="NFE553" s="178"/>
      <c r="NFF553" s="178"/>
      <c r="NFG553" s="178"/>
      <c r="NFH553" s="178"/>
      <c r="NFI553" s="178"/>
      <c r="NFJ553" s="178"/>
      <c r="NFK553" s="178"/>
      <c r="NFL553" s="178"/>
      <c r="NFM553" s="178"/>
      <c r="NFN553" s="178"/>
      <c r="NFO553" s="178"/>
      <c r="NFP553" s="178"/>
      <c r="NFQ553" s="178"/>
      <c r="NFR553" s="178"/>
      <c r="NFS553" s="178"/>
      <c r="NFT553" s="178"/>
      <c r="NFU553" s="178"/>
      <c r="NFV553" s="178"/>
      <c r="NFW553" s="178"/>
      <c r="NFX553" s="178"/>
      <c r="NFY553" s="178"/>
      <c r="NFZ553" s="178"/>
      <c r="NGA553" s="178"/>
      <c r="NGB553" s="178"/>
      <c r="NGC553" s="178"/>
      <c r="NGD553" s="178"/>
      <c r="NGE553" s="178"/>
      <c r="NGF553" s="178"/>
      <c r="NGG553" s="178"/>
      <c r="NGH553" s="178"/>
      <c r="NGI553" s="178"/>
      <c r="NGJ553" s="178"/>
      <c r="NGK553" s="178"/>
      <c r="NGL553" s="178"/>
      <c r="NGM553" s="178"/>
      <c r="NGN553" s="178"/>
      <c r="NGO553" s="178"/>
      <c r="NGP553" s="178"/>
      <c r="NGQ553" s="178"/>
      <c r="NGR553" s="178"/>
      <c r="NGS553" s="178"/>
      <c r="NGT553" s="178"/>
      <c r="NGU553" s="178"/>
      <c r="NGV553" s="178"/>
      <c r="NGW553" s="178"/>
      <c r="NGX553" s="178"/>
      <c r="NGY553" s="178"/>
      <c r="NGZ553" s="178"/>
      <c r="NHA553" s="178"/>
      <c r="NHB553" s="178"/>
      <c r="NHC553" s="178"/>
      <c r="NHD553" s="178"/>
      <c r="NHE553" s="178"/>
      <c r="NHF553" s="178"/>
      <c r="NHG553" s="178"/>
      <c r="NHH553" s="178"/>
      <c r="NHI553" s="178"/>
      <c r="NHJ553" s="178"/>
      <c r="NHK553" s="178"/>
      <c r="NHL553" s="178"/>
      <c r="NHM553" s="178"/>
      <c r="NHN553" s="178"/>
      <c r="NHO553" s="178"/>
      <c r="NHP553" s="178"/>
      <c r="NHQ553" s="178"/>
      <c r="NHR553" s="178"/>
      <c r="NHS553" s="178"/>
      <c r="NHT553" s="178"/>
      <c r="NHU553" s="178"/>
      <c r="NHV553" s="178"/>
      <c r="NHW553" s="178"/>
      <c r="NHX553" s="178"/>
      <c r="NHY553" s="178"/>
      <c r="NHZ553" s="178"/>
      <c r="NIA553" s="178"/>
      <c r="NIB553" s="178"/>
      <c r="NIC553" s="178"/>
      <c r="NID553" s="178"/>
      <c r="NIE553" s="178"/>
      <c r="NIF553" s="178"/>
      <c r="NIG553" s="178"/>
      <c r="NIH553" s="178"/>
      <c r="NII553" s="178"/>
      <c r="NIJ553" s="178"/>
      <c r="NIK553" s="178"/>
      <c r="NIL553" s="178"/>
      <c r="NIM553" s="178"/>
      <c r="NIN553" s="178"/>
      <c r="NIO553" s="178"/>
      <c r="NIP553" s="178"/>
      <c r="NIQ553" s="178"/>
      <c r="NIR553" s="178"/>
      <c r="NIS553" s="178"/>
      <c r="NIT553" s="178"/>
      <c r="NIU553" s="178"/>
      <c r="NIV553" s="178"/>
      <c r="NIW553" s="178"/>
      <c r="NIX553" s="178"/>
      <c r="NIY553" s="178"/>
      <c r="NIZ553" s="178"/>
      <c r="NJA553" s="178"/>
      <c r="NJB553" s="178"/>
      <c r="NJC553" s="178"/>
      <c r="NJD553" s="178"/>
      <c r="NJE553" s="178"/>
      <c r="NJF553" s="178"/>
      <c r="NJG553" s="178"/>
      <c r="NJH553" s="178"/>
      <c r="NJI553" s="178"/>
      <c r="NJJ553" s="178"/>
      <c r="NJK553" s="178"/>
      <c r="NJL553" s="178"/>
      <c r="NJM553" s="178"/>
      <c r="NJN553" s="178"/>
      <c r="NJO553" s="178"/>
      <c r="NJP553" s="178"/>
      <c r="NJQ553" s="178"/>
      <c r="NJR553" s="178"/>
      <c r="NJS553" s="178"/>
      <c r="NJT553" s="178"/>
      <c r="NJU553" s="178"/>
      <c r="NJV553" s="178"/>
      <c r="NJW553" s="178"/>
      <c r="NJX553" s="178"/>
      <c r="NJY553" s="178"/>
      <c r="NJZ553" s="178"/>
      <c r="NKA553" s="178"/>
      <c r="NKB553" s="178"/>
      <c r="NKC553" s="178"/>
      <c r="NKD553" s="178"/>
      <c r="NKE553" s="178"/>
      <c r="NKF553" s="178"/>
      <c r="NKG553" s="178"/>
      <c r="NKH553" s="178"/>
      <c r="NKI553" s="178"/>
      <c r="NKJ553" s="178"/>
      <c r="NKK553" s="178"/>
      <c r="NKL553" s="178"/>
      <c r="NKM553" s="178"/>
      <c r="NKN553" s="178"/>
      <c r="NKO553" s="178"/>
      <c r="NKP553" s="178"/>
      <c r="NKQ553" s="178"/>
      <c r="NKR553" s="178"/>
      <c r="NKS553" s="178"/>
      <c r="NKT553" s="178"/>
      <c r="NKU553" s="178"/>
      <c r="NKV553" s="178"/>
      <c r="NKW553" s="178"/>
      <c r="NKX553" s="178"/>
      <c r="NKY553" s="178"/>
      <c r="NKZ553" s="178"/>
      <c r="NLA553" s="178"/>
      <c r="NLB553" s="178"/>
      <c r="NLC553" s="178"/>
      <c r="NLD553" s="178"/>
      <c r="NLE553" s="178"/>
      <c r="NLF553" s="178"/>
      <c r="NLG553" s="178"/>
      <c r="NLH553" s="178"/>
      <c r="NLI553" s="178"/>
      <c r="NLJ553" s="178"/>
      <c r="NLK553" s="178"/>
      <c r="NLL553" s="178"/>
      <c r="NLM553" s="178"/>
      <c r="NLN553" s="178"/>
      <c r="NLO553" s="178"/>
      <c r="NLP553" s="178"/>
      <c r="NLQ553" s="178"/>
      <c r="NLR553" s="178"/>
      <c r="NLS553" s="178"/>
      <c r="NLT553" s="178"/>
      <c r="NLU553" s="178"/>
      <c r="NLV553" s="178"/>
      <c r="NLW553" s="178"/>
      <c r="NLX553" s="178"/>
      <c r="NLY553" s="178"/>
      <c r="NLZ553" s="178"/>
      <c r="NMA553" s="178"/>
      <c r="NMB553" s="178"/>
      <c r="NMC553" s="178"/>
      <c r="NMD553" s="178"/>
      <c r="NME553" s="178"/>
      <c r="NMF553" s="178"/>
      <c r="NMG553" s="178"/>
      <c r="NMH553" s="178"/>
      <c r="NMI553" s="178"/>
      <c r="NMJ553" s="178"/>
      <c r="NMK553" s="178"/>
      <c r="NML553" s="178"/>
      <c r="NMM553" s="178"/>
      <c r="NMN553" s="178"/>
      <c r="NMO553" s="178"/>
      <c r="NMP553" s="178"/>
      <c r="NMQ553" s="178"/>
      <c r="NMR553" s="178"/>
      <c r="NMS553" s="178"/>
      <c r="NMT553" s="178"/>
      <c r="NMU553" s="178"/>
      <c r="NMV553" s="178"/>
      <c r="NMW553" s="178"/>
      <c r="NMX553" s="178"/>
      <c r="NMY553" s="178"/>
      <c r="NMZ553" s="178"/>
      <c r="NNA553" s="178"/>
      <c r="NNB553" s="178"/>
      <c r="NNC553" s="178"/>
      <c r="NND553" s="178"/>
      <c r="NNE553" s="178"/>
      <c r="NNF553" s="178"/>
      <c r="NNG553" s="178"/>
      <c r="NNH553" s="178"/>
      <c r="NNI553" s="178"/>
      <c r="NNJ553" s="178"/>
      <c r="NNK553" s="178"/>
      <c r="NNL553" s="178"/>
      <c r="NNM553" s="178"/>
      <c r="NNN553" s="178"/>
      <c r="NNO553" s="178"/>
      <c r="NNP553" s="178"/>
      <c r="NNQ553" s="178"/>
      <c r="NNR553" s="178"/>
      <c r="NNS553" s="178"/>
      <c r="NNT553" s="178"/>
      <c r="NNU553" s="178"/>
      <c r="NNV553" s="178"/>
      <c r="NNW553" s="178"/>
      <c r="NNX553" s="178"/>
      <c r="NNY553" s="178"/>
      <c r="NNZ553" s="178"/>
      <c r="NOA553" s="178"/>
      <c r="NOB553" s="178"/>
      <c r="NOC553" s="178"/>
      <c r="NOD553" s="178"/>
      <c r="NOE553" s="178"/>
      <c r="NOF553" s="178"/>
      <c r="NOG553" s="178"/>
      <c r="NOH553" s="178"/>
      <c r="NOI553" s="178"/>
      <c r="NOJ553" s="178"/>
      <c r="NOK553" s="178"/>
      <c r="NOL553" s="178"/>
      <c r="NOM553" s="178"/>
      <c r="NON553" s="178"/>
      <c r="NOO553" s="178"/>
      <c r="NOP553" s="178"/>
      <c r="NOQ553" s="178"/>
      <c r="NOR553" s="178"/>
      <c r="NOS553" s="178"/>
      <c r="NOT553" s="178"/>
      <c r="NOU553" s="178"/>
      <c r="NOV553" s="178"/>
      <c r="NOW553" s="178"/>
      <c r="NOX553" s="178"/>
      <c r="NOY553" s="178"/>
      <c r="NOZ553" s="178"/>
      <c r="NPA553" s="178"/>
      <c r="NPB553" s="178"/>
      <c r="NPC553" s="178"/>
      <c r="NPD553" s="178"/>
      <c r="NPE553" s="178"/>
      <c r="NPF553" s="178"/>
      <c r="NPG553" s="178"/>
      <c r="NPH553" s="178"/>
      <c r="NPI553" s="178"/>
      <c r="NPJ553" s="178"/>
      <c r="NPK553" s="178"/>
      <c r="NPL553" s="178"/>
      <c r="NPM553" s="178"/>
      <c r="NPN553" s="178"/>
      <c r="NPO553" s="178"/>
      <c r="NPP553" s="178"/>
      <c r="NPQ553" s="178"/>
      <c r="NPR553" s="178"/>
      <c r="NPS553" s="178"/>
      <c r="NPT553" s="178"/>
      <c r="NPU553" s="178"/>
      <c r="NPV553" s="178"/>
      <c r="NPW553" s="178"/>
      <c r="NPX553" s="178"/>
      <c r="NPY553" s="178"/>
      <c r="NPZ553" s="178"/>
      <c r="NQA553" s="178"/>
      <c r="NQB553" s="178"/>
      <c r="NQC553" s="178"/>
      <c r="NQD553" s="178"/>
      <c r="NQE553" s="178"/>
      <c r="NQF553" s="178"/>
      <c r="NQG553" s="178"/>
      <c r="NQH553" s="178"/>
      <c r="NQI553" s="178"/>
      <c r="NQJ553" s="178"/>
      <c r="NQK553" s="178"/>
      <c r="NQL553" s="178"/>
      <c r="NQM553" s="178"/>
      <c r="NQN553" s="178"/>
      <c r="NQO553" s="178"/>
      <c r="NQP553" s="178"/>
      <c r="NQQ553" s="178"/>
      <c r="NQR553" s="178"/>
      <c r="NQS553" s="178"/>
      <c r="NQT553" s="178"/>
      <c r="NQU553" s="178"/>
      <c r="NQV553" s="178"/>
      <c r="NQW553" s="178"/>
      <c r="NQX553" s="178"/>
      <c r="NQY553" s="178"/>
      <c r="NQZ553" s="178"/>
      <c r="NRA553" s="178"/>
      <c r="NRB553" s="178"/>
      <c r="NRC553" s="178"/>
      <c r="NRD553" s="178"/>
      <c r="NRE553" s="178"/>
      <c r="NRF553" s="178"/>
      <c r="NRG553" s="178"/>
      <c r="NRH553" s="178"/>
      <c r="NRI553" s="178"/>
      <c r="NRJ553" s="178"/>
      <c r="NRK553" s="178"/>
      <c r="NRL553" s="178"/>
      <c r="NRM553" s="178"/>
      <c r="NRN553" s="178"/>
      <c r="NRO553" s="178"/>
      <c r="NRP553" s="178"/>
      <c r="NRQ553" s="178"/>
      <c r="NRR553" s="178"/>
      <c r="NRS553" s="178"/>
      <c r="NRT553" s="178"/>
      <c r="NRU553" s="178"/>
      <c r="NRV553" s="178"/>
      <c r="NRW553" s="178"/>
      <c r="NRX553" s="178"/>
      <c r="NRY553" s="178"/>
      <c r="NRZ553" s="178"/>
      <c r="NSA553" s="178"/>
      <c r="NSB553" s="178"/>
      <c r="NSC553" s="178"/>
      <c r="NSD553" s="178"/>
      <c r="NSE553" s="178"/>
      <c r="NSF553" s="178"/>
      <c r="NSG553" s="178"/>
      <c r="NSH553" s="178"/>
      <c r="NSI553" s="178"/>
      <c r="NSJ553" s="178"/>
      <c r="NSK553" s="178"/>
      <c r="NSL553" s="178"/>
      <c r="NSM553" s="178"/>
      <c r="NSN553" s="178"/>
      <c r="NSO553" s="178"/>
      <c r="NSP553" s="178"/>
      <c r="NSQ553" s="178"/>
      <c r="NSR553" s="178"/>
      <c r="NSS553" s="178"/>
      <c r="NST553" s="178"/>
      <c r="NSU553" s="178"/>
      <c r="NSV553" s="178"/>
      <c r="NSW553" s="178"/>
      <c r="NSX553" s="178"/>
      <c r="NSY553" s="178"/>
      <c r="NSZ553" s="178"/>
      <c r="NTA553" s="178"/>
      <c r="NTB553" s="178"/>
      <c r="NTC553" s="178"/>
      <c r="NTD553" s="178"/>
      <c r="NTE553" s="178"/>
      <c r="NTF553" s="178"/>
      <c r="NTG553" s="178"/>
      <c r="NTH553" s="178"/>
      <c r="NTI553" s="178"/>
      <c r="NTJ553" s="178"/>
      <c r="NTK553" s="178"/>
      <c r="NTL553" s="178"/>
      <c r="NTM553" s="178"/>
      <c r="NTN553" s="178"/>
      <c r="NTO553" s="178"/>
      <c r="NTP553" s="178"/>
      <c r="NTQ553" s="178"/>
      <c r="NTR553" s="178"/>
      <c r="NTS553" s="178"/>
      <c r="NTT553" s="178"/>
      <c r="NTU553" s="178"/>
      <c r="NTV553" s="178"/>
      <c r="NTW553" s="178"/>
      <c r="NTX553" s="178"/>
      <c r="NTY553" s="178"/>
      <c r="NTZ553" s="178"/>
      <c r="NUA553" s="178"/>
      <c r="NUB553" s="178"/>
      <c r="NUC553" s="178"/>
      <c r="NUD553" s="178"/>
      <c r="NUE553" s="178"/>
      <c r="NUF553" s="178"/>
      <c r="NUG553" s="178"/>
      <c r="NUH553" s="178"/>
      <c r="NUI553" s="178"/>
      <c r="NUJ553" s="178"/>
      <c r="NUK553" s="178"/>
      <c r="NUL553" s="178"/>
      <c r="NUM553" s="178"/>
      <c r="NUN553" s="178"/>
      <c r="NUO553" s="178"/>
      <c r="NUP553" s="178"/>
      <c r="NUQ553" s="178"/>
      <c r="NUR553" s="178"/>
      <c r="NUS553" s="178"/>
      <c r="NUT553" s="178"/>
      <c r="NUU553" s="178"/>
      <c r="NUV553" s="178"/>
      <c r="NUW553" s="178"/>
      <c r="NUX553" s="178"/>
      <c r="NUY553" s="178"/>
      <c r="NUZ553" s="178"/>
      <c r="NVA553" s="178"/>
      <c r="NVB553" s="178"/>
      <c r="NVC553" s="178"/>
      <c r="NVD553" s="178"/>
      <c r="NVE553" s="178"/>
      <c r="NVF553" s="178"/>
      <c r="NVG553" s="178"/>
      <c r="NVH553" s="178"/>
      <c r="NVI553" s="178"/>
      <c r="NVJ553" s="178"/>
      <c r="NVK553" s="178"/>
      <c r="NVL553" s="178"/>
      <c r="NVM553" s="178"/>
      <c r="NVN553" s="178"/>
      <c r="NVO553" s="178"/>
      <c r="NVP553" s="178"/>
      <c r="NVQ553" s="178"/>
      <c r="NVR553" s="178"/>
      <c r="NVS553" s="178"/>
      <c r="NVT553" s="178"/>
      <c r="NVU553" s="178"/>
      <c r="NVV553" s="178"/>
      <c r="NVW553" s="178"/>
      <c r="NVX553" s="178"/>
      <c r="NVY553" s="178"/>
      <c r="NVZ553" s="178"/>
      <c r="NWA553" s="178"/>
      <c r="NWB553" s="178"/>
      <c r="NWC553" s="178"/>
      <c r="NWD553" s="178"/>
      <c r="NWE553" s="178"/>
      <c r="NWF553" s="178"/>
      <c r="NWG553" s="178"/>
      <c r="NWH553" s="178"/>
      <c r="NWI553" s="178"/>
      <c r="NWJ553" s="178"/>
      <c r="NWK553" s="178"/>
      <c r="NWL553" s="178"/>
      <c r="NWM553" s="178"/>
      <c r="NWN553" s="178"/>
      <c r="NWO553" s="178"/>
      <c r="NWP553" s="178"/>
      <c r="NWQ553" s="178"/>
      <c r="NWR553" s="178"/>
      <c r="NWS553" s="178"/>
      <c r="NWT553" s="178"/>
      <c r="NWU553" s="178"/>
      <c r="NWV553" s="178"/>
      <c r="NWW553" s="178"/>
      <c r="NWX553" s="178"/>
      <c r="NWY553" s="178"/>
      <c r="NWZ553" s="178"/>
      <c r="NXA553" s="178"/>
      <c r="NXB553" s="178"/>
      <c r="NXC553" s="178"/>
      <c r="NXD553" s="178"/>
      <c r="NXE553" s="178"/>
      <c r="NXF553" s="178"/>
      <c r="NXG553" s="178"/>
      <c r="NXH553" s="178"/>
      <c r="NXI553" s="178"/>
      <c r="NXJ553" s="178"/>
      <c r="NXK553" s="178"/>
      <c r="NXL553" s="178"/>
      <c r="NXM553" s="178"/>
      <c r="NXN553" s="178"/>
      <c r="NXO553" s="178"/>
      <c r="NXP553" s="178"/>
      <c r="NXQ553" s="178"/>
      <c r="NXR553" s="178"/>
      <c r="NXS553" s="178"/>
      <c r="NXT553" s="178"/>
      <c r="NXU553" s="178"/>
      <c r="NXV553" s="178"/>
      <c r="NXW553" s="178"/>
      <c r="NXX553" s="178"/>
      <c r="NXY553" s="178"/>
      <c r="NXZ553" s="178"/>
      <c r="NYA553" s="178"/>
      <c r="NYB553" s="178"/>
      <c r="NYC553" s="178"/>
      <c r="NYD553" s="178"/>
      <c r="NYE553" s="178"/>
      <c r="NYF553" s="178"/>
      <c r="NYG553" s="178"/>
      <c r="NYH553" s="178"/>
      <c r="NYI553" s="178"/>
      <c r="NYJ553" s="178"/>
      <c r="NYK553" s="178"/>
      <c r="NYL553" s="178"/>
      <c r="NYM553" s="178"/>
      <c r="NYN553" s="178"/>
      <c r="NYO553" s="178"/>
      <c r="NYP553" s="178"/>
      <c r="NYQ553" s="178"/>
      <c r="NYR553" s="178"/>
      <c r="NYS553" s="178"/>
      <c r="NYT553" s="178"/>
      <c r="NYU553" s="178"/>
      <c r="NYV553" s="178"/>
      <c r="NYW553" s="178"/>
      <c r="NYX553" s="178"/>
      <c r="NYY553" s="178"/>
      <c r="NYZ553" s="178"/>
      <c r="NZA553" s="178"/>
      <c r="NZB553" s="178"/>
      <c r="NZC553" s="178"/>
      <c r="NZD553" s="178"/>
      <c r="NZE553" s="178"/>
      <c r="NZF553" s="178"/>
      <c r="NZG553" s="178"/>
      <c r="NZH553" s="178"/>
      <c r="NZI553" s="178"/>
      <c r="NZJ553" s="178"/>
      <c r="NZK553" s="178"/>
      <c r="NZL553" s="178"/>
      <c r="NZM553" s="178"/>
      <c r="NZN553" s="178"/>
      <c r="NZO553" s="178"/>
      <c r="NZP553" s="178"/>
      <c r="NZQ553" s="178"/>
      <c r="NZR553" s="178"/>
      <c r="NZS553" s="178"/>
      <c r="NZT553" s="178"/>
      <c r="NZU553" s="178"/>
      <c r="NZV553" s="178"/>
      <c r="NZW553" s="178"/>
      <c r="NZX553" s="178"/>
      <c r="NZY553" s="178"/>
      <c r="NZZ553" s="178"/>
      <c r="OAA553" s="178"/>
      <c r="OAB553" s="178"/>
      <c r="OAC553" s="178"/>
      <c r="OAD553" s="178"/>
      <c r="OAE553" s="178"/>
      <c r="OAF553" s="178"/>
      <c r="OAG553" s="178"/>
      <c r="OAH553" s="178"/>
      <c r="OAI553" s="178"/>
      <c r="OAJ553" s="178"/>
      <c r="OAK553" s="178"/>
      <c r="OAL553" s="178"/>
      <c r="OAM553" s="178"/>
      <c r="OAN553" s="178"/>
      <c r="OAO553" s="178"/>
      <c r="OAP553" s="178"/>
      <c r="OAQ553" s="178"/>
      <c r="OAR553" s="178"/>
      <c r="OAS553" s="178"/>
      <c r="OAT553" s="178"/>
      <c r="OAU553" s="178"/>
      <c r="OAV553" s="178"/>
      <c r="OAW553" s="178"/>
      <c r="OAX553" s="178"/>
      <c r="OAY553" s="178"/>
      <c r="OAZ553" s="178"/>
      <c r="OBA553" s="178"/>
      <c r="OBB553" s="178"/>
      <c r="OBC553" s="178"/>
      <c r="OBD553" s="178"/>
      <c r="OBE553" s="178"/>
      <c r="OBF553" s="178"/>
      <c r="OBG553" s="178"/>
      <c r="OBH553" s="178"/>
      <c r="OBI553" s="178"/>
      <c r="OBJ553" s="178"/>
      <c r="OBK553" s="178"/>
      <c r="OBL553" s="178"/>
      <c r="OBM553" s="178"/>
      <c r="OBN553" s="178"/>
      <c r="OBO553" s="178"/>
      <c r="OBP553" s="178"/>
      <c r="OBQ553" s="178"/>
      <c r="OBR553" s="178"/>
      <c r="OBS553" s="178"/>
      <c r="OBT553" s="178"/>
      <c r="OBU553" s="178"/>
      <c r="OBV553" s="178"/>
      <c r="OBW553" s="178"/>
      <c r="OBX553" s="178"/>
      <c r="OBY553" s="178"/>
      <c r="OBZ553" s="178"/>
      <c r="OCA553" s="178"/>
      <c r="OCB553" s="178"/>
      <c r="OCC553" s="178"/>
      <c r="OCD553" s="178"/>
      <c r="OCE553" s="178"/>
      <c r="OCF553" s="178"/>
      <c r="OCG553" s="178"/>
      <c r="OCH553" s="178"/>
      <c r="OCI553" s="178"/>
      <c r="OCJ553" s="178"/>
      <c r="OCK553" s="178"/>
      <c r="OCL553" s="178"/>
      <c r="OCM553" s="178"/>
      <c r="OCN553" s="178"/>
      <c r="OCO553" s="178"/>
      <c r="OCP553" s="178"/>
      <c r="OCQ553" s="178"/>
      <c r="OCR553" s="178"/>
      <c r="OCS553" s="178"/>
      <c r="OCT553" s="178"/>
      <c r="OCU553" s="178"/>
      <c r="OCV553" s="178"/>
      <c r="OCW553" s="178"/>
      <c r="OCX553" s="178"/>
      <c r="OCY553" s="178"/>
      <c r="OCZ553" s="178"/>
      <c r="ODA553" s="178"/>
      <c r="ODB553" s="178"/>
      <c r="ODC553" s="178"/>
      <c r="ODD553" s="178"/>
      <c r="ODE553" s="178"/>
      <c r="ODF553" s="178"/>
      <c r="ODG553" s="178"/>
      <c r="ODH553" s="178"/>
      <c r="ODI553" s="178"/>
      <c r="ODJ553" s="178"/>
      <c r="ODK553" s="178"/>
      <c r="ODL553" s="178"/>
      <c r="ODM553" s="178"/>
      <c r="ODN553" s="178"/>
      <c r="ODO553" s="178"/>
      <c r="ODP553" s="178"/>
      <c r="ODQ553" s="178"/>
      <c r="ODR553" s="178"/>
      <c r="ODS553" s="178"/>
      <c r="ODT553" s="178"/>
      <c r="ODU553" s="178"/>
      <c r="ODV553" s="178"/>
      <c r="ODW553" s="178"/>
      <c r="ODX553" s="178"/>
      <c r="ODY553" s="178"/>
      <c r="ODZ553" s="178"/>
      <c r="OEA553" s="178"/>
      <c r="OEB553" s="178"/>
      <c r="OEC553" s="178"/>
      <c r="OED553" s="178"/>
      <c r="OEE553" s="178"/>
      <c r="OEF553" s="178"/>
      <c r="OEG553" s="178"/>
      <c r="OEH553" s="178"/>
      <c r="OEI553" s="178"/>
      <c r="OEJ553" s="178"/>
      <c r="OEK553" s="178"/>
      <c r="OEL553" s="178"/>
      <c r="OEM553" s="178"/>
      <c r="OEN553" s="178"/>
      <c r="OEO553" s="178"/>
      <c r="OEP553" s="178"/>
      <c r="OEQ553" s="178"/>
      <c r="OER553" s="178"/>
      <c r="OES553" s="178"/>
      <c r="OET553" s="178"/>
      <c r="OEU553" s="178"/>
      <c r="OEV553" s="178"/>
      <c r="OEW553" s="178"/>
      <c r="OEX553" s="178"/>
      <c r="OEY553" s="178"/>
      <c r="OEZ553" s="178"/>
      <c r="OFA553" s="178"/>
      <c r="OFB553" s="178"/>
      <c r="OFC553" s="178"/>
      <c r="OFD553" s="178"/>
      <c r="OFE553" s="178"/>
      <c r="OFF553" s="178"/>
      <c r="OFG553" s="178"/>
      <c r="OFH553" s="178"/>
      <c r="OFI553" s="178"/>
      <c r="OFJ553" s="178"/>
      <c r="OFK553" s="178"/>
      <c r="OFL553" s="178"/>
      <c r="OFM553" s="178"/>
      <c r="OFN553" s="178"/>
      <c r="OFO553" s="178"/>
      <c r="OFP553" s="178"/>
      <c r="OFQ553" s="178"/>
      <c r="OFR553" s="178"/>
      <c r="OFS553" s="178"/>
      <c r="OFT553" s="178"/>
      <c r="OFU553" s="178"/>
      <c r="OFV553" s="178"/>
      <c r="OFW553" s="178"/>
      <c r="OFX553" s="178"/>
      <c r="OFY553" s="178"/>
      <c r="OFZ553" s="178"/>
      <c r="OGA553" s="178"/>
      <c r="OGB553" s="178"/>
      <c r="OGC553" s="178"/>
      <c r="OGD553" s="178"/>
      <c r="OGE553" s="178"/>
      <c r="OGF553" s="178"/>
      <c r="OGG553" s="178"/>
      <c r="OGH553" s="178"/>
      <c r="OGI553" s="178"/>
      <c r="OGJ553" s="178"/>
      <c r="OGK553" s="178"/>
      <c r="OGL553" s="178"/>
      <c r="OGM553" s="178"/>
      <c r="OGN553" s="178"/>
      <c r="OGO553" s="178"/>
      <c r="OGP553" s="178"/>
      <c r="OGQ553" s="178"/>
      <c r="OGR553" s="178"/>
      <c r="OGS553" s="178"/>
      <c r="OGT553" s="178"/>
      <c r="OGU553" s="178"/>
      <c r="OGV553" s="178"/>
      <c r="OGW553" s="178"/>
      <c r="OGX553" s="178"/>
      <c r="OGY553" s="178"/>
      <c r="OGZ553" s="178"/>
      <c r="OHA553" s="178"/>
      <c r="OHB553" s="178"/>
      <c r="OHC553" s="178"/>
      <c r="OHD553" s="178"/>
      <c r="OHE553" s="178"/>
      <c r="OHF553" s="178"/>
      <c r="OHG553" s="178"/>
      <c r="OHH553" s="178"/>
      <c r="OHI553" s="178"/>
      <c r="OHJ553" s="178"/>
      <c r="OHK553" s="178"/>
      <c r="OHL553" s="178"/>
      <c r="OHM553" s="178"/>
      <c r="OHN553" s="178"/>
      <c r="OHO553" s="178"/>
      <c r="OHP553" s="178"/>
      <c r="OHQ553" s="178"/>
      <c r="OHR553" s="178"/>
      <c r="OHS553" s="178"/>
      <c r="OHT553" s="178"/>
      <c r="OHU553" s="178"/>
      <c r="OHV553" s="178"/>
      <c r="OHW553" s="178"/>
      <c r="OHX553" s="178"/>
      <c r="OHY553" s="178"/>
      <c r="OHZ553" s="178"/>
      <c r="OIA553" s="178"/>
      <c r="OIB553" s="178"/>
      <c r="OIC553" s="178"/>
      <c r="OID553" s="178"/>
      <c r="OIE553" s="178"/>
      <c r="OIF553" s="178"/>
      <c r="OIG553" s="178"/>
      <c r="OIH553" s="178"/>
      <c r="OII553" s="178"/>
      <c r="OIJ553" s="178"/>
      <c r="OIK553" s="178"/>
      <c r="OIL553" s="178"/>
      <c r="OIM553" s="178"/>
      <c r="OIN553" s="178"/>
      <c r="OIO553" s="178"/>
      <c r="OIP553" s="178"/>
      <c r="OIQ553" s="178"/>
      <c r="OIR553" s="178"/>
      <c r="OIS553" s="178"/>
      <c r="OIT553" s="178"/>
      <c r="OIU553" s="178"/>
      <c r="OIV553" s="178"/>
      <c r="OIW553" s="178"/>
      <c r="OIX553" s="178"/>
      <c r="OIY553" s="178"/>
      <c r="OIZ553" s="178"/>
      <c r="OJA553" s="178"/>
      <c r="OJB553" s="178"/>
      <c r="OJC553" s="178"/>
      <c r="OJD553" s="178"/>
      <c r="OJE553" s="178"/>
      <c r="OJF553" s="178"/>
      <c r="OJG553" s="178"/>
      <c r="OJH553" s="178"/>
      <c r="OJI553" s="178"/>
      <c r="OJJ553" s="178"/>
      <c r="OJK553" s="178"/>
      <c r="OJL553" s="178"/>
      <c r="OJM553" s="178"/>
      <c r="OJN553" s="178"/>
      <c r="OJO553" s="178"/>
      <c r="OJP553" s="178"/>
      <c r="OJQ553" s="178"/>
      <c r="OJR553" s="178"/>
      <c r="OJS553" s="178"/>
      <c r="OJT553" s="178"/>
      <c r="OJU553" s="178"/>
      <c r="OJV553" s="178"/>
      <c r="OJW553" s="178"/>
      <c r="OJX553" s="178"/>
      <c r="OJY553" s="178"/>
      <c r="OJZ553" s="178"/>
      <c r="OKA553" s="178"/>
      <c r="OKB553" s="178"/>
      <c r="OKC553" s="178"/>
      <c r="OKD553" s="178"/>
      <c r="OKE553" s="178"/>
      <c r="OKF553" s="178"/>
      <c r="OKG553" s="178"/>
      <c r="OKH553" s="178"/>
      <c r="OKI553" s="178"/>
      <c r="OKJ553" s="178"/>
      <c r="OKK553" s="178"/>
      <c r="OKL553" s="178"/>
      <c r="OKM553" s="178"/>
      <c r="OKN553" s="178"/>
      <c r="OKO553" s="178"/>
      <c r="OKP553" s="178"/>
      <c r="OKQ553" s="178"/>
      <c r="OKR553" s="178"/>
      <c r="OKS553" s="178"/>
      <c r="OKT553" s="178"/>
      <c r="OKU553" s="178"/>
      <c r="OKV553" s="178"/>
      <c r="OKW553" s="178"/>
      <c r="OKX553" s="178"/>
      <c r="OKY553" s="178"/>
      <c r="OKZ553" s="178"/>
      <c r="OLA553" s="178"/>
      <c r="OLB553" s="178"/>
      <c r="OLC553" s="178"/>
      <c r="OLD553" s="178"/>
      <c r="OLE553" s="178"/>
      <c r="OLF553" s="178"/>
      <c r="OLG553" s="178"/>
      <c r="OLH553" s="178"/>
      <c r="OLI553" s="178"/>
      <c r="OLJ553" s="178"/>
      <c r="OLK553" s="178"/>
      <c r="OLL553" s="178"/>
      <c r="OLM553" s="178"/>
      <c r="OLN553" s="178"/>
      <c r="OLO553" s="178"/>
      <c r="OLP553" s="178"/>
      <c r="OLQ553" s="178"/>
      <c r="OLR553" s="178"/>
      <c r="OLS553" s="178"/>
      <c r="OLT553" s="178"/>
      <c r="OLU553" s="178"/>
      <c r="OLV553" s="178"/>
      <c r="OLW553" s="178"/>
      <c r="OLX553" s="178"/>
      <c r="OLY553" s="178"/>
      <c r="OLZ553" s="178"/>
      <c r="OMA553" s="178"/>
      <c r="OMB553" s="178"/>
      <c r="OMC553" s="178"/>
      <c r="OMD553" s="178"/>
      <c r="OME553" s="178"/>
      <c r="OMF553" s="178"/>
      <c r="OMG553" s="178"/>
      <c r="OMH553" s="178"/>
      <c r="OMI553" s="178"/>
      <c r="OMJ553" s="178"/>
      <c r="OMK553" s="178"/>
      <c r="OML553" s="178"/>
      <c r="OMM553" s="178"/>
      <c r="OMN553" s="178"/>
      <c r="OMO553" s="178"/>
      <c r="OMP553" s="178"/>
      <c r="OMQ553" s="178"/>
      <c r="OMR553" s="178"/>
      <c r="OMS553" s="178"/>
      <c r="OMT553" s="178"/>
      <c r="OMU553" s="178"/>
      <c r="OMV553" s="178"/>
      <c r="OMW553" s="178"/>
      <c r="OMX553" s="178"/>
      <c r="OMY553" s="178"/>
      <c r="OMZ553" s="178"/>
      <c r="ONA553" s="178"/>
      <c r="ONB553" s="178"/>
      <c r="ONC553" s="178"/>
      <c r="OND553" s="178"/>
      <c r="ONE553" s="178"/>
      <c r="ONF553" s="178"/>
      <c r="ONG553" s="178"/>
      <c r="ONH553" s="178"/>
      <c r="ONI553" s="178"/>
      <c r="ONJ553" s="178"/>
      <c r="ONK553" s="178"/>
      <c r="ONL553" s="178"/>
      <c r="ONM553" s="178"/>
      <c r="ONN553" s="178"/>
      <c r="ONO553" s="178"/>
      <c r="ONP553" s="178"/>
      <c r="ONQ553" s="178"/>
      <c r="ONR553" s="178"/>
      <c r="ONS553" s="178"/>
      <c r="ONT553" s="178"/>
      <c r="ONU553" s="178"/>
      <c r="ONV553" s="178"/>
      <c r="ONW553" s="178"/>
      <c r="ONX553" s="178"/>
      <c r="ONY553" s="178"/>
      <c r="ONZ553" s="178"/>
      <c r="OOA553" s="178"/>
      <c r="OOB553" s="178"/>
      <c r="OOC553" s="178"/>
      <c r="OOD553" s="178"/>
      <c r="OOE553" s="178"/>
      <c r="OOF553" s="178"/>
      <c r="OOG553" s="178"/>
      <c r="OOH553" s="178"/>
      <c r="OOI553" s="178"/>
      <c r="OOJ553" s="178"/>
      <c r="OOK553" s="178"/>
      <c r="OOL553" s="178"/>
      <c r="OOM553" s="178"/>
      <c r="OON553" s="178"/>
      <c r="OOO553" s="178"/>
      <c r="OOP553" s="178"/>
      <c r="OOQ553" s="178"/>
      <c r="OOR553" s="178"/>
      <c r="OOS553" s="178"/>
      <c r="OOT553" s="178"/>
      <c r="OOU553" s="178"/>
      <c r="OOV553" s="178"/>
      <c r="OOW553" s="178"/>
      <c r="OOX553" s="178"/>
      <c r="OOY553" s="178"/>
      <c r="OOZ553" s="178"/>
      <c r="OPA553" s="178"/>
      <c r="OPB553" s="178"/>
      <c r="OPC553" s="178"/>
      <c r="OPD553" s="178"/>
      <c r="OPE553" s="178"/>
      <c r="OPF553" s="178"/>
      <c r="OPG553" s="178"/>
      <c r="OPH553" s="178"/>
      <c r="OPI553" s="178"/>
      <c r="OPJ553" s="178"/>
      <c r="OPK553" s="178"/>
      <c r="OPL553" s="178"/>
      <c r="OPM553" s="178"/>
      <c r="OPN553" s="178"/>
      <c r="OPO553" s="178"/>
      <c r="OPP553" s="178"/>
      <c r="OPQ553" s="178"/>
      <c r="OPR553" s="178"/>
      <c r="OPS553" s="178"/>
      <c r="OPT553" s="178"/>
      <c r="OPU553" s="178"/>
      <c r="OPV553" s="178"/>
      <c r="OPW553" s="178"/>
      <c r="OPX553" s="178"/>
      <c r="OPY553" s="178"/>
      <c r="OPZ553" s="178"/>
      <c r="OQA553" s="178"/>
      <c r="OQB553" s="178"/>
      <c r="OQC553" s="178"/>
      <c r="OQD553" s="178"/>
      <c r="OQE553" s="178"/>
      <c r="OQF553" s="178"/>
      <c r="OQG553" s="178"/>
      <c r="OQH553" s="178"/>
      <c r="OQI553" s="178"/>
      <c r="OQJ553" s="178"/>
      <c r="OQK553" s="178"/>
      <c r="OQL553" s="178"/>
      <c r="OQM553" s="178"/>
      <c r="OQN553" s="178"/>
      <c r="OQO553" s="178"/>
      <c r="OQP553" s="178"/>
      <c r="OQQ553" s="178"/>
      <c r="OQR553" s="178"/>
      <c r="OQS553" s="178"/>
      <c r="OQT553" s="178"/>
      <c r="OQU553" s="178"/>
      <c r="OQV553" s="178"/>
      <c r="OQW553" s="178"/>
      <c r="OQX553" s="178"/>
      <c r="OQY553" s="178"/>
      <c r="OQZ553" s="178"/>
      <c r="ORA553" s="178"/>
      <c r="ORB553" s="178"/>
      <c r="ORC553" s="178"/>
      <c r="ORD553" s="178"/>
      <c r="ORE553" s="178"/>
      <c r="ORF553" s="178"/>
      <c r="ORG553" s="178"/>
      <c r="ORH553" s="178"/>
      <c r="ORI553" s="178"/>
      <c r="ORJ553" s="178"/>
      <c r="ORK553" s="178"/>
      <c r="ORL553" s="178"/>
      <c r="ORM553" s="178"/>
      <c r="ORN553" s="178"/>
      <c r="ORO553" s="178"/>
      <c r="ORP553" s="178"/>
      <c r="ORQ553" s="178"/>
      <c r="ORR553" s="178"/>
      <c r="ORS553" s="178"/>
      <c r="ORT553" s="178"/>
      <c r="ORU553" s="178"/>
      <c r="ORV553" s="178"/>
      <c r="ORW553" s="178"/>
      <c r="ORX553" s="178"/>
      <c r="ORY553" s="178"/>
      <c r="ORZ553" s="178"/>
      <c r="OSA553" s="178"/>
      <c r="OSB553" s="178"/>
      <c r="OSC553" s="178"/>
      <c r="OSD553" s="178"/>
      <c r="OSE553" s="178"/>
      <c r="OSF553" s="178"/>
      <c r="OSG553" s="178"/>
      <c r="OSH553" s="178"/>
      <c r="OSI553" s="178"/>
      <c r="OSJ553" s="178"/>
      <c r="OSK553" s="178"/>
      <c r="OSL553" s="178"/>
      <c r="OSM553" s="178"/>
      <c r="OSN553" s="178"/>
      <c r="OSO553" s="178"/>
      <c r="OSP553" s="178"/>
      <c r="OSQ553" s="178"/>
      <c r="OSR553" s="178"/>
      <c r="OSS553" s="178"/>
      <c r="OST553" s="178"/>
      <c r="OSU553" s="178"/>
      <c r="OSV553" s="178"/>
      <c r="OSW553" s="178"/>
      <c r="OSX553" s="178"/>
      <c r="OSY553" s="178"/>
      <c r="OSZ553" s="178"/>
      <c r="OTA553" s="178"/>
      <c r="OTB553" s="178"/>
      <c r="OTC553" s="178"/>
      <c r="OTD553" s="178"/>
      <c r="OTE553" s="178"/>
      <c r="OTF553" s="178"/>
      <c r="OTG553" s="178"/>
      <c r="OTH553" s="178"/>
      <c r="OTI553" s="178"/>
      <c r="OTJ553" s="178"/>
      <c r="OTK553" s="178"/>
      <c r="OTL553" s="178"/>
      <c r="OTM553" s="178"/>
      <c r="OTN553" s="178"/>
      <c r="OTO553" s="178"/>
      <c r="OTP553" s="178"/>
      <c r="OTQ553" s="178"/>
      <c r="OTR553" s="178"/>
      <c r="OTS553" s="178"/>
      <c r="OTT553" s="178"/>
      <c r="OTU553" s="178"/>
      <c r="OTV553" s="178"/>
      <c r="OTW553" s="178"/>
      <c r="OTX553" s="178"/>
      <c r="OTY553" s="178"/>
      <c r="OTZ553" s="178"/>
      <c r="OUA553" s="178"/>
      <c r="OUB553" s="178"/>
      <c r="OUC553" s="178"/>
      <c r="OUD553" s="178"/>
      <c r="OUE553" s="178"/>
      <c r="OUF553" s="178"/>
      <c r="OUG553" s="178"/>
      <c r="OUH553" s="178"/>
      <c r="OUI553" s="178"/>
      <c r="OUJ553" s="178"/>
      <c r="OUK553" s="178"/>
      <c r="OUL553" s="178"/>
      <c r="OUM553" s="178"/>
      <c r="OUN553" s="178"/>
      <c r="OUO553" s="178"/>
      <c r="OUP553" s="178"/>
      <c r="OUQ553" s="178"/>
      <c r="OUR553" s="178"/>
      <c r="OUS553" s="178"/>
      <c r="OUT553" s="178"/>
      <c r="OUU553" s="178"/>
      <c r="OUV553" s="178"/>
      <c r="OUW553" s="178"/>
      <c r="OUX553" s="178"/>
      <c r="OUY553" s="178"/>
      <c r="OUZ553" s="178"/>
      <c r="OVA553" s="178"/>
      <c r="OVB553" s="178"/>
      <c r="OVC553" s="178"/>
      <c r="OVD553" s="178"/>
      <c r="OVE553" s="178"/>
      <c r="OVF553" s="178"/>
      <c r="OVG553" s="178"/>
      <c r="OVH553" s="178"/>
      <c r="OVI553" s="178"/>
      <c r="OVJ553" s="178"/>
      <c r="OVK553" s="178"/>
      <c r="OVL553" s="178"/>
      <c r="OVM553" s="178"/>
      <c r="OVN553" s="178"/>
      <c r="OVO553" s="178"/>
      <c r="OVP553" s="178"/>
      <c r="OVQ553" s="178"/>
      <c r="OVR553" s="178"/>
      <c r="OVS553" s="178"/>
      <c r="OVT553" s="178"/>
      <c r="OVU553" s="178"/>
      <c r="OVV553" s="178"/>
      <c r="OVW553" s="178"/>
      <c r="OVX553" s="178"/>
      <c r="OVY553" s="178"/>
      <c r="OVZ553" s="178"/>
      <c r="OWA553" s="178"/>
      <c r="OWB553" s="178"/>
      <c r="OWC553" s="178"/>
      <c r="OWD553" s="178"/>
      <c r="OWE553" s="178"/>
      <c r="OWF553" s="178"/>
      <c r="OWG553" s="178"/>
      <c r="OWH553" s="178"/>
      <c r="OWI553" s="178"/>
      <c r="OWJ553" s="178"/>
      <c r="OWK553" s="178"/>
      <c r="OWL553" s="178"/>
      <c r="OWM553" s="178"/>
      <c r="OWN553" s="178"/>
      <c r="OWO553" s="178"/>
      <c r="OWP553" s="178"/>
      <c r="OWQ553" s="178"/>
      <c r="OWR553" s="178"/>
      <c r="OWS553" s="178"/>
      <c r="OWT553" s="178"/>
      <c r="OWU553" s="178"/>
      <c r="OWV553" s="178"/>
      <c r="OWW553" s="178"/>
      <c r="OWX553" s="178"/>
      <c r="OWY553" s="178"/>
      <c r="OWZ553" s="178"/>
      <c r="OXA553" s="178"/>
      <c r="OXB553" s="178"/>
      <c r="OXC553" s="178"/>
      <c r="OXD553" s="178"/>
      <c r="OXE553" s="178"/>
      <c r="OXF553" s="178"/>
      <c r="OXG553" s="178"/>
      <c r="OXH553" s="178"/>
      <c r="OXI553" s="178"/>
      <c r="OXJ553" s="178"/>
      <c r="OXK553" s="178"/>
      <c r="OXL553" s="178"/>
      <c r="OXM553" s="178"/>
      <c r="OXN553" s="178"/>
      <c r="OXO553" s="178"/>
      <c r="OXP553" s="178"/>
      <c r="OXQ553" s="178"/>
      <c r="OXR553" s="178"/>
      <c r="OXS553" s="178"/>
      <c r="OXT553" s="178"/>
      <c r="OXU553" s="178"/>
      <c r="OXV553" s="178"/>
      <c r="OXW553" s="178"/>
      <c r="OXX553" s="178"/>
      <c r="OXY553" s="178"/>
      <c r="OXZ553" s="178"/>
      <c r="OYA553" s="178"/>
      <c r="OYB553" s="178"/>
      <c r="OYC553" s="178"/>
      <c r="OYD553" s="178"/>
      <c r="OYE553" s="178"/>
      <c r="OYF553" s="178"/>
      <c r="OYG553" s="178"/>
      <c r="OYH553" s="178"/>
      <c r="OYI553" s="178"/>
      <c r="OYJ553" s="178"/>
      <c r="OYK553" s="178"/>
      <c r="OYL553" s="178"/>
      <c r="OYM553" s="178"/>
      <c r="OYN553" s="178"/>
      <c r="OYO553" s="178"/>
      <c r="OYP553" s="178"/>
      <c r="OYQ553" s="178"/>
      <c r="OYR553" s="178"/>
      <c r="OYS553" s="178"/>
      <c r="OYT553" s="178"/>
      <c r="OYU553" s="178"/>
      <c r="OYV553" s="178"/>
      <c r="OYW553" s="178"/>
      <c r="OYX553" s="178"/>
      <c r="OYY553" s="178"/>
      <c r="OYZ553" s="178"/>
      <c r="OZA553" s="178"/>
      <c r="OZB553" s="178"/>
      <c r="OZC553" s="178"/>
      <c r="OZD553" s="178"/>
      <c r="OZE553" s="178"/>
      <c r="OZF553" s="178"/>
      <c r="OZG553" s="178"/>
      <c r="OZH553" s="178"/>
      <c r="OZI553" s="178"/>
      <c r="OZJ553" s="178"/>
      <c r="OZK553" s="178"/>
      <c r="OZL553" s="178"/>
      <c r="OZM553" s="178"/>
      <c r="OZN553" s="178"/>
      <c r="OZO553" s="178"/>
      <c r="OZP553" s="178"/>
      <c r="OZQ553" s="178"/>
      <c r="OZR553" s="178"/>
      <c r="OZS553" s="178"/>
      <c r="OZT553" s="178"/>
      <c r="OZU553" s="178"/>
      <c r="OZV553" s="178"/>
      <c r="OZW553" s="178"/>
      <c r="OZX553" s="178"/>
      <c r="OZY553" s="178"/>
      <c r="OZZ553" s="178"/>
      <c r="PAA553" s="178"/>
      <c r="PAB553" s="178"/>
      <c r="PAC553" s="178"/>
      <c r="PAD553" s="178"/>
      <c r="PAE553" s="178"/>
      <c r="PAF553" s="178"/>
      <c r="PAG553" s="178"/>
      <c r="PAH553" s="178"/>
      <c r="PAI553" s="178"/>
      <c r="PAJ553" s="178"/>
      <c r="PAK553" s="178"/>
      <c r="PAL553" s="178"/>
      <c r="PAM553" s="178"/>
      <c r="PAN553" s="178"/>
      <c r="PAO553" s="178"/>
      <c r="PAP553" s="178"/>
      <c r="PAQ553" s="178"/>
      <c r="PAR553" s="178"/>
      <c r="PAS553" s="178"/>
      <c r="PAT553" s="178"/>
      <c r="PAU553" s="178"/>
      <c r="PAV553" s="178"/>
      <c r="PAW553" s="178"/>
      <c r="PAX553" s="178"/>
      <c r="PAY553" s="178"/>
      <c r="PAZ553" s="178"/>
      <c r="PBA553" s="178"/>
      <c r="PBB553" s="178"/>
      <c r="PBC553" s="178"/>
      <c r="PBD553" s="178"/>
      <c r="PBE553" s="178"/>
      <c r="PBF553" s="178"/>
      <c r="PBG553" s="178"/>
      <c r="PBH553" s="178"/>
      <c r="PBI553" s="178"/>
      <c r="PBJ553" s="178"/>
      <c r="PBK553" s="178"/>
      <c r="PBL553" s="178"/>
      <c r="PBM553" s="178"/>
      <c r="PBN553" s="178"/>
      <c r="PBO553" s="178"/>
      <c r="PBP553" s="178"/>
      <c r="PBQ553" s="178"/>
      <c r="PBR553" s="178"/>
      <c r="PBS553" s="178"/>
      <c r="PBT553" s="178"/>
      <c r="PBU553" s="178"/>
      <c r="PBV553" s="178"/>
      <c r="PBW553" s="178"/>
      <c r="PBX553" s="178"/>
      <c r="PBY553" s="178"/>
      <c r="PBZ553" s="178"/>
      <c r="PCA553" s="178"/>
      <c r="PCB553" s="178"/>
      <c r="PCC553" s="178"/>
      <c r="PCD553" s="178"/>
      <c r="PCE553" s="178"/>
      <c r="PCF553" s="178"/>
      <c r="PCG553" s="178"/>
      <c r="PCH553" s="178"/>
      <c r="PCI553" s="178"/>
      <c r="PCJ553" s="178"/>
      <c r="PCK553" s="178"/>
      <c r="PCL553" s="178"/>
      <c r="PCM553" s="178"/>
      <c r="PCN553" s="178"/>
      <c r="PCO553" s="178"/>
      <c r="PCP553" s="178"/>
      <c r="PCQ553" s="178"/>
      <c r="PCR553" s="178"/>
      <c r="PCS553" s="178"/>
      <c r="PCT553" s="178"/>
      <c r="PCU553" s="178"/>
      <c r="PCV553" s="178"/>
      <c r="PCW553" s="178"/>
      <c r="PCX553" s="178"/>
      <c r="PCY553" s="178"/>
      <c r="PCZ553" s="178"/>
      <c r="PDA553" s="178"/>
      <c r="PDB553" s="178"/>
      <c r="PDC553" s="178"/>
      <c r="PDD553" s="178"/>
      <c r="PDE553" s="178"/>
      <c r="PDF553" s="178"/>
      <c r="PDG553" s="178"/>
      <c r="PDH553" s="178"/>
      <c r="PDI553" s="178"/>
      <c r="PDJ553" s="178"/>
      <c r="PDK553" s="178"/>
      <c r="PDL553" s="178"/>
      <c r="PDM553" s="178"/>
      <c r="PDN553" s="178"/>
      <c r="PDO553" s="178"/>
      <c r="PDP553" s="178"/>
      <c r="PDQ553" s="178"/>
      <c r="PDR553" s="178"/>
      <c r="PDS553" s="178"/>
      <c r="PDT553" s="178"/>
      <c r="PDU553" s="178"/>
      <c r="PDV553" s="178"/>
      <c r="PDW553" s="178"/>
      <c r="PDX553" s="178"/>
      <c r="PDY553" s="178"/>
      <c r="PDZ553" s="178"/>
      <c r="PEA553" s="178"/>
      <c r="PEB553" s="178"/>
      <c r="PEC553" s="178"/>
      <c r="PED553" s="178"/>
      <c r="PEE553" s="178"/>
      <c r="PEF553" s="178"/>
      <c r="PEG553" s="178"/>
      <c r="PEH553" s="178"/>
      <c r="PEI553" s="178"/>
      <c r="PEJ553" s="178"/>
      <c r="PEK553" s="178"/>
      <c r="PEL553" s="178"/>
      <c r="PEM553" s="178"/>
      <c r="PEN553" s="178"/>
      <c r="PEO553" s="178"/>
      <c r="PEP553" s="178"/>
      <c r="PEQ553" s="178"/>
      <c r="PER553" s="178"/>
      <c r="PES553" s="178"/>
      <c r="PET553" s="178"/>
      <c r="PEU553" s="178"/>
      <c r="PEV553" s="178"/>
      <c r="PEW553" s="178"/>
      <c r="PEX553" s="178"/>
      <c r="PEY553" s="178"/>
      <c r="PEZ553" s="178"/>
      <c r="PFA553" s="178"/>
      <c r="PFB553" s="178"/>
      <c r="PFC553" s="178"/>
      <c r="PFD553" s="178"/>
      <c r="PFE553" s="178"/>
      <c r="PFF553" s="178"/>
      <c r="PFG553" s="178"/>
      <c r="PFH553" s="178"/>
      <c r="PFI553" s="178"/>
      <c r="PFJ553" s="178"/>
      <c r="PFK553" s="178"/>
      <c r="PFL553" s="178"/>
      <c r="PFM553" s="178"/>
      <c r="PFN553" s="178"/>
      <c r="PFO553" s="178"/>
      <c r="PFP553" s="178"/>
      <c r="PFQ553" s="178"/>
      <c r="PFR553" s="178"/>
      <c r="PFS553" s="178"/>
      <c r="PFT553" s="178"/>
      <c r="PFU553" s="178"/>
      <c r="PFV553" s="178"/>
      <c r="PFW553" s="178"/>
      <c r="PFX553" s="178"/>
      <c r="PFY553" s="178"/>
      <c r="PFZ553" s="178"/>
      <c r="PGA553" s="178"/>
      <c r="PGB553" s="178"/>
      <c r="PGC553" s="178"/>
      <c r="PGD553" s="178"/>
      <c r="PGE553" s="178"/>
      <c r="PGF553" s="178"/>
      <c r="PGG553" s="178"/>
      <c r="PGH553" s="178"/>
      <c r="PGI553" s="178"/>
      <c r="PGJ553" s="178"/>
      <c r="PGK553" s="178"/>
      <c r="PGL553" s="178"/>
      <c r="PGM553" s="178"/>
      <c r="PGN553" s="178"/>
      <c r="PGO553" s="178"/>
      <c r="PGP553" s="178"/>
      <c r="PGQ553" s="178"/>
      <c r="PGR553" s="178"/>
      <c r="PGS553" s="178"/>
      <c r="PGT553" s="178"/>
      <c r="PGU553" s="178"/>
      <c r="PGV553" s="178"/>
      <c r="PGW553" s="178"/>
      <c r="PGX553" s="178"/>
      <c r="PGY553" s="178"/>
      <c r="PGZ553" s="178"/>
      <c r="PHA553" s="178"/>
      <c r="PHB553" s="178"/>
      <c r="PHC553" s="178"/>
      <c r="PHD553" s="178"/>
      <c r="PHE553" s="178"/>
      <c r="PHF553" s="178"/>
      <c r="PHG553" s="178"/>
      <c r="PHH553" s="178"/>
      <c r="PHI553" s="178"/>
      <c r="PHJ553" s="178"/>
      <c r="PHK553" s="178"/>
      <c r="PHL553" s="178"/>
      <c r="PHM553" s="178"/>
      <c r="PHN553" s="178"/>
      <c r="PHO553" s="178"/>
      <c r="PHP553" s="178"/>
      <c r="PHQ553" s="178"/>
      <c r="PHR553" s="178"/>
      <c r="PHS553" s="178"/>
      <c r="PHT553" s="178"/>
      <c r="PHU553" s="178"/>
      <c r="PHV553" s="178"/>
      <c r="PHW553" s="178"/>
      <c r="PHX553" s="178"/>
      <c r="PHY553" s="178"/>
      <c r="PHZ553" s="178"/>
      <c r="PIA553" s="178"/>
      <c r="PIB553" s="178"/>
      <c r="PIC553" s="178"/>
      <c r="PID553" s="178"/>
      <c r="PIE553" s="178"/>
      <c r="PIF553" s="178"/>
      <c r="PIG553" s="178"/>
      <c r="PIH553" s="178"/>
      <c r="PII553" s="178"/>
      <c r="PIJ553" s="178"/>
      <c r="PIK553" s="178"/>
      <c r="PIL553" s="178"/>
      <c r="PIM553" s="178"/>
      <c r="PIN553" s="178"/>
      <c r="PIO553" s="178"/>
      <c r="PIP553" s="178"/>
      <c r="PIQ553" s="178"/>
      <c r="PIR553" s="178"/>
      <c r="PIS553" s="178"/>
      <c r="PIT553" s="178"/>
      <c r="PIU553" s="178"/>
      <c r="PIV553" s="178"/>
      <c r="PIW553" s="178"/>
      <c r="PIX553" s="178"/>
      <c r="PIY553" s="178"/>
      <c r="PIZ553" s="178"/>
      <c r="PJA553" s="178"/>
      <c r="PJB553" s="178"/>
      <c r="PJC553" s="178"/>
      <c r="PJD553" s="178"/>
      <c r="PJE553" s="178"/>
      <c r="PJF553" s="178"/>
      <c r="PJG553" s="178"/>
      <c r="PJH553" s="178"/>
      <c r="PJI553" s="178"/>
      <c r="PJJ553" s="178"/>
      <c r="PJK553" s="178"/>
      <c r="PJL553" s="178"/>
      <c r="PJM553" s="178"/>
      <c r="PJN553" s="178"/>
      <c r="PJO553" s="178"/>
      <c r="PJP553" s="178"/>
      <c r="PJQ553" s="178"/>
      <c r="PJR553" s="178"/>
      <c r="PJS553" s="178"/>
      <c r="PJT553" s="178"/>
      <c r="PJU553" s="178"/>
      <c r="PJV553" s="178"/>
      <c r="PJW553" s="178"/>
      <c r="PJX553" s="178"/>
      <c r="PJY553" s="178"/>
      <c r="PJZ553" s="178"/>
      <c r="PKA553" s="178"/>
      <c r="PKB553" s="178"/>
      <c r="PKC553" s="178"/>
      <c r="PKD553" s="178"/>
      <c r="PKE553" s="178"/>
      <c r="PKF553" s="178"/>
      <c r="PKG553" s="178"/>
      <c r="PKH553" s="178"/>
      <c r="PKI553" s="178"/>
      <c r="PKJ553" s="178"/>
      <c r="PKK553" s="178"/>
      <c r="PKL553" s="178"/>
      <c r="PKM553" s="178"/>
      <c r="PKN553" s="178"/>
      <c r="PKO553" s="178"/>
      <c r="PKP553" s="178"/>
      <c r="PKQ553" s="178"/>
      <c r="PKR553" s="178"/>
      <c r="PKS553" s="178"/>
      <c r="PKT553" s="178"/>
      <c r="PKU553" s="178"/>
      <c r="PKV553" s="178"/>
      <c r="PKW553" s="178"/>
      <c r="PKX553" s="178"/>
      <c r="PKY553" s="178"/>
      <c r="PKZ553" s="178"/>
      <c r="PLA553" s="178"/>
      <c r="PLB553" s="178"/>
      <c r="PLC553" s="178"/>
      <c r="PLD553" s="178"/>
      <c r="PLE553" s="178"/>
      <c r="PLF553" s="178"/>
      <c r="PLG553" s="178"/>
      <c r="PLH553" s="178"/>
      <c r="PLI553" s="178"/>
      <c r="PLJ553" s="178"/>
      <c r="PLK553" s="178"/>
      <c r="PLL553" s="178"/>
      <c r="PLM553" s="178"/>
      <c r="PLN553" s="178"/>
      <c r="PLO553" s="178"/>
      <c r="PLP553" s="178"/>
      <c r="PLQ553" s="178"/>
      <c r="PLR553" s="178"/>
      <c r="PLS553" s="178"/>
      <c r="PLT553" s="178"/>
      <c r="PLU553" s="178"/>
      <c r="PLV553" s="178"/>
      <c r="PLW553" s="178"/>
      <c r="PLX553" s="178"/>
      <c r="PLY553" s="178"/>
      <c r="PLZ553" s="178"/>
      <c r="PMA553" s="178"/>
      <c r="PMB553" s="178"/>
      <c r="PMC553" s="178"/>
      <c r="PMD553" s="178"/>
      <c r="PME553" s="178"/>
      <c r="PMF553" s="178"/>
      <c r="PMG553" s="178"/>
      <c r="PMH553" s="178"/>
      <c r="PMI553" s="178"/>
      <c r="PMJ553" s="178"/>
      <c r="PMK553" s="178"/>
      <c r="PML553" s="178"/>
      <c r="PMM553" s="178"/>
      <c r="PMN553" s="178"/>
      <c r="PMO553" s="178"/>
      <c r="PMP553" s="178"/>
      <c r="PMQ553" s="178"/>
      <c r="PMR553" s="178"/>
      <c r="PMS553" s="178"/>
      <c r="PMT553" s="178"/>
      <c r="PMU553" s="178"/>
      <c r="PMV553" s="178"/>
      <c r="PMW553" s="178"/>
      <c r="PMX553" s="178"/>
      <c r="PMY553" s="178"/>
      <c r="PMZ553" s="178"/>
      <c r="PNA553" s="178"/>
      <c r="PNB553" s="178"/>
      <c r="PNC553" s="178"/>
      <c r="PND553" s="178"/>
      <c r="PNE553" s="178"/>
      <c r="PNF553" s="178"/>
      <c r="PNG553" s="178"/>
      <c r="PNH553" s="178"/>
      <c r="PNI553" s="178"/>
      <c r="PNJ553" s="178"/>
      <c r="PNK553" s="178"/>
      <c r="PNL553" s="178"/>
      <c r="PNM553" s="178"/>
      <c r="PNN553" s="178"/>
      <c r="PNO553" s="178"/>
      <c r="PNP553" s="178"/>
      <c r="PNQ553" s="178"/>
      <c r="PNR553" s="178"/>
      <c r="PNS553" s="178"/>
      <c r="PNT553" s="178"/>
      <c r="PNU553" s="178"/>
      <c r="PNV553" s="178"/>
      <c r="PNW553" s="178"/>
      <c r="PNX553" s="178"/>
      <c r="PNY553" s="178"/>
      <c r="PNZ553" s="178"/>
      <c r="POA553" s="178"/>
      <c r="POB553" s="178"/>
      <c r="POC553" s="178"/>
      <c r="POD553" s="178"/>
      <c r="POE553" s="178"/>
      <c r="POF553" s="178"/>
      <c r="POG553" s="178"/>
      <c r="POH553" s="178"/>
      <c r="POI553" s="178"/>
      <c r="POJ553" s="178"/>
      <c r="POK553" s="178"/>
      <c r="POL553" s="178"/>
      <c r="POM553" s="178"/>
      <c r="PON553" s="178"/>
      <c r="POO553" s="178"/>
      <c r="POP553" s="178"/>
      <c r="POQ553" s="178"/>
      <c r="POR553" s="178"/>
      <c r="POS553" s="178"/>
      <c r="POT553" s="178"/>
      <c r="POU553" s="178"/>
      <c r="POV553" s="178"/>
      <c r="POW553" s="178"/>
      <c r="POX553" s="178"/>
      <c r="POY553" s="178"/>
      <c r="POZ553" s="178"/>
      <c r="PPA553" s="178"/>
      <c r="PPB553" s="178"/>
      <c r="PPC553" s="178"/>
      <c r="PPD553" s="178"/>
      <c r="PPE553" s="178"/>
      <c r="PPF553" s="178"/>
      <c r="PPG553" s="178"/>
      <c r="PPH553" s="178"/>
      <c r="PPI553" s="178"/>
      <c r="PPJ553" s="178"/>
      <c r="PPK553" s="178"/>
      <c r="PPL553" s="178"/>
      <c r="PPM553" s="178"/>
      <c r="PPN553" s="178"/>
      <c r="PPO553" s="178"/>
      <c r="PPP553" s="178"/>
      <c r="PPQ553" s="178"/>
      <c r="PPR553" s="178"/>
      <c r="PPS553" s="178"/>
      <c r="PPT553" s="178"/>
      <c r="PPU553" s="178"/>
      <c r="PPV553" s="178"/>
      <c r="PPW553" s="178"/>
      <c r="PPX553" s="178"/>
      <c r="PPY553" s="178"/>
      <c r="PPZ553" s="178"/>
      <c r="PQA553" s="178"/>
      <c r="PQB553" s="178"/>
      <c r="PQC553" s="178"/>
      <c r="PQD553" s="178"/>
      <c r="PQE553" s="178"/>
      <c r="PQF553" s="178"/>
      <c r="PQG553" s="178"/>
      <c r="PQH553" s="178"/>
      <c r="PQI553" s="178"/>
      <c r="PQJ553" s="178"/>
      <c r="PQK553" s="178"/>
      <c r="PQL553" s="178"/>
      <c r="PQM553" s="178"/>
      <c r="PQN553" s="178"/>
      <c r="PQO553" s="178"/>
      <c r="PQP553" s="178"/>
      <c r="PQQ553" s="178"/>
      <c r="PQR553" s="178"/>
      <c r="PQS553" s="178"/>
      <c r="PQT553" s="178"/>
      <c r="PQU553" s="178"/>
      <c r="PQV553" s="178"/>
      <c r="PQW553" s="178"/>
      <c r="PQX553" s="178"/>
      <c r="PQY553" s="178"/>
      <c r="PQZ553" s="178"/>
      <c r="PRA553" s="178"/>
      <c r="PRB553" s="178"/>
      <c r="PRC553" s="178"/>
      <c r="PRD553" s="178"/>
      <c r="PRE553" s="178"/>
      <c r="PRF553" s="178"/>
      <c r="PRG553" s="178"/>
      <c r="PRH553" s="178"/>
      <c r="PRI553" s="178"/>
      <c r="PRJ553" s="178"/>
      <c r="PRK553" s="178"/>
      <c r="PRL553" s="178"/>
      <c r="PRM553" s="178"/>
      <c r="PRN553" s="178"/>
      <c r="PRO553" s="178"/>
      <c r="PRP553" s="178"/>
      <c r="PRQ553" s="178"/>
      <c r="PRR553" s="178"/>
      <c r="PRS553" s="178"/>
      <c r="PRT553" s="178"/>
      <c r="PRU553" s="178"/>
      <c r="PRV553" s="178"/>
      <c r="PRW553" s="178"/>
      <c r="PRX553" s="178"/>
      <c r="PRY553" s="178"/>
      <c r="PRZ553" s="178"/>
      <c r="PSA553" s="178"/>
      <c r="PSB553" s="178"/>
      <c r="PSC553" s="178"/>
      <c r="PSD553" s="178"/>
      <c r="PSE553" s="178"/>
      <c r="PSF553" s="178"/>
      <c r="PSG553" s="178"/>
      <c r="PSH553" s="178"/>
      <c r="PSI553" s="178"/>
      <c r="PSJ553" s="178"/>
      <c r="PSK553" s="178"/>
      <c r="PSL553" s="178"/>
      <c r="PSM553" s="178"/>
      <c r="PSN553" s="178"/>
      <c r="PSO553" s="178"/>
      <c r="PSP553" s="178"/>
      <c r="PSQ553" s="178"/>
      <c r="PSR553" s="178"/>
      <c r="PSS553" s="178"/>
      <c r="PST553" s="178"/>
      <c r="PSU553" s="178"/>
      <c r="PSV553" s="178"/>
      <c r="PSW553" s="178"/>
      <c r="PSX553" s="178"/>
      <c r="PSY553" s="178"/>
      <c r="PSZ553" s="178"/>
      <c r="PTA553" s="178"/>
      <c r="PTB553" s="178"/>
      <c r="PTC553" s="178"/>
      <c r="PTD553" s="178"/>
      <c r="PTE553" s="178"/>
      <c r="PTF553" s="178"/>
      <c r="PTG553" s="178"/>
      <c r="PTH553" s="178"/>
      <c r="PTI553" s="178"/>
      <c r="PTJ553" s="178"/>
      <c r="PTK553" s="178"/>
      <c r="PTL553" s="178"/>
      <c r="PTM553" s="178"/>
      <c r="PTN553" s="178"/>
      <c r="PTO553" s="178"/>
      <c r="PTP553" s="178"/>
      <c r="PTQ553" s="178"/>
      <c r="PTR553" s="178"/>
      <c r="PTS553" s="178"/>
      <c r="PTT553" s="178"/>
      <c r="PTU553" s="178"/>
      <c r="PTV553" s="178"/>
      <c r="PTW553" s="178"/>
      <c r="PTX553" s="178"/>
      <c r="PTY553" s="178"/>
      <c r="PTZ553" s="178"/>
      <c r="PUA553" s="178"/>
      <c r="PUB553" s="178"/>
      <c r="PUC553" s="178"/>
      <c r="PUD553" s="178"/>
      <c r="PUE553" s="178"/>
      <c r="PUF553" s="178"/>
      <c r="PUG553" s="178"/>
      <c r="PUH553" s="178"/>
      <c r="PUI553" s="178"/>
      <c r="PUJ553" s="178"/>
      <c r="PUK553" s="178"/>
      <c r="PUL553" s="178"/>
      <c r="PUM553" s="178"/>
      <c r="PUN553" s="178"/>
      <c r="PUO553" s="178"/>
      <c r="PUP553" s="178"/>
      <c r="PUQ553" s="178"/>
      <c r="PUR553" s="178"/>
      <c r="PUS553" s="178"/>
      <c r="PUT553" s="178"/>
      <c r="PUU553" s="178"/>
      <c r="PUV553" s="178"/>
      <c r="PUW553" s="178"/>
      <c r="PUX553" s="178"/>
      <c r="PUY553" s="178"/>
      <c r="PUZ553" s="178"/>
      <c r="PVA553" s="178"/>
      <c r="PVB553" s="178"/>
      <c r="PVC553" s="178"/>
      <c r="PVD553" s="178"/>
      <c r="PVE553" s="178"/>
      <c r="PVF553" s="178"/>
      <c r="PVG553" s="178"/>
      <c r="PVH553" s="178"/>
      <c r="PVI553" s="178"/>
      <c r="PVJ553" s="178"/>
      <c r="PVK553" s="178"/>
      <c r="PVL553" s="178"/>
      <c r="PVM553" s="178"/>
      <c r="PVN553" s="178"/>
      <c r="PVO553" s="178"/>
      <c r="PVP553" s="178"/>
      <c r="PVQ553" s="178"/>
      <c r="PVR553" s="178"/>
      <c r="PVS553" s="178"/>
      <c r="PVT553" s="178"/>
      <c r="PVU553" s="178"/>
      <c r="PVV553" s="178"/>
      <c r="PVW553" s="178"/>
      <c r="PVX553" s="178"/>
      <c r="PVY553" s="178"/>
      <c r="PVZ553" s="178"/>
      <c r="PWA553" s="178"/>
      <c r="PWB553" s="178"/>
      <c r="PWC553" s="178"/>
      <c r="PWD553" s="178"/>
      <c r="PWE553" s="178"/>
      <c r="PWF553" s="178"/>
      <c r="PWG553" s="178"/>
      <c r="PWH553" s="178"/>
      <c r="PWI553" s="178"/>
      <c r="PWJ553" s="178"/>
      <c r="PWK553" s="178"/>
      <c r="PWL553" s="178"/>
      <c r="PWM553" s="178"/>
      <c r="PWN553" s="178"/>
      <c r="PWO553" s="178"/>
      <c r="PWP553" s="178"/>
      <c r="PWQ553" s="178"/>
      <c r="PWR553" s="178"/>
      <c r="PWS553" s="178"/>
      <c r="PWT553" s="178"/>
      <c r="PWU553" s="178"/>
      <c r="PWV553" s="178"/>
      <c r="PWW553" s="178"/>
      <c r="PWX553" s="178"/>
      <c r="PWY553" s="178"/>
      <c r="PWZ553" s="178"/>
      <c r="PXA553" s="178"/>
      <c r="PXB553" s="178"/>
      <c r="PXC553" s="178"/>
      <c r="PXD553" s="178"/>
      <c r="PXE553" s="178"/>
      <c r="PXF553" s="178"/>
      <c r="PXG553" s="178"/>
      <c r="PXH553" s="178"/>
      <c r="PXI553" s="178"/>
      <c r="PXJ553" s="178"/>
      <c r="PXK553" s="178"/>
      <c r="PXL553" s="178"/>
      <c r="PXM553" s="178"/>
      <c r="PXN553" s="178"/>
      <c r="PXO553" s="178"/>
      <c r="PXP553" s="178"/>
      <c r="PXQ553" s="178"/>
      <c r="PXR553" s="178"/>
      <c r="PXS553" s="178"/>
      <c r="PXT553" s="178"/>
      <c r="PXU553" s="178"/>
      <c r="PXV553" s="178"/>
      <c r="PXW553" s="178"/>
      <c r="PXX553" s="178"/>
      <c r="PXY553" s="178"/>
      <c r="PXZ553" s="178"/>
      <c r="PYA553" s="178"/>
      <c r="PYB553" s="178"/>
      <c r="PYC553" s="178"/>
      <c r="PYD553" s="178"/>
      <c r="PYE553" s="178"/>
      <c r="PYF553" s="178"/>
      <c r="PYG553" s="178"/>
      <c r="PYH553" s="178"/>
      <c r="PYI553" s="178"/>
      <c r="PYJ553" s="178"/>
      <c r="PYK553" s="178"/>
      <c r="PYL553" s="178"/>
      <c r="PYM553" s="178"/>
      <c r="PYN553" s="178"/>
      <c r="PYO553" s="178"/>
      <c r="PYP553" s="178"/>
      <c r="PYQ553" s="178"/>
      <c r="PYR553" s="178"/>
      <c r="PYS553" s="178"/>
      <c r="PYT553" s="178"/>
      <c r="PYU553" s="178"/>
      <c r="PYV553" s="178"/>
      <c r="PYW553" s="178"/>
      <c r="PYX553" s="178"/>
      <c r="PYY553" s="178"/>
      <c r="PYZ553" s="178"/>
      <c r="PZA553" s="178"/>
      <c r="PZB553" s="178"/>
      <c r="PZC553" s="178"/>
      <c r="PZD553" s="178"/>
      <c r="PZE553" s="178"/>
      <c r="PZF553" s="178"/>
      <c r="PZG553" s="178"/>
      <c r="PZH553" s="178"/>
      <c r="PZI553" s="178"/>
      <c r="PZJ553" s="178"/>
      <c r="PZK553" s="178"/>
      <c r="PZL553" s="178"/>
      <c r="PZM553" s="178"/>
      <c r="PZN553" s="178"/>
      <c r="PZO553" s="178"/>
      <c r="PZP553" s="178"/>
      <c r="PZQ553" s="178"/>
      <c r="PZR553" s="178"/>
      <c r="PZS553" s="178"/>
      <c r="PZT553" s="178"/>
      <c r="PZU553" s="178"/>
      <c r="PZV553" s="178"/>
      <c r="PZW553" s="178"/>
      <c r="PZX553" s="178"/>
      <c r="PZY553" s="178"/>
      <c r="PZZ553" s="178"/>
      <c r="QAA553" s="178"/>
      <c r="QAB553" s="178"/>
      <c r="QAC553" s="178"/>
      <c r="QAD553" s="178"/>
      <c r="QAE553" s="178"/>
      <c r="QAF553" s="178"/>
      <c r="QAG553" s="178"/>
      <c r="QAH553" s="178"/>
      <c r="QAI553" s="178"/>
      <c r="QAJ553" s="178"/>
      <c r="QAK553" s="178"/>
      <c r="QAL553" s="178"/>
      <c r="QAM553" s="178"/>
      <c r="QAN553" s="178"/>
      <c r="QAO553" s="178"/>
      <c r="QAP553" s="178"/>
      <c r="QAQ553" s="178"/>
      <c r="QAR553" s="178"/>
      <c r="QAS553" s="178"/>
      <c r="QAT553" s="178"/>
      <c r="QAU553" s="178"/>
      <c r="QAV553" s="178"/>
      <c r="QAW553" s="178"/>
      <c r="QAX553" s="178"/>
      <c r="QAY553" s="178"/>
      <c r="QAZ553" s="178"/>
      <c r="QBA553" s="178"/>
      <c r="QBB553" s="178"/>
      <c r="QBC553" s="178"/>
      <c r="QBD553" s="178"/>
      <c r="QBE553" s="178"/>
      <c r="QBF553" s="178"/>
      <c r="QBG553" s="178"/>
      <c r="QBH553" s="178"/>
      <c r="QBI553" s="178"/>
      <c r="QBJ553" s="178"/>
      <c r="QBK553" s="178"/>
      <c r="QBL553" s="178"/>
      <c r="QBM553" s="178"/>
      <c r="QBN553" s="178"/>
      <c r="QBO553" s="178"/>
      <c r="QBP553" s="178"/>
      <c r="QBQ553" s="178"/>
      <c r="QBR553" s="178"/>
      <c r="QBS553" s="178"/>
      <c r="QBT553" s="178"/>
      <c r="QBU553" s="178"/>
      <c r="QBV553" s="178"/>
      <c r="QBW553" s="178"/>
      <c r="QBX553" s="178"/>
      <c r="QBY553" s="178"/>
      <c r="QBZ553" s="178"/>
      <c r="QCA553" s="178"/>
      <c r="QCB553" s="178"/>
      <c r="QCC553" s="178"/>
      <c r="QCD553" s="178"/>
      <c r="QCE553" s="178"/>
      <c r="QCF553" s="178"/>
      <c r="QCG553" s="178"/>
      <c r="QCH553" s="178"/>
      <c r="QCI553" s="178"/>
      <c r="QCJ553" s="178"/>
      <c r="QCK553" s="178"/>
      <c r="QCL553" s="178"/>
      <c r="QCM553" s="178"/>
      <c r="QCN553" s="178"/>
      <c r="QCO553" s="178"/>
      <c r="QCP553" s="178"/>
      <c r="QCQ553" s="178"/>
      <c r="QCR553" s="178"/>
      <c r="QCS553" s="178"/>
      <c r="QCT553" s="178"/>
      <c r="QCU553" s="178"/>
      <c r="QCV553" s="178"/>
      <c r="QCW553" s="178"/>
      <c r="QCX553" s="178"/>
      <c r="QCY553" s="178"/>
      <c r="QCZ553" s="178"/>
      <c r="QDA553" s="178"/>
      <c r="QDB553" s="178"/>
      <c r="QDC553" s="178"/>
      <c r="QDD553" s="178"/>
      <c r="QDE553" s="178"/>
      <c r="QDF553" s="178"/>
      <c r="QDG553" s="178"/>
      <c r="QDH553" s="178"/>
      <c r="QDI553" s="178"/>
      <c r="QDJ553" s="178"/>
      <c r="QDK553" s="178"/>
      <c r="QDL553" s="178"/>
      <c r="QDM553" s="178"/>
      <c r="QDN553" s="178"/>
      <c r="QDO553" s="178"/>
      <c r="QDP553" s="178"/>
      <c r="QDQ553" s="178"/>
      <c r="QDR553" s="178"/>
      <c r="QDS553" s="178"/>
      <c r="QDT553" s="178"/>
      <c r="QDU553" s="178"/>
      <c r="QDV553" s="178"/>
      <c r="QDW553" s="178"/>
      <c r="QDX553" s="178"/>
      <c r="QDY553" s="178"/>
      <c r="QDZ553" s="178"/>
      <c r="QEA553" s="178"/>
      <c r="QEB553" s="178"/>
      <c r="QEC553" s="178"/>
      <c r="QED553" s="178"/>
      <c r="QEE553" s="178"/>
      <c r="QEF553" s="178"/>
      <c r="QEG553" s="178"/>
      <c r="QEH553" s="178"/>
      <c r="QEI553" s="178"/>
      <c r="QEJ553" s="178"/>
      <c r="QEK553" s="178"/>
      <c r="QEL553" s="178"/>
      <c r="QEM553" s="178"/>
      <c r="QEN553" s="178"/>
      <c r="QEO553" s="178"/>
      <c r="QEP553" s="178"/>
      <c r="QEQ553" s="178"/>
      <c r="QER553" s="178"/>
      <c r="QES553" s="178"/>
      <c r="QET553" s="178"/>
      <c r="QEU553" s="178"/>
      <c r="QEV553" s="178"/>
      <c r="QEW553" s="178"/>
      <c r="QEX553" s="178"/>
      <c r="QEY553" s="178"/>
      <c r="QEZ553" s="178"/>
      <c r="QFA553" s="178"/>
      <c r="QFB553" s="178"/>
      <c r="QFC553" s="178"/>
      <c r="QFD553" s="178"/>
      <c r="QFE553" s="178"/>
      <c r="QFF553" s="178"/>
      <c r="QFG553" s="178"/>
      <c r="QFH553" s="178"/>
      <c r="QFI553" s="178"/>
      <c r="QFJ553" s="178"/>
      <c r="QFK553" s="178"/>
      <c r="QFL553" s="178"/>
      <c r="QFM553" s="178"/>
      <c r="QFN553" s="178"/>
      <c r="QFO553" s="178"/>
      <c r="QFP553" s="178"/>
      <c r="QFQ553" s="178"/>
      <c r="QFR553" s="178"/>
      <c r="QFS553" s="178"/>
      <c r="QFT553" s="178"/>
      <c r="QFU553" s="178"/>
      <c r="QFV553" s="178"/>
      <c r="QFW553" s="178"/>
      <c r="QFX553" s="178"/>
      <c r="QFY553" s="178"/>
      <c r="QFZ553" s="178"/>
      <c r="QGA553" s="178"/>
      <c r="QGB553" s="178"/>
      <c r="QGC553" s="178"/>
      <c r="QGD553" s="178"/>
      <c r="QGE553" s="178"/>
      <c r="QGF553" s="178"/>
      <c r="QGG553" s="178"/>
      <c r="QGH553" s="178"/>
      <c r="QGI553" s="178"/>
      <c r="QGJ553" s="178"/>
      <c r="QGK553" s="178"/>
      <c r="QGL553" s="178"/>
      <c r="QGM553" s="178"/>
      <c r="QGN553" s="178"/>
      <c r="QGO553" s="178"/>
      <c r="QGP553" s="178"/>
      <c r="QGQ553" s="178"/>
      <c r="QGR553" s="178"/>
      <c r="QGS553" s="178"/>
      <c r="QGT553" s="178"/>
      <c r="QGU553" s="178"/>
      <c r="QGV553" s="178"/>
      <c r="QGW553" s="178"/>
      <c r="QGX553" s="178"/>
      <c r="QGY553" s="178"/>
      <c r="QGZ553" s="178"/>
      <c r="QHA553" s="178"/>
      <c r="QHB553" s="178"/>
      <c r="QHC553" s="178"/>
      <c r="QHD553" s="178"/>
      <c r="QHE553" s="178"/>
      <c r="QHF553" s="178"/>
      <c r="QHG553" s="178"/>
      <c r="QHH553" s="178"/>
      <c r="QHI553" s="178"/>
      <c r="QHJ553" s="178"/>
      <c r="QHK553" s="178"/>
      <c r="QHL553" s="178"/>
      <c r="QHM553" s="178"/>
      <c r="QHN553" s="178"/>
      <c r="QHO553" s="178"/>
      <c r="QHP553" s="178"/>
      <c r="QHQ553" s="178"/>
      <c r="QHR553" s="178"/>
      <c r="QHS553" s="178"/>
      <c r="QHT553" s="178"/>
      <c r="QHU553" s="178"/>
      <c r="QHV553" s="178"/>
      <c r="QHW553" s="178"/>
      <c r="QHX553" s="178"/>
      <c r="QHY553" s="178"/>
      <c r="QHZ553" s="178"/>
      <c r="QIA553" s="178"/>
      <c r="QIB553" s="178"/>
      <c r="QIC553" s="178"/>
      <c r="QID553" s="178"/>
      <c r="QIE553" s="178"/>
      <c r="QIF553" s="178"/>
      <c r="QIG553" s="178"/>
      <c r="QIH553" s="178"/>
      <c r="QII553" s="178"/>
      <c r="QIJ553" s="178"/>
      <c r="QIK553" s="178"/>
      <c r="QIL553" s="178"/>
      <c r="QIM553" s="178"/>
      <c r="QIN553" s="178"/>
      <c r="QIO553" s="178"/>
      <c r="QIP553" s="178"/>
      <c r="QIQ553" s="178"/>
      <c r="QIR553" s="178"/>
      <c r="QIS553" s="178"/>
      <c r="QIT553" s="178"/>
      <c r="QIU553" s="178"/>
      <c r="QIV553" s="178"/>
      <c r="QIW553" s="178"/>
      <c r="QIX553" s="178"/>
      <c r="QIY553" s="178"/>
      <c r="QIZ553" s="178"/>
      <c r="QJA553" s="178"/>
      <c r="QJB553" s="178"/>
      <c r="QJC553" s="178"/>
      <c r="QJD553" s="178"/>
      <c r="QJE553" s="178"/>
      <c r="QJF553" s="178"/>
      <c r="QJG553" s="178"/>
      <c r="QJH553" s="178"/>
      <c r="QJI553" s="178"/>
      <c r="QJJ553" s="178"/>
      <c r="QJK553" s="178"/>
      <c r="QJL553" s="178"/>
      <c r="QJM553" s="178"/>
      <c r="QJN553" s="178"/>
      <c r="QJO553" s="178"/>
      <c r="QJP553" s="178"/>
      <c r="QJQ553" s="178"/>
      <c r="QJR553" s="178"/>
      <c r="QJS553" s="178"/>
      <c r="QJT553" s="178"/>
      <c r="QJU553" s="178"/>
      <c r="QJV553" s="178"/>
      <c r="QJW553" s="178"/>
      <c r="QJX553" s="178"/>
      <c r="QJY553" s="178"/>
      <c r="QJZ553" s="178"/>
      <c r="QKA553" s="178"/>
      <c r="QKB553" s="178"/>
      <c r="QKC553" s="178"/>
      <c r="QKD553" s="178"/>
      <c r="QKE553" s="178"/>
      <c r="QKF553" s="178"/>
      <c r="QKG553" s="178"/>
      <c r="QKH553" s="178"/>
      <c r="QKI553" s="178"/>
      <c r="QKJ553" s="178"/>
      <c r="QKK553" s="178"/>
      <c r="QKL553" s="178"/>
      <c r="QKM553" s="178"/>
      <c r="QKN553" s="178"/>
      <c r="QKO553" s="178"/>
      <c r="QKP553" s="178"/>
      <c r="QKQ553" s="178"/>
      <c r="QKR553" s="178"/>
      <c r="QKS553" s="178"/>
      <c r="QKT553" s="178"/>
      <c r="QKU553" s="178"/>
      <c r="QKV553" s="178"/>
      <c r="QKW553" s="178"/>
      <c r="QKX553" s="178"/>
      <c r="QKY553" s="178"/>
      <c r="QKZ553" s="178"/>
      <c r="QLA553" s="178"/>
      <c r="QLB553" s="178"/>
      <c r="QLC553" s="178"/>
      <c r="QLD553" s="178"/>
      <c r="QLE553" s="178"/>
      <c r="QLF553" s="178"/>
      <c r="QLG553" s="178"/>
      <c r="QLH553" s="178"/>
      <c r="QLI553" s="178"/>
      <c r="QLJ553" s="178"/>
      <c r="QLK553" s="178"/>
      <c r="QLL553" s="178"/>
      <c r="QLM553" s="178"/>
      <c r="QLN553" s="178"/>
      <c r="QLO553" s="178"/>
      <c r="QLP553" s="178"/>
      <c r="QLQ553" s="178"/>
      <c r="QLR553" s="178"/>
      <c r="QLS553" s="178"/>
      <c r="QLT553" s="178"/>
      <c r="QLU553" s="178"/>
      <c r="QLV553" s="178"/>
      <c r="QLW553" s="178"/>
      <c r="QLX553" s="178"/>
      <c r="QLY553" s="178"/>
      <c r="QLZ553" s="178"/>
      <c r="QMA553" s="178"/>
      <c r="QMB553" s="178"/>
      <c r="QMC553" s="178"/>
      <c r="QMD553" s="178"/>
      <c r="QME553" s="178"/>
      <c r="QMF553" s="178"/>
      <c r="QMG553" s="178"/>
      <c r="QMH553" s="178"/>
      <c r="QMI553" s="178"/>
      <c r="QMJ553" s="178"/>
      <c r="QMK553" s="178"/>
      <c r="QML553" s="178"/>
      <c r="QMM553" s="178"/>
      <c r="QMN553" s="178"/>
      <c r="QMO553" s="178"/>
      <c r="QMP553" s="178"/>
      <c r="QMQ553" s="178"/>
      <c r="QMR553" s="178"/>
      <c r="QMS553" s="178"/>
      <c r="QMT553" s="178"/>
      <c r="QMU553" s="178"/>
      <c r="QMV553" s="178"/>
      <c r="QMW553" s="178"/>
      <c r="QMX553" s="178"/>
      <c r="QMY553" s="178"/>
      <c r="QMZ553" s="178"/>
      <c r="QNA553" s="178"/>
      <c r="QNB553" s="178"/>
      <c r="QNC553" s="178"/>
      <c r="QND553" s="178"/>
      <c r="QNE553" s="178"/>
      <c r="QNF553" s="178"/>
      <c r="QNG553" s="178"/>
      <c r="QNH553" s="178"/>
      <c r="QNI553" s="178"/>
      <c r="QNJ553" s="178"/>
      <c r="QNK553" s="178"/>
      <c r="QNL553" s="178"/>
      <c r="QNM553" s="178"/>
      <c r="QNN553" s="178"/>
      <c r="QNO553" s="178"/>
      <c r="QNP553" s="178"/>
      <c r="QNQ553" s="178"/>
      <c r="QNR553" s="178"/>
      <c r="QNS553" s="178"/>
      <c r="QNT553" s="178"/>
      <c r="QNU553" s="178"/>
      <c r="QNV553" s="178"/>
      <c r="QNW553" s="178"/>
      <c r="QNX553" s="178"/>
      <c r="QNY553" s="178"/>
      <c r="QNZ553" s="178"/>
      <c r="QOA553" s="178"/>
      <c r="QOB553" s="178"/>
      <c r="QOC553" s="178"/>
      <c r="QOD553" s="178"/>
      <c r="QOE553" s="178"/>
      <c r="QOF553" s="178"/>
      <c r="QOG553" s="178"/>
      <c r="QOH553" s="178"/>
      <c r="QOI553" s="178"/>
      <c r="QOJ553" s="178"/>
      <c r="QOK553" s="178"/>
      <c r="QOL553" s="178"/>
      <c r="QOM553" s="178"/>
      <c r="QON553" s="178"/>
      <c r="QOO553" s="178"/>
      <c r="QOP553" s="178"/>
      <c r="QOQ553" s="178"/>
      <c r="QOR553" s="178"/>
      <c r="QOS553" s="178"/>
      <c r="QOT553" s="178"/>
      <c r="QOU553" s="178"/>
      <c r="QOV553" s="178"/>
      <c r="QOW553" s="178"/>
      <c r="QOX553" s="178"/>
      <c r="QOY553" s="178"/>
      <c r="QOZ553" s="178"/>
      <c r="QPA553" s="178"/>
      <c r="QPB553" s="178"/>
      <c r="QPC553" s="178"/>
      <c r="QPD553" s="178"/>
      <c r="QPE553" s="178"/>
      <c r="QPF553" s="178"/>
      <c r="QPG553" s="178"/>
      <c r="QPH553" s="178"/>
      <c r="QPI553" s="178"/>
      <c r="QPJ553" s="178"/>
      <c r="QPK553" s="178"/>
      <c r="QPL553" s="178"/>
      <c r="QPM553" s="178"/>
      <c r="QPN553" s="178"/>
      <c r="QPO553" s="178"/>
      <c r="QPP553" s="178"/>
      <c r="QPQ553" s="178"/>
      <c r="QPR553" s="178"/>
      <c r="QPS553" s="178"/>
      <c r="QPT553" s="178"/>
      <c r="QPU553" s="178"/>
      <c r="QPV553" s="178"/>
      <c r="QPW553" s="178"/>
      <c r="QPX553" s="178"/>
      <c r="QPY553" s="178"/>
      <c r="QPZ553" s="178"/>
      <c r="QQA553" s="178"/>
      <c r="QQB553" s="178"/>
      <c r="QQC553" s="178"/>
      <c r="QQD553" s="178"/>
      <c r="QQE553" s="178"/>
      <c r="QQF553" s="178"/>
      <c r="QQG553" s="178"/>
      <c r="QQH553" s="178"/>
      <c r="QQI553" s="178"/>
      <c r="QQJ553" s="178"/>
      <c r="QQK553" s="178"/>
      <c r="QQL553" s="178"/>
      <c r="QQM553" s="178"/>
      <c r="QQN553" s="178"/>
      <c r="QQO553" s="178"/>
      <c r="QQP553" s="178"/>
      <c r="QQQ553" s="178"/>
      <c r="QQR553" s="178"/>
      <c r="QQS553" s="178"/>
      <c r="QQT553" s="178"/>
      <c r="QQU553" s="178"/>
      <c r="QQV553" s="178"/>
      <c r="QQW553" s="178"/>
      <c r="QQX553" s="178"/>
      <c r="QQY553" s="178"/>
      <c r="QQZ553" s="178"/>
      <c r="QRA553" s="178"/>
      <c r="QRB553" s="178"/>
      <c r="QRC553" s="178"/>
      <c r="QRD553" s="178"/>
      <c r="QRE553" s="178"/>
      <c r="QRF553" s="178"/>
      <c r="QRG553" s="178"/>
      <c r="QRH553" s="178"/>
      <c r="QRI553" s="178"/>
      <c r="QRJ553" s="178"/>
      <c r="QRK553" s="178"/>
      <c r="QRL553" s="178"/>
      <c r="QRM553" s="178"/>
      <c r="QRN553" s="178"/>
      <c r="QRO553" s="178"/>
      <c r="QRP553" s="178"/>
      <c r="QRQ553" s="178"/>
      <c r="QRR553" s="178"/>
      <c r="QRS553" s="178"/>
      <c r="QRT553" s="178"/>
      <c r="QRU553" s="178"/>
      <c r="QRV553" s="178"/>
      <c r="QRW553" s="178"/>
      <c r="QRX553" s="178"/>
      <c r="QRY553" s="178"/>
      <c r="QRZ553" s="178"/>
      <c r="QSA553" s="178"/>
      <c r="QSB553" s="178"/>
      <c r="QSC553" s="178"/>
      <c r="QSD553" s="178"/>
      <c r="QSE553" s="178"/>
      <c r="QSF553" s="178"/>
      <c r="QSG553" s="178"/>
      <c r="QSH553" s="178"/>
      <c r="QSI553" s="178"/>
      <c r="QSJ553" s="178"/>
      <c r="QSK553" s="178"/>
      <c r="QSL553" s="178"/>
      <c r="QSM553" s="178"/>
      <c r="QSN553" s="178"/>
      <c r="QSO553" s="178"/>
      <c r="QSP553" s="178"/>
      <c r="QSQ553" s="178"/>
      <c r="QSR553" s="178"/>
      <c r="QSS553" s="178"/>
      <c r="QST553" s="178"/>
      <c r="QSU553" s="178"/>
      <c r="QSV553" s="178"/>
      <c r="QSW553" s="178"/>
      <c r="QSX553" s="178"/>
      <c r="QSY553" s="178"/>
      <c r="QSZ553" s="178"/>
      <c r="QTA553" s="178"/>
      <c r="QTB553" s="178"/>
      <c r="QTC553" s="178"/>
      <c r="QTD553" s="178"/>
      <c r="QTE553" s="178"/>
      <c r="QTF553" s="178"/>
      <c r="QTG553" s="178"/>
      <c r="QTH553" s="178"/>
      <c r="QTI553" s="178"/>
      <c r="QTJ553" s="178"/>
      <c r="QTK553" s="178"/>
      <c r="QTL553" s="178"/>
      <c r="QTM553" s="178"/>
      <c r="QTN553" s="178"/>
      <c r="QTO553" s="178"/>
      <c r="QTP553" s="178"/>
      <c r="QTQ553" s="178"/>
      <c r="QTR553" s="178"/>
      <c r="QTS553" s="178"/>
      <c r="QTT553" s="178"/>
      <c r="QTU553" s="178"/>
      <c r="QTV553" s="178"/>
      <c r="QTW553" s="178"/>
      <c r="QTX553" s="178"/>
      <c r="QTY553" s="178"/>
      <c r="QTZ553" s="178"/>
      <c r="QUA553" s="178"/>
      <c r="QUB553" s="178"/>
      <c r="QUC553" s="178"/>
      <c r="QUD553" s="178"/>
      <c r="QUE553" s="178"/>
      <c r="QUF553" s="178"/>
      <c r="QUG553" s="178"/>
      <c r="QUH553" s="178"/>
      <c r="QUI553" s="178"/>
      <c r="QUJ553" s="178"/>
      <c r="QUK553" s="178"/>
      <c r="QUL553" s="178"/>
      <c r="QUM553" s="178"/>
      <c r="QUN553" s="178"/>
      <c r="QUO553" s="178"/>
      <c r="QUP553" s="178"/>
      <c r="QUQ553" s="178"/>
      <c r="QUR553" s="178"/>
      <c r="QUS553" s="178"/>
      <c r="QUT553" s="178"/>
      <c r="QUU553" s="178"/>
      <c r="QUV553" s="178"/>
      <c r="QUW553" s="178"/>
      <c r="QUX553" s="178"/>
      <c r="QUY553" s="178"/>
      <c r="QUZ553" s="178"/>
      <c r="QVA553" s="178"/>
      <c r="QVB553" s="178"/>
      <c r="QVC553" s="178"/>
      <c r="QVD553" s="178"/>
      <c r="QVE553" s="178"/>
      <c r="QVF553" s="178"/>
      <c r="QVG553" s="178"/>
      <c r="QVH553" s="178"/>
      <c r="QVI553" s="178"/>
      <c r="QVJ553" s="178"/>
      <c r="QVK553" s="178"/>
      <c r="QVL553" s="178"/>
      <c r="QVM553" s="178"/>
      <c r="QVN553" s="178"/>
      <c r="QVO553" s="178"/>
      <c r="QVP553" s="178"/>
      <c r="QVQ553" s="178"/>
      <c r="QVR553" s="178"/>
      <c r="QVS553" s="178"/>
      <c r="QVT553" s="178"/>
      <c r="QVU553" s="178"/>
      <c r="QVV553" s="178"/>
      <c r="QVW553" s="178"/>
      <c r="QVX553" s="178"/>
      <c r="QVY553" s="178"/>
      <c r="QVZ553" s="178"/>
      <c r="QWA553" s="178"/>
      <c r="QWB553" s="178"/>
      <c r="QWC553" s="178"/>
      <c r="QWD553" s="178"/>
      <c r="QWE553" s="178"/>
      <c r="QWF553" s="178"/>
      <c r="QWG553" s="178"/>
      <c r="QWH553" s="178"/>
      <c r="QWI553" s="178"/>
      <c r="QWJ553" s="178"/>
      <c r="QWK553" s="178"/>
      <c r="QWL553" s="178"/>
      <c r="QWM553" s="178"/>
      <c r="QWN553" s="178"/>
      <c r="QWO553" s="178"/>
      <c r="QWP553" s="178"/>
      <c r="QWQ553" s="178"/>
      <c r="QWR553" s="178"/>
      <c r="QWS553" s="178"/>
      <c r="QWT553" s="178"/>
      <c r="QWU553" s="178"/>
      <c r="QWV553" s="178"/>
      <c r="QWW553" s="178"/>
      <c r="QWX553" s="178"/>
      <c r="QWY553" s="178"/>
      <c r="QWZ553" s="178"/>
      <c r="QXA553" s="178"/>
      <c r="QXB553" s="178"/>
      <c r="QXC553" s="178"/>
      <c r="QXD553" s="178"/>
      <c r="QXE553" s="178"/>
      <c r="QXF553" s="178"/>
      <c r="QXG553" s="178"/>
      <c r="QXH553" s="178"/>
      <c r="QXI553" s="178"/>
      <c r="QXJ553" s="178"/>
      <c r="QXK553" s="178"/>
      <c r="QXL553" s="178"/>
      <c r="QXM553" s="178"/>
      <c r="QXN553" s="178"/>
      <c r="QXO553" s="178"/>
      <c r="QXP553" s="178"/>
      <c r="QXQ553" s="178"/>
      <c r="QXR553" s="178"/>
      <c r="QXS553" s="178"/>
      <c r="QXT553" s="178"/>
      <c r="QXU553" s="178"/>
      <c r="QXV553" s="178"/>
      <c r="QXW553" s="178"/>
      <c r="QXX553" s="178"/>
      <c r="QXY553" s="178"/>
      <c r="QXZ553" s="178"/>
      <c r="QYA553" s="178"/>
      <c r="QYB553" s="178"/>
      <c r="QYC553" s="178"/>
      <c r="QYD553" s="178"/>
      <c r="QYE553" s="178"/>
      <c r="QYF553" s="178"/>
      <c r="QYG553" s="178"/>
      <c r="QYH553" s="178"/>
      <c r="QYI553" s="178"/>
      <c r="QYJ553" s="178"/>
      <c r="QYK553" s="178"/>
      <c r="QYL553" s="178"/>
      <c r="QYM553" s="178"/>
      <c r="QYN553" s="178"/>
      <c r="QYO553" s="178"/>
      <c r="QYP553" s="178"/>
      <c r="QYQ553" s="178"/>
      <c r="QYR553" s="178"/>
      <c r="QYS553" s="178"/>
      <c r="QYT553" s="178"/>
      <c r="QYU553" s="178"/>
      <c r="QYV553" s="178"/>
      <c r="QYW553" s="178"/>
      <c r="QYX553" s="178"/>
      <c r="QYY553" s="178"/>
      <c r="QYZ553" s="178"/>
      <c r="QZA553" s="178"/>
      <c r="QZB553" s="178"/>
      <c r="QZC553" s="178"/>
      <c r="QZD553" s="178"/>
      <c r="QZE553" s="178"/>
      <c r="QZF553" s="178"/>
      <c r="QZG553" s="178"/>
      <c r="QZH553" s="178"/>
      <c r="QZI553" s="178"/>
      <c r="QZJ553" s="178"/>
      <c r="QZK553" s="178"/>
      <c r="QZL553" s="178"/>
      <c r="QZM553" s="178"/>
      <c r="QZN553" s="178"/>
      <c r="QZO553" s="178"/>
      <c r="QZP553" s="178"/>
      <c r="QZQ553" s="178"/>
      <c r="QZR553" s="178"/>
      <c r="QZS553" s="178"/>
      <c r="QZT553" s="178"/>
      <c r="QZU553" s="178"/>
      <c r="QZV553" s="178"/>
      <c r="QZW553" s="178"/>
      <c r="QZX553" s="178"/>
      <c r="QZY553" s="178"/>
      <c r="QZZ553" s="178"/>
      <c r="RAA553" s="178"/>
      <c r="RAB553" s="178"/>
      <c r="RAC553" s="178"/>
      <c r="RAD553" s="178"/>
      <c r="RAE553" s="178"/>
      <c r="RAF553" s="178"/>
      <c r="RAG553" s="178"/>
      <c r="RAH553" s="178"/>
      <c r="RAI553" s="178"/>
      <c r="RAJ553" s="178"/>
      <c r="RAK553" s="178"/>
      <c r="RAL553" s="178"/>
      <c r="RAM553" s="178"/>
      <c r="RAN553" s="178"/>
      <c r="RAO553" s="178"/>
      <c r="RAP553" s="178"/>
      <c r="RAQ553" s="178"/>
      <c r="RAR553" s="178"/>
      <c r="RAS553" s="178"/>
      <c r="RAT553" s="178"/>
      <c r="RAU553" s="178"/>
      <c r="RAV553" s="178"/>
      <c r="RAW553" s="178"/>
      <c r="RAX553" s="178"/>
      <c r="RAY553" s="178"/>
      <c r="RAZ553" s="178"/>
      <c r="RBA553" s="178"/>
      <c r="RBB553" s="178"/>
      <c r="RBC553" s="178"/>
      <c r="RBD553" s="178"/>
      <c r="RBE553" s="178"/>
      <c r="RBF553" s="178"/>
      <c r="RBG553" s="178"/>
      <c r="RBH553" s="178"/>
      <c r="RBI553" s="178"/>
      <c r="RBJ553" s="178"/>
      <c r="RBK553" s="178"/>
      <c r="RBL553" s="178"/>
      <c r="RBM553" s="178"/>
      <c r="RBN553" s="178"/>
      <c r="RBO553" s="178"/>
      <c r="RBP553" s="178"/>
      <c r="RBQ553" s="178"/>
      <c r="RBR553" s="178"/>
      <c r="RBS553" s="178"/>
      <c r="RBT553" s="178"/>
      <c r="RBU553" s="178"/>
      <c r="RBV553" s="178"/>
      <c r="RBW553" s="178"/>
      <c r="RBX553" s="178"/>
      <c r="RBY553" s="178"/>
      <c r="RBZ553" s="178"/>
      <c r="RCA553" s="178"/>
      <c r="RCB553" s="178"/>
      <c r="RCC553" s="178"/>
      <c r="RCD553" s="178"/>
      <c r="RCE553" s="178"/>
      <c r="RCF553" s="178"/>
      <c r="RCG553" s="178"/>
      <c r="RCH553" s="178"/>
      <c r="RCI553" s="178"/>
      <c r="RCJ553" s="178"/>
      <c r="RCK553" s="178"/>
      <c r="RCL553" s="178"/>
      <c r="RCM553" s="178"/>
      <c r="RCN553" s="178"/>
      <c r="RCO553" s="178"/>
      <c r="RCP553" s="178"/>
      <c r="RCQ553" s="178"/>
      <c r="RCR553" s="178"/>
      <c r="RCS553" s="178"/>
      <c r="RCT553" s="178"/>
      <c r="RCU553" s="178"/>
      <c r="RCV553" s="178"/>
      <c r="RCW553" s="178"/>
      <c r="RCX553" s="178"/>
      <c r="RCY553" s="178"/>
      <c r="RCZ553" s="178"/>
      <c r="RDA553" s="178"/>
      <c r="RDB553" s="178"/>
      <c r="RDC553" s="178"/>
      <c r="RDD553" s="178"/>
      <c r="RDE553" s="178"/>
      <c r="RDF553" s="178"/>
      <c r="RDG553" s="178"/>
      <c r="RDH553" s="178"/>
      <c r="RDI553" s="178"/>
      <c r="RDJ553" s="178"/>
      <c r="RDK553" s="178"/>
      <c r="RDL553" s="178"/>
      <c r="RDM553" s="178"/>
      <c r="RDN553" s="178"/>
      <c r="RDO553" s="178"/>
      <c r="RDP553" s="178"/>
      <c r="RDQ553" s="178"/>
      <c r="RDR553" s="178"/>
      <c r="RDS553" s="178"/>
      <c r="RDT553" s="178"/>
      <c r="RDU553" s="178"/>
      <c r="RDV553" s="178"/>
      <c r="RDW553" s="178"/>
      <c r="RDX553" s="178"/>
      <c r="RDY553" s="178"/>
      <c r="RDZ553" s="178"/>
      <c r="REA553" s="178"/>
      <c r="REB553" s="178"/>
      <c r="REC553" s="178"/>
      <c r="RED553" s="178"/>
      <c r="REE553" s="178"/>
      <c r="REF553" s="178"/>
      <c r="REG553" s="178"/>
      <c r="REH553" s="178"/>
      <c r="REI553" s="178"/>
      <c r="REJ553" s="178"/>
      <c r="REK553" s="178"/>
      <c r="REL553" s="178"/>
      <c r="REM553" s="178"/>
      <c r="REN553" s="178"/>
      <c r="REO553" s="178"/>
      <c r="REP553" s="178"/>
      <c r="REQ553" s="178"/>
      <c r="RER553" s="178"/>
      <c r="RES553" s="178"/>
      <c r="RET553" s="178"/>
      <c r="REU553" s="178"/>
      <c r="REV553" s="178"/>
      <c r="REW553" s="178"/>
      <c r="REX553" s="178"/>
      <c r="REY553" s="178"/>
      <c r="REZ553" s="178"/>
      <c r="RFA553" s="178"/>
      <c r="RFB553" s="178"/>
      <c r="RFC553" s="178"/>
      <c r="RFD553" s="178"/>
      <c r="RFE553" s="178"/>
      <c r="RFF553" s="178"/>
      <c r="RFG553" s="178"/>
      <c r="RFH553" s="178"/>
      <c r="RFI553" s="178"/>
      <c r="RFJ553" s="178"/>
      <c r="RFK553" s="178"/>
      <c r="RFL553" s="178"/>
      <c r="RFM553" s="178"/>
      <c r="RFN553" s="178"/>
      <c r="RFO553" s="178"/>
      <c r="RFP553" s="178"/>
      <c r="RFQ553" s="178"/>
      <c r="RFR553" s="178"/>
      <c r="RFS553" s="178"/>
      <c r="RFT553" s="178"/>
      <c r="RFU553" s="178"/>
      <c r="RFV553" s="178"/>
      <c r="RFW553" s="178"/>
      <c r="RFX553" s="178"/>
      <c r="RFY553" s="178"/>
      <c r="RFZ553" s="178"/>
      <c r="RGA553" s="178"/>
      <c r="RGB553" s="178"/>
      <c r="RGC553" s="178"/>
      <c r="RGD553" s="178"/>
      <c r="RGE553" s="178"/>
      <c r="RGF553" s="178"/>
      <c r="RGG553" s="178"/>
      <c r="RGH553" s="178"/>
      <c r="RGI553" s="178"/>
      <c r="RGJ553" s="178"/>
      <c r="RGK553" s="178"/>
      <c r="RGL553" s="178"/>
      <c r="RGM553" s="178"/>
      <c r="RGN553" s="178"/>
      <c r="RGO553" s="178"/>
      <c r="RGP553" s="178"/>
      <c r="RGQ553" s="178"/>
      <c r="RGR553" s="178"/>
      <c r="RGS553" s="178"/>
      <c r="RGT553" s="178"/>
      <c r="RGU553" s="178"/>
      <c r="RGV553" s="178"/>
      <c r="RGW553" s="178"/>
      <c r="RGX553" s="178"/>
      <c r="RGY553" s="178"/>
      <c r="RGZ553" s="178"/>
      <c r="RHA553" s="178"/>
      <c r="RHB553" s="178"/>
      <c r="RHC553" s="178"/>
      <c r="RHD553" s="178"/>
      <c r="RHE553" s="178"/>
      <c r="RHF553" s="178"/>
      <c r="RHG553" s="178"/>
      <c r="RHH553" s="178"/>
      <c r="RHI553" s="178"/>
      <c r="RHJ553" s="178"/>
      <c r="RHK553" s="178"/>
      <c r="RHL553" s="178"/>
      <c r="RHM553" s="178"/>
      <c r="RHN553" s="178"/>
      <c r="RHO553" s="178"/>
      <c r="RHP553" s="178"/>
      <c r="RHQ553" s="178"/>
      <c r="RHR553" s="178"/>
      <c r="RHS553" s="178"/>
      <c r="RHT553" s="178"/>
      <c r="RHU553" s="178"/>
      <c r="RHV553" s="178"/>
      <c r="RHW553" s="178"/>
      <c r="RHX553" s="178"/>
      <c r="RHY553" s="178"/>
      <c r="RHZ553" s="178"/>
      <c r="RIA553" s="178"/>
      <c r="RIB553" s="178"/>
      <c r="RIC553" s="178"/>
      <c r="RID553" s="178"/>
      <c r="RIE553" s="178"/>
      <c r="RIF553" s="178"/>
      <c r="RIG553" s="178"/>
      <c r="RIH553" s="178"/>
      <c r="RII553" s="178"/>
      <c r="RIJ553" s="178"/>
      <c r="RIK553" s="178"/>
      <c r="RIL553" s="178"/>
      <c r="RIM553" s="178"/>
      <c r="RIN553" s="178"/>
      <c r="RIO553" s="178"/>
      <c r="RIP553" s="178"/>
      <c r="RIQ553" s="178"/>
      <c r="RIR553" s="178"/>
      <c r="RIS553" s="178"/>
      <c r="RIT553" s="178"/>
      <c r="RIU553" s="178"/>
      <c r="RIV553" s="178"/>
      <c r="RIW553" s="178"/>
      <c r="RIX553" s="178"/>
      <c r="RIY553" s="178"/>
      <c r="RIZ553" s="178"/>
      <c r="RJA553" s="178"/>
      <c r="RJB553" s="178"/>
      <c r="RJC553" s="178"/>
      <c r="RJD553" s="178"/>
      <c r="RJE553" s="178"/>
      <c r="RJF553" s="178"/>
      <c r="RJG553" s="178"/>
      <c r="RJH553" s="178"/>
      <c r="RJI553" s="178"/>
      <c r="RJJ553" s="178"/>
      <c r="RJK553" s="178"/>
      <c r="RJL553" s="178"/>
      <c r="RJM553" s="178"/>
      <c r="RJN553" s="178"/>
      <c r="RJO553" s="178"/>
      <c r="RJP553" s="178"/>
      <c r="RJQ553" s="178"/>
      <c r="RJR553" s="178"/>
      <c r="RJS553" s="178"/>
      <c r="RJT553" s="178"/>
      <c r="RJU553" s="178"/>
      <c r="RJV553" s="178"/>
      <c r="RJW553" s="178"/>
      <c r="RJX553" s="178"/>
      <c r="RJY553" s="178"/>
      <c r="RJZ553" s="178"/>
      <c r="RKA553" s="178"/>
      <c r="RKB553" s="178"/>
      <c r="RKC553" s="178"/>
      <c r="RKD553" s="178"/>
      <c r="RKE553" s="178"/>
      <c r="RKF553" s="178"/>
      <c r="RKG553" s="178"/>
      <c r="RKH553" s="178"/>
      <c r="RKI553" s="178"/>
      <c r="RKJ553" s="178"/>
      <c r="RKK553" s="178"/>
      <c r="RKL553" s="178"/>
      <c r="RKM553" s="178"/>
      <c r="RKN553" s="178"/>
      <c r="RKO553" s="178"/>
      <c r="RKP553" s="178"/>
      <c r="RKQ553" s="178"/>
      <c r="RKR553" s="178"/>
      <c r="RKS553" s="178"/>
      <c r="RKT553" s="178"/>
      <c r="RKU553" s="178"/>
      <c r="RKV553" s="178"/>
      <c r="RKW553" s="178"/>
      <c r="RKX553" s="178"/>
      <c r="RKY553" s="178"/>
      <c r="RKZ553" s="178"/>
      <c r="RLA553" s="178"/>
      <c r="RLB553" s="178"/>
      <c r="RLC553" s="178"/>
      <c r="RLD553" s="178"/>
      <c r="RLE553" s="178"/>
      <c r="RLF553" s="178"/>
      <c r="RLG553" s="178"/>
      <c r="RLH553" s="178"/>
      <c r="RLI553" s="178"/>
      <c r="RLJ553" s="178"/>
      <c r="RLK553" s="178"/>
      <c r="RLL553" s="178"/>
      <c r="RLM553" s="178"/>
      <c r="RLN553" s="178"/>
      <c r="RLO553" s="178"/>
      <c r="RLP553" s="178"/>
      <c r="RLQ553" s="178"/>
      <c r="RLR553" s="178"/>
      <c r="RLS553" s="178"/>
      <c r="RLT553" s="178"/>
      <c r="RLU553" s="178"/>
      <c r="RLV553" s="178"/>
      <c r="RLW553" s="178"/>
      <c r="RLX553" s="178"/>
      <c r="RLY553" s="178"/>
      <c r="RLZ553" s="178"/>
      <c r="RMA553" s="178"/>
      <c r="RMB553" s="178"/>
      <c r="RMC553" s="178"/>
      <c r="RMD553" s="178"/>
      <c r="RME553" s="178"/>
      <c r="RMF553" s="178"/>
      <c r="RMG553" s="178"/>
      <c r="RMH553" s="178"/>
      <c r="RMI553" s="178"/>
      <c r="RMJ553" s="178"/>
      <c r="RMK553" s="178"/>
      <c r="RML553" s="178"/>
      <c r="RMM553" s="178"/>
      <c r="RMN553" s="178"/>
      <c r="RMO553" s="178"/>
      <c r="RMP553" s="178"/>
      <c r="RMQ553" s="178"/>
      <c r="RMR553" s="178"/>
      <c r="RMS553" s="178"/>
      <c r="RMT553" s="178"/>
      <c r="RMU553" s="178"/>
      <c r="RMV553" s="178"/>
      <c r="RMW553" s="178"/>
      <c r="RMX553" s="178"/>
      <c r="RMY553" s="178"/>
      <c r="RMZ553" s="178"/>
      <c r="RNA553" s="178"/>
      <c r="RNB553" s="178"/>
      <c r="RNC553" s="178"/>
      <c r="RND553" s="178"/>
      <c r="RNE553" s="178"/>
      <c r="RNF553" s="178"/>
      <c r="RNG553" s="178"/>
      <c r="RNH553" s="178"/>
      <c r="RNI553" s="178"/>
      <c r="RNJ553" s="178"/>
      <c r="RNK553" s="178"/>
      <c r="RNL553" s="178"/>
      <c r="RNM553" s="178"/>
      <c r="RNN553" s="178"/>
      <c r="RNO553" s="178"/>
      <c r="RNP553" s="178"/>
      <c r="RNQ553" s="178"/>
      <c r="RNR553" s="178"/>
      <c r="RNS553" s="178"/>
      <c r="RNT553" s="178"/>
      <c r="RNU553" s="178"/>
      <c r="RNV553" s="178"/>
      <c r="RNW553" s="178"/>
      <c r="RNX553" s="178"/>
      <c r="RNY553" s="178"/>
      <c r="RNZ553" s="178"/>
      <c r="ROA553" s="178"/>
      <c r="ROB553" s="178"/>
      <c r="ROC553" s="178"/>
      <c r="ROD553" s="178"/>
      <c r="ROE553" s="178"/>
      <c r="ROF553" s="178"/>
      <c r="ROG553" s="178"/>
      <c r="ROH553" s="178"/>
      <c r="ROI553" s="178"/>
      <c r="ROJ553" s="178"/>
      <c r="ROK553" s="178"/>
      <c r="ROL553" s="178"/>
      <c r="ROM553" s="178"/>
      <c r="RON553" s="178"/>
      <c r="ROO553" s="178"/>
      <c r="ROP553" s="178"/>
      <c r="ROQ553" s="178"/>
      <c r="ROR553" s="178"/>
      <c r="ROS553" s="178"/>
      <c r="ROT553" s="178"/>
      <c r="ROU553" s="178"/>
      <c r="ROV553" s="178"/>
      <c r="ROW553" s="178"/>
      <c r="ROX553" s="178"/>
      <c r="ROY553" s="178"/>
      <c r="ROZ553" s="178"/>
      <c r="RPA553" s="178"/>
      <c r="RPB553" s="178"/>
      <c r="RPC553" s="178"/>
      <c r="RPD553" s="178"/>
      <c r="RPE553" s="178"/>
      <c r="RPF553" s="178"/>
      <c r="RPG553" s="178"/>
      <c r="RPH553" s="178"/>
      <c r="RPI553" s="178"/>
      <c r="RPJ553" s="178"/>
      <c r="RPK553" s="178"/>
      <c r="RPL553" s="178"/>
      <c r="RPM553" s="178"/>
      <c r="RPN553" s="178"/>
      <c r="RPO553" s="178"/>
      <c r="RPP553" s="178"/>
      <c r="RPQ553" s="178"/>
      <c r="RPR553" s="178"/>
      <c r="RPS553" s="178"/>
      <c r="RPT553" s="178"/>
      <c r="RPU553" s="178"/>
      <c r="RPV553" s="178"/>
      <c r="RPW553" s="178"/>
      <c r="RPX553" s="178"/>
      <c r="RPY553" s="178"/>
      <c r="RPZ553" s="178"/>
      <c r="RQA553" s="178"/>
      <c r="RQB553" s="178"/>
      <c r="RQC553" s="178"/>
      <c r="RQD553" s="178"/>
      <c r="RQE553" s="178"/>
      <c r="RQF553" s="178"/>
      <c r="RQG553" s="178"/>
      <c r="RQH553" s="178"/>
      <c r="RQI553" s="178"/>
      <c r="RQJ553" s="178"/>
      <c r="RQK553" s="178"/>
      <c r="RQL553" s="178"/>
      <c r="RQM553" s="178"/>
      <c r="RQN553" s="178"/>
      <c r="RQO553" s="178"/>
      <c r="RQP553" s="178"/>
      <c r="RQQ553" s="178"/>
      <c r="RQR553" s="178"/>
      <c r="RQS553" s="178"/>
      <c r="RQT553" s="178"/>
      <c r="RQU553" s="178"/>
      <c r="RQV553" s="178"/>
      <c r="RQW553" s="178"/>
      <c r="RQX553" s="178"/>
      <c r="RQY553" s="178"/>
      <c r="RQZ553" s="178"/>
      <c r="RRA553" s="178"/>
      <c r="RRB553" s="178"/>
      <c r="RRC553" s="178"/>
      <c r="RRD553" s="178"/>
      <c r="RRE553" s="178"/>
      <c r="RRF553" s="178"/>
      <c r="RRG553" s="178"/>
      <c r="RRH553" s="178"/>
      <c r="RRI553" s="178"/>
      <c r="RRJ553" s="178"/>
      <c r="RRK553" s="178"/>
      <c r="RRL553" s="178"/>
      <c r="RRM553" s="178"/>
      <c r="RRN553" s="178"/>
      <c r="RRO553" s="178"/>
      <c r="RRP553" s="178"/>
      <c r="RRQ553" s="178"/>
      <c r="RRR553" s="178"/>
      <c r="RRS553" s="178"/>
      <c r="RRT553" s="178"/>
      <c r="RRU553" s="178"/>
      <c r="RRV553" s="178"/>
      <c r="RRW553" s="178"/>
      <c r="RRX553" s="178"/>
      <c r="RRY553" s="178"/>
      <c r="RRZ553" s="178"/>
      <c r="RSA553" s="178"/>
      <c r="RSB553" s="178"/>
      <c r="RSC553" s="178"/>
      <c r="RSD553" s="178"/>
      <c r="RSE553" s="178"/>
      <c r="RSF553" s="178"/>
      <c r="RSG553" s="178"/>
      <c r="RSH553" s="178"/>
      <c r="RSI553" s="178"/>
      <c r="RSJ553" s="178"/>
      <c r="RSK553" s="178"/>
      <c r="RSL553" s="178"/>
      <c r="RSM553" s="178"/>
      <c r="RSN553" s="178"/>
      <c r="RSO553" s="178"/>
      <c r="RSP553" s="178"/>
      <c r="RSQ553" s="178"/>
      <c r="RSR553" s="178"/>
      <c r="RSS553" s="178"/>
      <c r="RST553" s="178"/>
      <c r="RSU553" s="178"/>
      <c r="RSV553" s="178"/>
      <c r="RSW553" s="178"/>
      <c r="RSX553" s="178"/>
      <c r="RSY553" s="178"/>
      <c r="RSZ553" s="178"/>
      <c r="RTA553" s="178"/>
      <c r="RTB553" s="178"/>
      <c r="RTC553" s="178"/>
      <c r="RTD553" s="178"/>
      <c r="RTE553" s="178"/>
      <c r="RTF553" s="178"/>
      <c r="RTG553" s="178"/>
      <c r="RTH553" s="178"/>
      <c r="RTI553" s="178"/>
      <c r="RTJ553" s="178"/>
      <c r="RTK553" s="178"/>
      <c r="RTL553" s="178"/>
      <c r="RTM553" s="178"/>
      <c r="RTN553" s="178"/>
      <c r="RTO553" s="178"/>
      <c r="RTP553" s="178"/>
      <c r="RTQ553" s="178"/>
      <c r="RTR553" s="178"/>
      <c r="RTS553" s="178"/>
      <c r="RTT553" s="178"/>
      <c r="RTU553" s="178"/>
      <c r="RTV553" s="178"/>
      <c r="RTW553" s="178"/>
      <c r="RTX553" s="178"/>
      <c r="RTY553" s="178"/>
      <c r="RTZ553" s="178"/>
      <c r="RUA553" s="178"/>
      <c r="RUB553" s="178"/>
      <c r="RUC553" s="178"/>
      <c r="RUD553" s="178"/>
      <c r="RUE553" s="178"/>
      <c r="RUF553" s="178"/>
      <c r="RUG553" s="178"/>
      <c r="RUH553" s="178"/>
      <c r="RUI553" s="178"/>
      <c r="RUJ553" s="178"/>
      <c r="RUK553" s="178"/>
      <c r="RUL553" s="178"/>
      <c r="RUM553" s="178"/>
      <c r="RUN553" s="178"/>
      <c r="RUO553" s="178"/>
      <c r="RUP553" s="178"/>
      <c r="RUQ553" s="178"/>
      <c r="RUR553" s="178"/>
      <c r="RUS553" s="178"/>
      <c r="RUT553" s="178"/>
      <c r="RUU553" s="178"/>
      <c r="RUV553" s="178"/>
      <c r="RUW553" s="178"/>
      <c r="RUX553" s="178"/>
      <c r="RUY553" s="178"/>
      <c r="RUZ553" s="178"/>
      <c r="RVA553" s="178"/>
      <c r="RVB553" s="178"/>
      <c r="RVC553" s="178"/>
      <c r="RVD553" s="178"/>
      <c r="RVE553" s="178"/>
      <c r="RVF553" s="178"/>
      <c r="RVG553" s="178"/>
      <c r="RVH553" s="178"/>
      <c r="RVI553" s="178"/>
      <c r="RVJ553" s="178"/>
      <c r="RVK553" s="178"/>
      <c r="RVL553" s="178"/>
      <c r="RVM553" s="178"/>
      <c r="RVN553" s="178"/>
      <c r="RVO553" s="178"/>
      <c r="RVP553" s="178"/>
      <c r="RVQ553" s="178"/>
      <c r="RVR553" s="178"/>
      <c r="RVS553" s="178"/>
      <c r="RVT553" s="178"/>
      <c r="RVU553" s="178"/>
      <c r="RVV553" s="178"/>
      <c r="RVW553" s="178"/>
      <c r="RVX553" s="178"/>
      <c r="RVY553" s="178"/>
      <c r="RVZ553" s="178"/>
      <c r="RWA553" s="178"/>
      <c r="RWB553" s="178"/>
      <c r="RWC553" s="178"/>
      <c r="RWD553" s="178"/>
      <c r="RWE553" s="178"/>
      <c r="RWF553" s="178"/>
      <c r="RWG553" s="178"/>
      <c r="RWH553" s="178"/>
      <c r="RWI553" s="178"/>
      <c r="RWJ553" s="178"/>
      <c r="RWK553" s="178"/>
      <c r="RWL553" s="178"/>
      <c r="RWM553" s="178"/>
      <c r="RWN553" s="178"/>
      <c r="RWO553" s="178"/>
      <c r="RWP553" s="178"/>
      <c r="RWQ553" s="178"/>
      <c r="RWR553" s="178"/>
      <c r="RWS553" s="178"/>
      <c r="RWT553" s="178"/>
      <c r="RWU553" s="178"/>
      <c r="RWV553" s="178"/>
      <c r="RWW553" s="178"/>
      <c r="RWX553" s="178"/>
      <c r="RWY553" s="178"/>
      <c r="RWZ553" s="178"/>
      <c r="RXA553" s="178"/>
      <c r="RXB553" s="178"/>
      <c r="RXC553" s="178"/>
      <c r="RXD553" s="178"/>
      <c r="RXE553" s="178"/>
      <c r="RXF553" s="178"/>
      <c r="RXG553" s="178"/>
      <c r="RXH553" s="178"/>
      <c r="RXI553" s="178"/>
      <c r="RXJ553" s="178"/>
      <c r="RXK553" s="178"/>
      <c r="RXL553" s="178"/>
      <c r="RXM553" s="178"/>
      <c r="RXN553" s="178"/>
      <c r="RXO553" s="178"/>
      <c r="RXP553" s="178"/>
      <c r="RXQ553" s="178"/>
      <c r="RXR553" s="178"/>
      <c r="RXS553" s="178"/>
      <c r="RXT553" s="178"/>
      <c r="RXU553" s="178"/>
      <c r="RXV553" s="178"/>
      <c r="RXW553" s="178"/>
      <c r="RXX553" s="178"/>
      <c r="RXY553" s="178"/>
      <c r="RXZ553" s="178"/>
      <c r="RYA553" s="178"/>
      <c r="RYB553" s="178"/>
      <c r="RYC553" s="178"/>
      <c r="RYD553" s="178"/>
      <c r="RYE553" s="178"/>
      <c r="RYF553" s="178"/>
      <c r="RYG553" s="178"/>
      <c r="RYH553" s="178"/>
      <c r="RYI553" s="178"/>
      <c r="RYJ553" s="178"/>
      <c r="RYK553" s="178"/>
      <c r="RYL553" s="178"/>
      <c r="RYM553" s="178"/>
      <c r="RYN553" s="178"/>
      <c r="RYO553" s="178"/>
      <c r="RYP553" s="178"/>
      <c r="RYQ553" s="178"/>
      <c r="RYR553" s="178"/>
      <c r="RYS553" s="178"/>
      <c r="RYT553" s="178"/>
      <c r="RYU553" s="178"/>
      <c r="RYV553" s="178"/>
      <c r="RYW553" s="178"/>
      <c r="RYX553" s="178"/>
      <c r="RYY553" s="178"/>
      <c r="RYZ553" s="178"/>
      <c r="RZA553" s="178"/>
      <c r="RZB553" s="178"/>
      <c r="RZC553" s="178"/>
      <c r="RZD553" s="178"/>
      <c r="RZE553" s="178"/>
      <c r="RZF553" s="178"/>
      <c r="RZG553" s="178"/>
      <c r="RZH553" s="178"/>
      <c r="RZI553" s="178"/>
      <c r="RZJ553" s="178"/>
      <c r="RZK553" s="178"/>
      <c r="RZL553" s="178"/>
      <c r="RZM553" s="178"/>
      <c r="RZN553" s="178"/>
      <c r="RZO553" s="178"/>
      <c r="RZP553" s="178"/>
      <c r="RZQ553" s="178"/>
      <c r="RZR553" s="178"/>
      <c r="RZS553" s="178"/>
      <c r="RZT553" s="178"/>
      <c r="RZU553" s="178"/>
      <c r="RZV553" s="178"/>
      <c r="RZW553" s="178"/>
      <c r="RZX553" s="178"/>
      <c r="RZY553" s="178"/>
      <c r="RZZ553" s="178"/>
      <c r="SAA553" s="178"/>
      <c r="SAB553" s="178"/>
      <c r="SAC553" s="178"/>
      <c r="SAD553" s="178"/>
      <c r="SAE553" s="178"/>
      <c r="SAF553" s="178"/>
      <c r="SAG553" s="178"/>
      <c r="SAH553" s="178"/>
      <c r="SAI553" s="178"/>
      <c r="SAJ553" s="178"/>
      <c r="SAK553" s="178"/>
      <c r="SAL553" s="178"/>
      <c r="SAM553" s="178"/>
      <c r="SAN553" s="178"/>
      <c r="SAO553" s="178"/>
      <c r="SAP553" s="178"/>
      <c r="SAQ553" s="178"/>
      <c r="SAR553" s="178"/>
      <c r="SAS553" s="178"/>
      <c r="SAT553" s="178"/>
      <c r="SAU553" s="178"/>
      <c r="SAV553" s="178"/>
      <c r="SAW553" s="178"/>
      <c r="SAX553" s="178"/>
      <c r="SAY553" s="178"/>
      <c r="SAZ553" s="178"/>
      <c r="SBA553" s="178"/>
      <c r="SBB553" s="178"/>
      <c r="SBC553" s="178"/>
      <c r="SBD553" s="178"/>
      <c r="SBE553" s="178"/>
      <c r="SBF553" s="178"/>
      <c r="SBG553" s="178"/>
      <c r="SBH553" s="178"/>
      <c r="SBI553" s="178"/>
      <c r="SBJ553" s="178"/>
      <c r="SBK553" s="178"/>
      <c r="SBL553" s="178"/>
      <c r="SBM553" s="178"/>
      <c r="SBN553" s="178"/>
      <c r="SBO553" s="178"/>
      <c r="SBP553" s="178"/>
      <c r="SBQ553" s="178"/>
      <c r="SBR553" s="178"/>
      <c r="SBS553" s="178"/>
      <c r="SBT553" s="178"/>
      <c r="SBU553" s="178"/>
      <c r="SBV553" s="178"/>
      <c r="SBW553" s="178"/>
      <c r="SBX553" s="178"/>
      <c r="SBY553" s="178"/>
      <c r="SBZ553" s="178"/>
      <c r="SCA553" s="178"/>
      <c r="SCB553" s="178"/>
      <c r="SCC553" s="178"/>
      <c r="SCD553" s="178"/>
      <c r="SCE553" s="178"/>
      <c r="SCF553" s="178"/>
      <c r="SCG553" s="178"/>
      <c r="SCH553" s="178"/>
      <c r="SCI553" s="178"/>
      <c r="SCJ553" s="178"/>
      <c r="SCK553" s="178"/>
      <c r="SCL553" s="178"/>
      <c r="SCM553" s="178"/>
      <c r="SCN553" s="178"/>
      <c r="SCO553" s="178"/>
      <c r="SCP553" s="178"/>
      <c r="SCQ553" s="178"/>
      <c r="SCR553" s="178"/>
      <c r="SCS553" s="178"/>
      <c r="SCT553" s="178"/>
      <c r="SCU553" s="178"/>
      <c r="SCV553" s="178"/>
      <c r="SCW553" s="178"/>
      <c r="SCX553" s="178"/>
      <c r="SCY553" s="178"/>
      <c r="SCZ553" s="178"/>
      <c r="SDA553" s="178"/>
      <c r="SDB553" s="178"/>
      <c r="SDC553" s="178"/>
      <c r="SDD553" s="178"/>
      <c r="SDE553" s="178"/>
      <c r="SDF553" s="178"/>
      <c r="SDG553" s="178"/>
      <c r="SDH553" s="178"/>
      <c r="SDI553" s="178"/>
      <c r="SDJ553" s="178"/>
      <c r="SDK553" s="178"/>
      <c r="SDL553" s="178"/>
      <c r="SDM553" s="178"/>
      <c r="SDN553" s="178"/>
      <c r="SDO553" s="178"/>
      <c r="SDP553" s="178"/>
      <c r="SDQ553" s="178"/>
      <c r="SDR553" s="178"/>
      <c r="SDS553" s="178"/>
      <c r="SDT553" s="178"/>
      <c r="SDU553" s="178"/>
      <c r="SDV553" s="178"/>
      <c r="SDW553" s="178"/>
      <c r="SDX553" s="178"/>
      <c r="SDY553" s="178"/>
      <c r="SDZ553" s="178"/>
      <c r="SEA553" s="178"/>
      <c r="SEB553" s="178"/>
      <c r="SEC553" s="178"/>
      <c r="SED553" s="178"/>
      <c r="SEE553" s="178"/>
      <c r="SEF553" s="178"/>
      <c r="SEG553" s="178"/>
      <c r="SEH553" s="178"/>
      <c r="SEI553" s="178"/>
      <c r="SEJ553" s="178"/>
      <c r="SEK553" s="178"/>
      <c r="SEL553" s="178"/>
      <c r="SEM553" s="178"/>
      <c r="SEN553" s="178"/>
      <c r="SEO553" s="178"/>
      <c r="SEP553" s="178"/>
      <c r="SEQ553" s="178"/>
      <c r="SER553" s="178"/>
      <c r="SES553" s="178"/>
      <c r="SET553" s="178"/>
      <c r="SEU553" s="178"/>
      <c r="SEV553" s="178"/>
      <c r="SEW553" s="178"/>
      <c r="SEX553" s="178"/>
      <c r="SEY553" s="178"/>
      <c r="SEZ553" s="178"/>
      <c r="SFA553" s="178"/>
      <c r="SFB553" s="178"/>
      <c r="SFC553" s="178"/>
      <c r="SFD553" s="178"/>
      <c r="SFE553" s="178"/>
      <c r="SFF553" s="178"/>
      <c r="SFG553" s="178"/>
      <c r="SFH553" s="178"/>
      <c r="SFI553" s="178"/>
      <c r="SFJ553" s="178"/>
      <c r="SFK553" s="178"/>
      <c r="SFL553" s="178"/>
      <c r="SFM553" s="178"/>
      <c r="SFN553" s="178"/>
      <c r="SFO553" s="178"/>
      <c r="SFP553" s="178"/>
      <c r="SFQ553" s="178"/>
      <c r="SFR553" s="178"/>
      <c r="SFS553" s="178"/>
      <c r="SFT553" s="178"/>
      <c r="SFU553" s="178"/>
      <c r="SFV553" s="178"/>
      <c r="SFW553" s="178"/>
      <c r="SFX553" s="178"/>
      <c r="SFY553" s="178"/>
      <c r="SFZ553" s="178"/>
      <c r="SGA553" s="178"/>
      <c r="SGB553" s="178"/>
      <c r="SGC553" s="178"/>
      <c r="SGD553" s="178"/>
      <c r="SGE553" s="178"/>
      <c r="SGF553" s="178"/>
      <c r="SGG553" s="178"/>
      <c r="SGH553" s="178"/>
      <c r="SGI553" s="178"/>
      <c r="SGJ553" s="178"/>
      <c r="SGK553" s="178"/>
      <c r="SGL553" s="178"/>
      <c r="SGM553" s="178"/>
      <c r="SGN553" s="178"/>
      <c r="SGO553" s="178"/>
      <c r="SGP553" s="178"/>
      <c r="SGQ553" s="178"/>
      <c r="SGR553" s="178"/>
      <c r="SGS553" s="178"/>
      <c r="SGT553" s="178"/>
      <c r="SGU553" s="178"/>
      <c r="SGV553" s="178"/>
      <c r="SGW553" s="178"/>
      <c r="SGX553" s="178"/>
      <c r="SGY553" s="178"/>
      <c r="SGZ553" s="178"/>
      <c r="SHA553" s="178"/>
      <c r="SHB553" s="178"/>
      <c r="SHC553" s="178"/>
      <c r="SHD553" s="178"/>
      <c r="SHE553" s="178"/>
      <c r="SHF553" s="178"/>
      <c r="SHG553" s="178"/>
      <c r="SHH553" s="178"/>
      <c r="SHI553" s="178"/>
      <c r="SHJ553" s="178"/>
      <c r="SHK553" s="178"/>
      <c r="SHL553" s="178"/>
      <c r="SHM553" s="178"/>
      <c r="SHN553" s="178"/>
      <c r="SHO553" s="178"/>
      <c r="SHP553" s="178"/>
      <c r="SHQ553" s="178"/>
      <c r="SHR553" s="178"/>
      <c r="SHS553" s="178"/>
      <c r="SHT553" s="178"/>
      <c r="SHU553" s="178"/>
      <c r="SHV553" s="178"/>
      <c r="SHW553" s="178"/>
      <c r="SHX553" s="178"/>
      <c r="SHY553" s="178"/>
      <c r="SHZ553" s="178"/>
      <c r="SIA553" s="178"/>
      <c r="SIB553" s="178"/>
      <c r="SIC553" s="178"/>
      <c r="SID553" s="178"/>
      <c r="SIE553" s="178"/>
      <c r="SIF553" s="178"/>
      <c r="SIG553" s="178"/>
      <c r="SIH553" s="178"/>
      <c r="SII553" s="178"/>
      <c r="SIJ553" s="178"/>
      <c r="SIK553" s="178"/>
      <c r="SIL553" s="178"/>
      <c r="SIM553" s="178"/>
      <c r="SIN553" s="178"/>
      <c r="SIO553" s="178"/>
      <c r="SIP553" s="178"/>
      <c r="SIQ553" s="178"/>
      <c r="SIR553" s="178"/>
      <c r="SIS553" s="178"/>
      <c r="SIT553" s="178"/>
      <c r="SIU553" s="178"/>
      <c r="SIV553" s="178"/>
      <c r="SIW553" s="178"/>
      <c r="SIX553" s="178"/>
      <c r="SIY553" s="178"/>
      <c r="SIZ553" s="178"/>
      <c r="SJA553" s="178"/>
      <c r="SJB553" s="178"/>
      <c r="SJC553" s="178"/>
      <c r="SJD553" s="178"/>
      <c r="SJE553" s="178"/>
      <c r="SJF553" s="178"/>
      <c r="SJG553" s="178"/>
      <c r="SJH553" s="178"/>
      <c r="SJI553" s="178"/>
      <c r="SJJ553" s="178"/>
      <c r="SJK553" s="178"/>
      <c r="SJL553" s="178"/>
      <c r="SJM553" s="178"/>
      <c r="SJN553" s="178"/>
      <c r="SJO553" s="178"/>
      <c r="SJP553" s="178"/>
      <c r="SJQ553" s="178"/>
      <c r="SJR553" s="178"/>
      <c r="SJS553" s="178"/>
      <c r="SJT553" s="178"/>
      <c r="SJU553" s="178"/>
      <c r="SJV553" s="178"/>
      <c r="SJW553" s="178"/>
      <c r="SJX553" s="178"/>
      <c r="SJY553" s="178"/>
      <c r="SJZ553" s="178"/>
      <c r="SKA553" s="178"/>
      <c r="SKB553" s="178"/>
      <c r="SKC553" s="178"/>
      <c r="SKD553" s="178"/>
      <c r="SKE553" s="178"/>
      <c r="SKF553" s="178"/>
      <c r="SKG553" s="178"/>
      <c r="SKH553" s="178"/>
      <c r="SKI553" s="178"/>
      <c r="SKJ553" s="178"/>
      <c r="SKK553" s="178"/>
      <c r="SKL553" s="178"/>
      <c r="SKM553" s="178"/>
      <c r="SKN553" s="178"/>
      <c r="SKO553" s="178"/>
      <c r="SKP553" s="178"/>
      <c r="SKQ553" s="178"/>
      <c r="SKR553" s="178"/>
      <c r="SKS553" s="178"/>
      <c r="SKT553" s="178"/>
      <c r="SKU553" s="178"/>
      <c r="SKV553" s="178"/>
      <c r="SKW553" s="178"/>
      <c r="SKX553" s="178"/>
      <c r="SKY553" s="178"/>
      <c r="SKZ553" s="178"/>
      <c r="SLA553" s="178"/>
      <c r="SLB553" s="178"/>
      <c r="SLC553" s="178"/>
      <c r="SLD553" s="178"/>
      <c r="SLE553" s="178"/>
      <c r="SLF553" s="178"/>
      <c r="SLG553" s="178"/>
      <c r="SLH553" s="178"/>
      <c r="SLI553" s="178"/>
      <c r="SLJ553" s="178"/>
      <c r="SLK553" s="178"/>
      <c r="SLL553" s="178"/>
      <c r="SLM553" s="178"/>
      <c r="SLN553" s="178"/>
      <c r="SLO553" s="178"/>
      <c r="SLP553" s="178"/>
      <c r="SLQ553" s="178"/>
      <c r="SLR553" s="178"/>
      <c r="SLS553" s="178"/>
      <c r="SLT553" s="178"/>
      <c r="SLU553" s="178"/>
      <c r="SLV553" s="178"/>
      <c r="SLW553" s="178"/>
      <c r="SLX553" s="178"/>
      <c r="SLY553" s="178"/>
      <c r="SLZ553" s="178"/>
      <c r="SMA553" s="178"/>
      <c r="SMB553" s="178"/>
      <c r="SMC553" s="178"/>
      <c r="SMD553" s="178"/>
      <c r="SME553" s="178"/>
      <c r="SMF553" s="178"/>
      <c r="SMG553" s="178"/>
      <c r="SMH553" s="178"/>
      <c r="SMI553" s="178"/>
      <c r="SMJ553" s="178"/>
      <c r="SMK553" s="178"/>
      <c r="SML553" s="178"/>
      <c r="SMM553" s="178"/>
      <c r="SMN553" s="178"/>
      <c r="SMO553" s="178"/>
      <c r="SMP553" s="178"/>
      <c r="SMQ553" s="178"/>
      <c r="SMR553" s="178"/>
      <c r="SMS553" s="178"/>
      <c r="SMT553" s="178"/>
      <c r="SMU553" s="178"/>
      <c r="SMV553" s="178"/>
      <c r="SMW553" s="178"/>
      <c r="SMX553" s="178"/>
      <c r="SMY553" s="178"/>
      <c r="SMZ553" s="178"/>
      <c r="SNA553" s="178"/>
      <c r="SNB553" s="178"/>
      <c r="SNC553" s="178"/>
      <c r="SND553" s="178"/>
      <c r="SNE553" s="178"/>
      <c r="SNF553" s="178"/>
      <c r="SNG553" s="178"/>
      <c r="SNH553" s="178"/>
      <c r="SNI553" s="178"/>
      <c r="SNJ553" s="178"/>
      <c r="SNK553" s="178"/>
      <c r="SNL553" s="178"/>
      <c r="SNM553" s="178"/>
      <c r="SNN553" s="178"/>
      <c r="SNO553" s="178"/>
      <c r="SNP553" s="178"/>
      <c r="SNQ553" s="178"/>
      <c r="SNR553" s="178"/>
      <c r="SNS553" s="178"/>
      <c r="SNT553" s="178"/>
      <c r="SNU553" s="178"/>
      <c r="SNV553" s="178"/>
      <c r="SNW553" s="178"/>
      <c r="SNX553" s="178"/>
      <c r="SNY553" s="178"/>
      <c r="SNZ553" s="178"/>
      <c r="SOA553" s="178"/>
      <c r="SOB553" s="178"/>
      <c r="SOC553" s="178"/>
      <c r="SOD553" s="178"/>
      <c r="SOE553" s="178"/>
      <c r="SOF553" s="178"/>
      <c r="SOG553" s="178"/>
      <c r="SOH553" s="178"/>
      <c r="SOI553" s="178"/>
      <c r="SOJ553" s="178"/>
      <c r="SOK553" s="178"/>
      <c r="SOL553" s="178"/>
      <c r="SOM553" s="178"/>
      <c r="SON553" s="178"/>
      <c r="SOO553" s="178"/>
      <c r="SOP553" s="178"/>
      <c r="SOQ553" s="178"/>
      <c r="SOR553" s="178"/>
      <c r="SOS553" s="178"/>
      <c r="SOT553" s="178"/>
      <c r="SOU553" s="178"/>
      <c r="SOV553" s="178"/>
      <c r="SOW553" s="178"/>
      <c r="SOX553" s="178"/>
      <c r="SOY553" s="178"/>
      <c r="SOZ553" s="178"/>
      <c r="SPA553" s="178"/>
      <c r="SPB553" s="178"/>
      <c r="SPC553" s="178"/>
      <c r="SPD553" s="178"/>
      <c r="SPE553" s="178"/>
      <c r="SPF553" s="178"/>
      <c r="SPG553" s="178"/>
      <c r="SPH553" s="178"/>
      <c r="SPI553" s="178"/>
      <c r="SPJ553" s="178"/>
      <c r="SPK553" s="178"/>
      <c r="SPL553" s="178"/>
      <c r="SPM553" s="178"/>
      <c r="SPN553" s="178"/>
      <c r="SPO553" s="178"/>
      <c r="SPP553" s="178"/>
      <c r="SPQ553" s="178"/>
      <c r="SPR553" s="178"/>
      <c r="SPS553" s="178"/>
      <c r="SPT553" s="178"/>
      <c r="SPU553" s="178"/>
      <c r="SPV553" s="178"/>
      <c r="SPW553" s="178"/>
      <c r="SPX553" s="178"/>
      <c r="SPY553" s="178"/>
      <c r="SPZ553" s="178"/>
      <c r="SQA553" s="178"/>
      <c r="SQB553" s="178"/>
      <c r="SQC553" s="178"/>
      <c r="SQD553" s="178"/>
      <c r="SQE553" s="178"/>
      <c r="SQF553" s="178"/>
      <c r="SQG553" s="178"/>
      <c r="SQH553" s="178"/>
      <c r="SQI553" s="178"/>
      <c r="SQJ553" s="178"/>
      <c r="SQK553" s="178"/>
      <c r="SQL553" s="178"/>
      <c r="SQM553" s="178"/>
      <c r="SQN553" s="178"/>
      <c r="SQO553" s="178"/>
      <c r="SQP553" s="178"/>
      <c r="SQQ553" s="178"/>
      <c r="SQR553" s="178"/>
      <c r="SQS553" s="178"/>
      <c r="SQT553" s="178"/>
      <c r="SQU553" s="178"/>
      <c r="SQV553" s="178"/>
      <c r="SQW553" s="178"/>
      <c r="SQX553" s="178"/>
      <c r="SQY553" s="178"/>
      <c r="SQZ553" s="178"/>
      <c r="SRA553" s="178"/>
      <c r="SRB553" s="178"/>
      <c r="SRC553" s="178"/>
      <c r="SRD553" s="178"/>
      <c r="SRE553" s="178"/>
      <c r="SRF553" s="178"/>
      <c r="SRG553" s="178"/>
      <c r="SRH553" s="178"/>
      <c r="SRI553" s="178"/>
      <c r="SRJ553" s="178"/>
      <c r="SRK553" s="178"/>
      <c r="SRL553" s="178"/>
      <c r="SRM553" s="178"/>
      <c r="SRN553" s="178"/>
      <c r="SRO553" s="178"/>
      <c r="SRP553" s="178"/>
      <c r="SRQ553" s="178"/>
      <c r="SRR553" s="178"/>
      <c r="SRS553" s="178"/>
      <c r="SRT553" s="178"/>
      <c r="SRU553" s="178"/>
      <c r="SRV553" s="178"/>
      <c r="SRW553" s="178"/>
      <c r="SRX553" s="178"/>
      <c r="SRY553" s="178"/>
      <c r="SRZ553" s="178"/>
      <c r="SSA553" s="178"/>
      <c r="SSB553" s="178"/>
      <c r="SSC553" s="178"/>
      <c r="SSD553" s="178"/>
      <c r="SSE553" s="178"/>
      <c r="SSF553" s="178"/>
      <c r="SSG553" s="178"/>
      <c r="SSH553" s="178"/>
      <c r="SSI553" s="178"/>
      <c r="SSJ553" s="178"/>
      <c r="SSK553" s="178"/>
      <c r="SSL553" s="178"/>
      <c r="SSM553" s="178"/>
      <c r="SSN553" s="178"/>
      <c r="SSO553" s="178"/>
      <c r="SSP553" s="178"/>
      <c r="SSQ553" s="178"/>
      <c r="SSR553" s="178"/>
      <c r="SSS553" s="178"/>
      <c r="SST553" s="178"/>
      <c r="SSU553" s="178"/>
      <c r="SSV553" s="178"/>
      <c r="SSW553" s="178"/>
      <c r="SSX553" s="178"/>
      <c r="SSY553" s="178"/>
      <c r="SSZ553" s="178"/>
      <c r="STA553" s="178"/>
      <c r="STB553" s="178"/>
      <c r="STC553" s="178"/>
      <c r="STD553" s="178"/>
      <c r="STE553" s="178"/>
      <c r="STF553" s="178"/>
      <c r="STG553" s="178"/>
      <c r="STH553" s="178"/>
      <c r="STI553" s="178"/>
      <c r="STJ553" s="178"/>
      <c r="STK553" s="178"/>
      <c r="STL553" s="178"/>
      <c r="STM553" s="178"/>
      <c r="STN553" s="178"/>
      <c r="STO553" s="178"/>
      <c r="STP553" s="178"/>
      <c r="STQ553" s="178"/>
      <c r="STR553" s="178"/>
      <c r="STS553" s="178"/>
      <c r="STT553" s="178"/>
      <c r="STU553" s="178"/>
      <c r="STV553" s="178"/>
      <c r="STW553" s="178"/>
      <c r="STX553" s="178"/>
      <c r="STY553" s="178"/>
      <c r="STZ553" s="178"/>
      <c r="SUA553" s="178"/>
      <c r="SUB553" s="178"/>
      <c r="SUC553" s="178"/>
      <c r="SUD553" s="178"/>
      <c r="SUE553" s="178"/>
      <c r="SUF553" s="178"/>
      <c r="SUG553" s="178"/>
      <c r="SUH553" s="178"/>
      <c r="SUI553" s="178"/>
      <c r="SUJ553" s="178"/>
      <c r="SUK553" s="178"/>
      <c r="SUL553" s="178"/>
      <c r="SUM553" s="178"/>
      <c r="SUN553" s="178"/>
      <c r="SUO553" s="178"/>
      <c r="SUP553" s="178"/>
      <c r="SUQ553" s="178"/>
      <c r="SUR553" s="178"/>
      <c r="SUS553" s="178"/>
      <c r="SUT553" s="178"/>
      <c r="SUU553" s="178"/>
      <c r="SUV553" s="178"/>
      <c r="SUW553" s="178"/>
      <c r="SUX553" s="178"/>
      <c r="SUY553" s="178"/>
      <c r="SUZ553" s="178"/>
      <c r="SVA553" s="178"/>
      <c r="SVB553" s="178"/>
      <c r="SVC553" s="178"/>
      <c r="SVD553" s="178"/>
      <c r="SVE553" s="178"/>
      <c r="SVF553" s="178"/>
      <c r="SVG553" s="178"/>
      <c r="SVH553" s="178"/>
      <c r="SVI553" s="178"/>
      <c r="SVJ553" s="178"/>
      <c r="SVK553" s="178"/>
      <c r="SVL553" s="178"/>
      <c r="SVM553" s="178"/>
      <c r="SVN553" s="178"/>
      <c r="SVO553" s="178"/>
      <c r="SVP553" s="178"/>
      <c r="SVQ553" s="178"/>
      <c r="SVR553" s="178"/>
      <c r="SVS553" s="178"/>
      <c r="SVT553" s="178"/>
      <c r="SVU553" s="178"/>
      <c r="SVV553" s="178"/>
      <c r="SVW553" s="178"/>
      <c r="SVX553" s="178"/>
      <c r="SVY553" s="178"/>
      <c r="SVZ553" s="178"/>
      <c r="SWA553" s="178"/>
      <c r="SWB553" s="178"/>
      <c r="SWC553" s="178"/>
      <c r="SWD553" s="178"/>
      <c r="SWE553" s="178"/>
      <c r="SWF553" s="178"/>
      <c r="SWG553" s="178"/>
      <c r="SWH553" s="178"/>
      <c r="SWI553" s="178"/>
      <c r="SWJ553" s="178"/>
      <c r="SWK553" s="178"/>
      <c r="SWL553" s="178"/>
      <c r="SWM553" s="178"/>
      <c r="SWN553" s="178"/>
      <c r="SWO553" s="178"/>
      <c r="SWP553" s="178"/>
      <c r="SWQ553" s="178"/>
      <c r="SWR553" s="178"/>
      <c r="SWS553" s="178"/>
      <c r="SWT553" s="178"/>
      <c r="SWU553" s="178"/>
      <c r="SWV553" s="178"/>
      <c r="SWW553" s="178"/>
      <c r="SWX553" s="178"/>
      <c r="SWY553" s="178"/>
      <c r="SWZ553" s="178"/>
      <c r="SXA553" s="178"/>
      <c r="SXB553" s="178"/>
      <c r="SXC553" s="178"/>
      <c r="SXD553" s="178"/>
      <c r="SXE553" s="178"/>
      <c r="SXF553" s="178"/>
      <c r="SXG553" s="178"/>
      <c r="SXH553" s="178"/>
      <c r="SXI553" s="178"/>
      <c r="SXJ553" s="178"/>
      <c r="SXK553" s="178"/>
      <c r="SXL553" s="178"/>
      <c r="SXM553" s="178"/>
      <c r="SXN553" s="178"/>
      <c r="SXO553" s="178"/>
      <c r="SXP553" s="178"/>
      <c r="SXQ553" s="178"/>
      <c r="SXR553" s="178"/>
      <c r="SXS553" s="178"/>
      <c r="SXT553" s="178"/>
      <c r="SXU553" s="178"/>
      <c r="SXV553" s="178"/>
      <c r="SXW553" s="178"/>
      <c r="SXX553" s="178"/>
      <c r="SXY553" s="178"/>
      <c r="SXZ553" s="178"/>
      <c r="SYA553" s="178"/>
      <c r="SYB553" s="178"/>
      <c r="SYC553" s="178"/>
      <c r="SYD553" s="178"/>
      <c r="SYE553" s="178"/>
      <c r="SYF553" s="178"/>
      <c r="SYG553" s="178"/>
      <c r="SYH553" s="178"/>
      <c r="SYI553" s="178"/>
      <c r="SYJ553" s="178"/>
      <c r="SYK553" s="178"/>
      <c r="SYL553" s="178"/>
      <c r="SYM553" s="178"/>
      <c r="SYN553" s="178"/>
      <c r="SYO553" s="178"/>
      <c r="SYP553" s="178"/>
      <c r="SYQ553" s="178"/>
      <c r="SYR553" s="178"/>
      <c r="SYS553" s="178"/>
      <c r="SYT553" s="178"/>
      <c r="SYU553" s="178"/>
      <c r="SYV553" s="178"/>
      <c r="SYW553" s="178"/>
      <c r="SYX553" s="178"/>
      <c r="SYY553" s="178"/>
      <c r="SYZ553" s="178"/>
      <c r="SZA553" s="178"/>
      <c r="SZB553" s="178"/>
      <c r="SZC553" s="178"/>
      <c r="SZD553" s="178"/>
      <c r="SZE553" s="178"/>
      <c r="SZF553" s="178"/>
      <c r="SZG553" s="178"/>
      <c r="SZH553" s="178"/>
      <c r="SZI553" s="178"/>
      <c r="SZJ553" s="178"/>
      <c r="SZK553" s="178"/>
      <c r="SZL553" s="178"/>
      <c r="SZM553" s="178"/>
      <c r="SZN553" s="178"/>
      <c r="SZO553" s="178"/>
      <c r="SZP553" s="178"/>
      <c r="SZQ553" s="178"/>
      <c r="SZR553" s="178"/>
      <c r="SZS553" s="178"/>
      <c r="SZT553" s="178"/>
      <c r="SZU553" s="178"/>
      <c r="SZV553" s="178"/>
      <c r="SZW553" s="178"/>
      <c r="SZX553" s="178"/>
      <c r="SZY553" s="178"/>
      <c r="SZZ553" s="178"/>
      <c r="TAA553" s="178"/>
      <c r="TAB553" s="178"/>
      <c r="TAC553" s="178"/>
      <c r="TAD553" s="178"/>
      <c r="TAE553" s="178"/>
      <c r="TAF553" s="178"/>
      <c r="TAG553" s="178"/>
      <c r="TAH553" s="178"/>
      <c r="TAI553" s="178"/>
      <c r="TAJ553" s="178"/>
      <c r="TAK553" s="178"/>
      <c r="TAL553" s="178"/>
      <c r="TAM553" s="178"/>
      <c r="TAN553" s="178"/>
      <c r="TAO553" s="178"/>
      <c r="TAP553" s="178"/>
      <c r="TAQ553" s="178"/>
      <c r="TAR553" s="178"/>
      <c r="TAS553" s="178"/>
      <c r="TAT553" s="178"/>
      <c r="TAU553" s="178"/>
      <c r="TAV553" s="178"/>
      <c r="TAW553" s="178"/>
      <c r="TAX553" s="178"/>
      <c r="TAY553" s="178"/>
      <c r="TAZ553" s="178"/>
      <c r="TBA553" s="178"/>
      <c r="TBB553" s="178"/>
      <c r="TBC553" s="178"/>
      <c r="TBD553" s="178"/>
      <c r="TBE553" s="178"/>
      <c r="TBF553" s="178"/>
      <c r="TBG553" s="178"/>
      <c r="TBH553" s="178"/>
      <c r="TBI553" s="178"/>
      <c r="TBJ553" s="178"/>
      <c r="TBK553" s="178"/>
      <c r="TBL553" s="178"/>
      <c r="TBM553" s="178"/>
      <c r="TBN553" s="178"/>
      <c r="TBO553" s="178"/>
      <c r="TBP553" s="178"/>
      <c r="TBQ553" s="178"/>
      <c r="TBR553" s="178"/>
      <c r="TBS553" s="178"/>
      <c r="TBT553" s="178"/>
      <c r="TBU553" s="178"/>
      <c r="TBV553" s="178"/>
      <c r="TBW553" s="178"/>
      <c r="TBX553" s="178"/>
      <c r="TBY553" s="178"/>
      <c r="TBZ553" s="178"/>
      <c r="TCA553" s="178"/>
      <c r="TCB553" s="178"/>
      <c r="TCC553" s="178"/>
      <c r="TCD553" s="178"/>
      <c r="TCE553" s="178"/>
      <c r="TCF553" s="178"/>
      <c r="TCG553" s="178"/>
      <c r="TCH553" s="178"/>
      <c r="TCI553" s="178"/>
      <c r="TCJ553" s="178"/>
      <c r="TCK553" s="178"/>
      <c r="TCL553" s="178"/>
      <c r="TCM553" s="178"/>
      <c r="TCN553" s="178"/>
      <c r="TCO553" s="178"/>
      <c r="TCP553" s="178"/>
      <c r="TCQ553" s="178"/>
      <c r="TCR553" s="178"/>
      <c r="TCS553" s="178"/>
      <c r="TCT553" s="178"/>
      <c r="TCU553" s="178"/>
      <c r="TCV553" s="178"/>
      <c r="TCW553" s="178"/>
      <c r="TCX553" s="178"/>
      <c r="TCY553" s="178"/>
      <c r="TCZ553" s="178"/>
      <c r="TDA553" s="178"/>
      <c r="TDB553" s="178"/>
      <c r="TDC553" s="178"/>
      <c r="TDD553" s="178"/>
      <c r="TDE553" s="178"/>
      <c r="TDF553" s="178"/>
      <c r="TDG553" s="178"/>
      <c r="TDH553" s="178"/>
      <c r="TDI553" s="178"/>
      <c r="TDJ553" s="178"/>
      <c r="TDK553" s="178"/>
      <c r="TDL553" s="178"/>
      <c r="TDM553" s="178"/>
      <c r="TDN553" s="178"/>
      <c r="TDO553" s="178"/>
      <c r="TDP553" s="178"/>
      <c r="TDQ553" s="178"/>
      <c r="TDR553" s="178"/>
      <c r="TDS553" s="178"/>
      <c r="TDT553" s="178"/>
      <c r="TDU553" s="178"/>
      <c r="TDV553" s="178"/>
      <c r="TDW553" s="178"/>
      <c r="TDX553" s="178"/>
      <c r="TDY553" s="178"/>
      <c r="TDZ553" s="178"/>
      <c r="TEA553" s="178"/>
      <c r="TEB553" s="178"/>
      <c r="TEC553" s="178"/>
      <c r="TED553" s="178"/>
      <c r="TEE553" s="178"/>
      <c r="TEF553" s="178"/>
      <c r="TEG553" s="178"/>
      <c r="TEH553" s="178"/>
      <c r="TEI553" s="178"/>
      <c r="TEJ553" s="178"/>
      <c r="TEK553" s="178"/>
      <c r="TEL553" s="178"/>
      <c r="TEM553" s="178"/>
      <c r="TEN553" s="178"/>
      <c r="TEO553" s="178"/>
      <c r="TEP553" s="178"/>
      <c r="TEQ553" s="178"/>
      <c r="TER553" s="178"/>
      <c r="TES553" s="178"/>
      <c r="TET553" s="178"/>
      <c r="TEU553" s="178"/>
      <c r="TEV553" s="178"/>
      <c r="TEW553" s="178"/>
      <c r="TEX553" s="178"/>
      <c r="TEY553" s="178"/>
      <c r="TEZ553" s="178"/>
      <c r="TFA553" s="178"/>
      <c r="TFB553" s="178"/>
      <c r="TFC553" s="178"/>
      <c r="TFD553" s="178"/>
      <c r="TFE553" s="178"/>
      <c r="TFF553" s="178"/>
      <c r="TFG553" s="178"/>
      <c r="TFH553" s="178"/>
      <c r="TFI553" s="178"/>
      <c r="TFJ553" s="178"/>
      <c r="TFK553" s="178"/>
      <c r="TFL553" s="178"/>
      <c r="TFM553" s="178"/>
      <c r="TFN553" s="178"/>
      <c r="TFO553" s="178"/>
      <c r="TFP553" s="178"/>
      <c r="TFQ553" s="178"/>
      <c r="TFR553" s="178"/>
      <c r="TFS553" s="178"/>
      <c r="TFT553" s="178"/>
      <c r="TFU553" s="178"/>
      <c r="TFV553" s="178"/>
      <c r="TFW553" s="178"/>
      <c r="TFX553" s="178"/>
      <c r="TFY553" s="178"/>
      <c r="TFZ553" s="178"/>
      <c r="TGA553" s="178"/>
      <c r="TGB553" s="178"/>
      <c r="TGC553" s="178"/>
      <c r="TGD553" s="178"/>
      <c r="TGE553" s="178"/>
      <c r="TGF553" s="178"/>
      <c r="TGG553" s="178"/>
      <c r="TGH553" s="178"/>
      <c r="TGI553" s="178"/>
      <c r="TGJ553" s="178"/>
      <c r="TGK553" s="178"/>
      <c r="TGL553" s="178"/>
      <c r="TGM553" s="178"/>
      <c r="TGN553" s="178"/>
      <c r="TGO553" s="178"/>
      <c r="TGP553" s="178"/>
      <c r="TGQ553" s="178"/>
      <c r="TGR553" s="178"/>
      <c r="TGS553" s="178"/>
      <c r="TGT553" s="178"/>
      <c r="TGU553" s="178"/>
      <c r="TGV553" s="178"/>
      <c r="TGW553" s="178"/>
      <c r="TGX553" s="178"/>
      <c r="TGY553" s="178"/>
      <c r="TGZ553" s="178"/>
      <c r="THA553" s="178"/>
      <c r="THB553" s="178"/>
      <c r="THC553" s="178"/>
      <c r="THD553" s="178"/>
      <c r="THE553" s="178"/>
      <c r="THF553" s="178"/>
      <c r="THG553" s="178"/>
      <c r="THH553" s="178"/>
      <c r="THI553" s="178"/>
      <c r="THJ553" s="178"/>
      <c r="THK553" s="178"/>
      <c r="THL553" s="178"/>
      <c r="THM553" s="178"/>
      <c r="THN553" s="178"/>
      <c r="THO553" s="178"/>
      <c r="THP553" s="178"/>
      <c r="THQ553" s="178"/>
      <c r="THR553" s="178"/>
      <c r="THS553" s="178"/>
      <c r="THT553" s="178"/>
      <c r="THU553" s="178"/>
      <c r="THV553" s="178"/>
      <c r="THW553" s="178"/>
      <c r="THX553" s="178"/>
      <c r="THY553" s="178"/>
      <c r="THZ553" s="178"/>
      <c r="TIA553" s="178"/>
      <c r="TIB553" s="178"/>
      <c r="TIC553" s="178"/>
      <c r="TID553" s="178"/>
      <c r="TIE553" s="178"/>
      <c r="TIF553" s="178"/>
      <c r="TIG553" s="178"/>
      <c r="TIH553" s="178"/>
      <c r="TII553" s="178"/>
      <c r="TIJ553" s="178"/>
      <c r="TIK553" s="178"/>
      <c r="TIL553" s="178"/>
      <c r="TIM553" s="178"/>
      <c r="TIN553" s="178"/>
      <c r="TIO553" s="178"/>
      <c r="TIP553" s="178"/>
      <c r="TIQ553" s="178"/>
      <c r="TIR553" s="178"/>
      <c r="TIS553" s="178"/>
      <c r="TIT553" s="178"/>
      <c r="TIU553" s="178"/>
      <c r="TIV553" s="178"/>
      <c r="TIW553" s="178"/>
      <c r="TIX553" s="178"/>
      <c r="TIY553" s="178"/>
      <c r="TIZ553" s="178"/>
      <c r="TJA553" s="178"/>
      <c r="TJB553" s="178"/>
      <c r="TJC553" s="178"/>
      <c r="TJD553" s="178"/>
      <c r="TJE553" s="178"/>
      <c r="TJF553" s="178"/>
      <c r="TJG553" s="178"/>
      <c r="TJH553" s="178"/>
      <c r="TJI553" s="178"/>
      <c r="TJJ553" s="178"/>
      <c r="TJK553" s="178"/>
      <c r="TJL553" s="178"/>
      <c r="TJM553" s="178"/>
      <c r="TJN553" s="178"/>
      <c r="TJO553" s="178"/>
      <c r="TJP553" s="178"/>
      <c r="TJQ553" s="178"/>
      <c r="TJR553" s="178"/>
      <c r="TJS553" s="178"/>
      <c r="TJT553" s="178"/>
      <c r="TJU553" s="178"/>
      <c r="TJV553" s="178"/>
      <c r="TJW553" s="178"/>
      <c r="TJX553" s="178"/>
      <c r="TJY553" s="178"/>
      <c r="TJZ553" s="178"/>
      <c r="TKA553" s="178"/>
      <c r="TKB553" s="178"/>
      <c r="TKC553" s="178"/>
      <c r="TKD553" s="178"/>
      <c r="TKE553" s="178"/>
      <c r="TKF553" s="178"/>
      <c r="TKG553" s="178"/>
      <c r="TKH553" s="178"/>
      <c r="TKI553" s="178"/>
      <c r="TKJ553" s="178"/>
      <c r="TKK553" s="178"/>
      <c r="TKL553" s="178"/>
      <c r="TKM553" s="178"/>
      <c r="TKN553" s="178"/>
      <c r="TKO553" s="178"/>
      <c r="TKP553" s="178"/>
      <c r="TKQ553" s="178"/>
      <c r="TKR553" s="178"/>
      <c r="TKS553" s="178"/>
      <c r="TKT553" s="178"/>
      <c r="TKU553" s="178"/>
      <c r="TKV553" s="178"/>
      <c r="TKW553" s="178"/>
      <c r="TKX553" s="178"/>
      <c r="TKY553" s="178"/>
      <c r="TKZ553" s="178"/>
      <c r="TLA553" s="178"/>
      <c r="TLB553" s="178"/>
      <c r="TLC553" s="178"/>
      <c r="TLD553" s="178"/>
      <c r="TLE553" s="178"/>
      <c r="TLF553" s="178"/>
      <c r="TLG553" s="178"/>
      <c r="TLH553" s="178"/>
      <c r="TLI553" s="178"/>
      <c r="TLJ553" s="178"/>
      <c r="TLK553" s="178"/>
      <c r="TLL553" s="178"/>
      <c r="TLM553" s="178"/>
      <c r="TLN553" s="178"/>
      <c r="TLO553" s="178"/>
      <c r="TLP553" s="178"/>
      <c r="TLQ553" s="178"/>
      <c r="TLR553" s="178"/>
      <c r="TLS553" s="178"/>
      <c r="TLT553" s="178"/>
      <c r="TLU553" s="178"/>
      <c r="TLV553" s="178"/>
      <c r="TLW553" s="178"/>
      <c r="TLX553" s="178"/>
      <c r="TLY553" s="178"/>
      <c r="TLZ553" s="178"/>
      <c r="TMA553" s="178"/>
      <c r="TMB553" s="178"/>
      <c r="TMC553" s="178"/>
      <c r="TMD553" s="178"/>
      <c r="TME553" s="178"/>
      <c r="TMF553" s="178"/>
      <c r="TMG553" s="178"/>
      <c r="TMH553" s="178"/>
      <c r="TMI553" s="178"/>
      <c r="TMJ553" s="178"/>
      <c r="TMK553" s="178"/>
      <c r="TML553" s="178"/>
      <c r="TMM553" s="178"/>
      <c r="TMN553" s="178"/>
      <c r="TMO553" s="178"/>
      <c r="TMP553" s="178"/>
      <c r="TMQ553" s="178"/>
      <c r="TMR553" s="178"/>
      <c r="TMS553" s="178"/>
      <c r="TMT553" s="178"/>
      <c r="TMU553" s="178"/>
      <c r="TMV553" s="178"/>
      <c r="TMW553" s="178"/>
      <c r="TMX553" s="178"/>
      <c r="TMY553" s="178"/>
      <c r="TMZ553" s="178"/>
      <c r="TNA553" s="178"/>
      <c r="TNB553" s="178"/>
      <c r="TNC553" s="178"/>
      <c r="TND553" s="178"/>
      <c r="TNE553" s="178"/>
      <c r="TNF553" s="178"/>
      <c r="TNG553" s="178"/>
      <c r="TNH553" s="178"/>
      <c r="TNI553" s="178"/>
      <c r="TNJ553" s="178"/>
      <c r="TNK553" s="178"/>
      <c r="TNL553" s="178"/>
      <c r="TNM553" s="178"/>
      <c r="TNN553" s="178"/>
      <c r="TNO553" s="178"/>
      <c r="TNP553" s="178"/>
      <c r="TNQ553" s="178"/>
      <c r="TNR553" s="178"/>
      <c r="TNS553" s="178"/>
      <c r="TNT553" s="178"/>
      <c r="TNU553" s="178"/>
      <c r="TNV553" s="178"/>
      <c r="TNW553" s="178"/>
      <c r="TNX553" s="178"/>
      <c r="TNY553" s="178"/>
      <c r="TNZ553" s="178"/>
      <c r="TOA553" s="178"/>
      <c r="TOB553" s="178"/>
      <c r="TOC553" s="178"/>
      <c r="TOD553" s="178"/>
      <c r="TOE553" s="178"/>
      <c r="TOF553" s="178"/>
      <c r="TOG553" s="178"/>
      <c r="TOH553" s="178"/>
      <c r="TOI553" s="178"/>
      <c r="TOJ553" s="178"/>
      <c r="TOK553" s="178"/>
      <c r="TOL553" s="178"/>
      <c r="TOM553" s="178"/>
      <c r="TON553" s="178"/>
      <c r="TOO553" s="178"/>
      <c r="TOP553" s="178"/>
      <c r="TOQ553" s="178"/>
      <c r="TOR553" s="178"/>
      <c r="TOS553" s="178"/>
      <c r="TOT553" s="178"/>
      <c r="TOU553" s="178"/>
      <c r="TOV553" s="178"/>
      <c r="TOW553" s="178"/>
      <c r="TOX553" s="178"/>
      <c r="TOY553" s="178"/>
      <c r="TOZ553" s="178"/>
      <c r="TPA553" s="178"/>
      <c r="TPB553" s="178"/>
      <c r="TPC553" s="178"/>
      <c r="TPD553" s="178"/>
      <c r="TPE553" s="178"/>
      <c r="TPF553" s="178"/>
      <c r="TPG553" s="178"/>
      <c r="TPH553" s="178"/>
      <c r="TPI553" s="178"/>
      <c r="TPJ553" s="178"/>
      <c r="TPK553" s="178"/>
      <c r="TPL553" s="178"/>
      <c r="TPM553" s="178"/>
      <c r="TPN553" s="178"/>
      <c r="TPO553" s="178"/>
      <c r="TPP553" s="178"/>
      <c r="TPQ553" s="178"/>
      <c r="TPR553" s="178"/>
      <c r="TPS553" s="178"/>
      <c r="TPT553" s="178"/>
      <c r="TPU553" s="178"/>
      <c r="TPV553" s="178"/>
      <c r="TPW553" s="178"/>
      <c r="TPX553" s="178"/>
      <c r="TPY553" s="178"/>
      <c r="TPZ553" s="178"/>
      <c r="TQA553" s="178"/>
      <c r="TQB553" s="178"/>
      <c r="TQC553" s="178"/>
      <c r="TQD553" s="178"/>
      <c r="TQE553" s="178"/>
      <c r="TQF553" s="178"/>
      <c r="TQG553" s="178"/>
      <c r="TQH553" s="178"/>
      <c r="TQI553" s="178"/>
      <c r="TQJ553" s="178"/>
      <c r="TQK553" s="178"/>
      <c r="TQL553" s="178"/>
      <c r="TQM553" s="178"/>
      <c r="TQN553" s="178"/>
      <c r="TQO553" s="178"/>
      <c r="TQP553" s="178"/>
      <c r="TQQ553" s="178"/>
      <c r="TQR553" s="178"/>
      <c r="TQS553" s="178"/>
      <c r="TQT553" s="178"/>
      <c r="TQU553" s="178"/>
      <c r="TQV553" s="178"/>
      <c r="TQW553" s="178"/>
      <c r="TQX553" s="178"/>
      <c r="TQY553" s="178"/>
      <c r="TQZ553" s="178"/>
      <c r="TRA553" s="178"/>
      <c r="TRB553" s="178"/>
      <c r="TRC553" s="178"/>
      <c r="TRD553" s="178"/>
      <c r="TRE553" s="178"/>
      <c r="TRF553" s="178"/>
      <c r="TRG553" s="178"/>
      <c r="TRH553" s="178"/>
      <c r="TRI553" s="178"/>
      <c r="TRJ553" s="178"/>
      <c r="TRK553" s="178"/>
      <c r="TRL553" s="178"/>
      <c r="TRM553" s="178"/>
      <c r="TRN553" s="178"/>
      <c r="TRO553" s="178"/>
      <c r="TRP553" s="178"/>
      <c r="TRQ553" s="178"/>
      <c r="TRR553" s="178"/>
      <c r="TRS553" s="178"/>
      <c r="TRT553" s="178"/>
      <c r="TRU553" s="178"/>
      <c r="TRV553" s="178"/>
      <c r="TRW553" s="178"/>
      <c r="TRX553" s="178"/>
      <c r="TRY553" s="178"/>
      <c r="TRZ553" s="178"/>
      <c r="TSA553" s="178"/>
      <c r="TSB553" s="178"/>
      <c r="TSC553" s="178"/>
      <c r="TSD553" s="178"/>
      <c r="TSE553" s="178"/>
      <c r="TSF553" s="178"/>
      <c r="TSG553" s="178"/>
      <c r="TSH553" s="178"/>
      <c r="TSI553" s="178"/>
      <c r="TSJ553" s="178"/>
      <c r="TSK553" s="178"/>
      <c r="TSL553" s="178"/>
      <c r="TSM553" s="178"/>
      <c r="TSN553" s="178"/>
      <c r="TSO553" s="178"/>
      <c r="TSP553" s="178"/>
      <c r="TSQ553" s="178"/>
      <c r="TSR553" s="178"/>
      <c r="TSS553" s="178"/>
      <c r="TST553" s="178"/>
      <c r="TSU553" s="178"/>
      <c r="TSV553" s="178"/>
      <c r="TSW553" s="178"/>
      <c r="TSX553" s="178"/>
      <c r="TSY553" s="178"/>
      <c r="TSZ553" s="178"/>
      <c r="TTA553" s="178"/>
      <c r="TTB553" s="178"/>
      <c r="TTC553" s="178"/>
      <c r="TTD553" s="178"/>
      <c r="TTE553" s="178"/>
      <c r="TTF553" s="178"/>
      <c r="TTG553" s="178"/>
      <c r="TTH553" s="178"/>
      <c r="TTI553" s="178"/>
      <c r="TTJ553" s="178"/>
      <c r="TTK553" s="178"/>
      <c r="TTL553" s="178"/>
      <c r="TTM553" s="178"/>
      <c r="TTN553" s="178"/>
      <c r="TTO553" s="178"/>
      <c r="TTP553" s="178"/>
      <c r="TTQ553" s="178"/>
      <c r="TTR553" s="178"/>
      <c r="TTS553" s="178"/>
      <c r="TTT553" s="178"/>
      <c r="TTU553" s="178"/>
      <c r="TTV553" s="178"/>
      <c r="TTW553" s="178"/>
      <c r="TTX553" s="178"/>
      <c r="TTY553" s="178"/>
      <c r="TTZ553" s="178"/>
      <c r="TUA553" s="178"/>
      <c r="TUB553" s="178"/>
      <c r="TUC553" s="178"/>
      <c r="TUD553" s="178"/>
      <c r="TUE553" s="178"/>
      <c r="TUF553" s="178"/>
      <c r="TUG553" s="178"/>
      <c r="TUH553" s="178"/>
      <c r="TUI553" s="178"/>
      <c r="TUJ553" s="178"/>
      <c r="TUK553" s="178"/>
      <c r="TUL553" s="178"/>
      <c r="TUM553" s="178"/>
      <c r="TUN553" s="178"/>
      <c r="TUO553" s="178"/>
      <c r="TUP553" s="178"/>
      <c r="TUQ553" s="178"/>
      <c r="TUR553" s="178"/>
      <c r="TUS553" s="178"/>
      <c r="TUT553" s="178"/>
      <c r="TUU553" s="178"/>
      <c r="TUV553" s="178"/>
      <c r="TUW553" s="178"/>
      <c r="TUX553" s="178"/>
      <c r="TUY553" s="178"/>
      <c r="TUZ553" s="178"/>
      <c r="TVA553" s="178"/>
      <c r="TVB553" s="178"/>
      <c r="TVC553" s="178"/>
      <c r="TVD553" s="178"/>
      <c r="TVE553" s="178"/>
      <c r="TVF553" s="178"/>
      <c r="TVG553" s="178"/>
      <c r="TVH553" s="178"/>
      <c r="TVI553" s="178"/>
      <c r="TVJ553" s="178"/>
      <c r="TVK553" s="178"/>
      <c r="TVL553" s="178"/>
      <c r="TVM553" s="178"/>
      <c r="TVN553" s="178"/>
      <c r="TVO553" s="178"/>
      <c r="TVP553" s="178"/>
      <c r="TVQ553" s="178"/>
      <c r="TVR553" s="178"/>
      <c r="TVS553" s="178"/>
      <c r="TVT553" s="178"/>
      <c r="TVU553" s="178"/>
      <c r="TVV553" s="178"/>
      <c r="TVW553" s="178"/>
      <c r="TVX553" s="178"/>
      <c r="TVY553" s="178"/>
      <c r="TVZ553" s="178"/>
      <c r="TWA553" s="178"/>
      <c r="TWB553" s="178"/>
      <c r="TWC553" s="178"/>
      <c r="TWD553" s="178"/>
      <c r="TWE553" s="178"/>
      <c r="TWF553" s="178"/>
      <c r="TWG553" s="178"/>
      <c r="TWH553" s="178"/>
      <c r="TWI553" s="178"/>
      <c r="TWJ553" s="178"/>
      <c r="TWK553" s="178"/>
      <c r="TWL553" s="178"/>
      <c r="TWM553" s="178"/>
      <c r="TWN553" s="178"/>
      <c r="TWO553" s="178"/>
      <c r="TWP553" s="178"/>
      <c r="TWQ553" s="178"/>
      <c r="TWR553" s="178"/>
      <c r="TWS553" s="178"/>
      <c r="TWT553" s="178"/>
      <c r="TWU553" s="178"/>
      <c r="TWV553" s="178"/>
      <c r="TWW553" s="178"/>
      <c r="TWX553" s="178"/>
      <c r="TWY553" s="178"/>
      <c r="TWZ553" s="178"/>
      <c r="TXA553" s="178"/>
      <c r="TXB553" s="178"/>
      <c r="TXC553" s="178"/>
      <c r="TXD553" s="178"/>
      <c r="TXE553" s="178"/>
      <c r="TXF553" s="178"/>
      <c r="TXG553" s="178"/>
      <c r="TXH553" s="178"/>
      <c r="TXI553" s="178"/>
      <c r="TXJ553" s="178"/>
      <c r="TXK553" s="178"/>
      <c r="TXL553" s="178"/>
      <c r="TXM553" s="178"/>
      <c r="TXN553" s="178"/>
      <c r="TXO553" s="178"/>
      <c r="TXP553" s="178"/>
      <c r="TXQ553" s="178"/>
      <c r="TXR553" s="178"/>
      <c r="TXS553" s="178"/>
      <c r="TXT553" s="178"/>
      <c r="TXU553" s="178"/>
      <c r="TXV553" s="178"/>
      <c r="TXW553" s="178"/>
      <c r="TXX553" s="178"/>
      <c r="TXY553" s="178"/>
      <c r="TXZ553" s="178"/>
      <c r="TYA553" s="178"/>
      <c r="TYB553" s="178"/>
      <c r="TYC553" s="178"/>
      <c r="TYD553" s="178"/>
      <c r="TYE553" s="178"/>
      <c r="TYF553" s="178"/>
      <c r="TYG553" s="178"/>
      <c r="TYH553" s="178"/>
      <c r="TYI553" s="178"/>
      <c r="TYJ553" s="178"/>
      <c r="TYK553" s="178"/>
      <c r="TYL553" s="178"/>
      <c r="TYM553" s="178"/>
      <c r="TYN553" s="178"/>
      <c r="TYO553" s="178"/>
      <c r="TYP553" s="178"/>
      <c r="TYQ553" s="178"/>
      <c r="TYR553" s="178"/>
      <c r="TYS553" s="178"/>
      <c r="TYT553" s="178"/>
      <c r="TYU553" s="178"/>
      <c r="TYV553" s="178"/>
      <c r="TYW553" s="178"/>
      <c r="TYX553" s="178"/>
      <c r="TYY553" s="178"/>
      <c r="TYZ553" s="178"/>
      <c r="TZA553" s="178"/>
      <c r="TZB553" s="178"/>
      <c r="TZC553" s="178"/>
      <c r="TZD553" s="178"/>
      <c r="TZE553" s="178"/>
      <c r="TZF553" s="178"/>
      <c r="TZG553" s="178"/>
      <c r="TZH553" s="178"/>
      <c r="TZI553" s="178"/>
      <c r="TZJ553" s="178"/>
      <c r="TZK553" s="178"/>
      <c r="TZL553" s="178"/>
      <c r="TZM553" s="178"/>
      <c r="TZN553" s="178"/>
      <c r="TZO553" s="178"/>
      <c r="TZP553" s="178"/>
      <c r="TZQ553" s="178"/>
      <c r="TZR553" s="178"/>
      <c r="TZS553" s="178"/>
      <c r="TZT553" s="178"/>
      <c r="TZU553" s="178"/>
      <c r="TZV553" s="178"/>
      <c r="TZW553" s="178"/>
      <c r="TZX553" s="178"/>
      <c r="TZY553" s="178"/>
      <c r="TZZ553" s="178"/>
      <c r="UAA553" s="178"/>
      <c r="UAB553" s="178"/>
      <c r="UAC553" s="178"/>
      <c r="UAD553" s="178"/>
      <c r="UAE553" s="178"/>
      <c r="UAF553" s="178"/>
      <c r="UAG553" s="178"/>
      <c r="UAH553" s="178"/>
      <c r="UAI553" s="178"/>
      <c r="UAJ553" s="178"/>
      <c r="UAK553" s="178"/>
      <c r="UAL553" s="178"/>
      <c r="UAM553" s="178"/>
      <c r="UAN553" s="178"/>
      <c r="UAO553" s="178"/>
      <c r="UAP553" s="178"/>
      <c r="UAQ553" s="178"/>
      <c r="UAR553" s="178"/>
      <c r="UAS553" s="178"/>
      <c r="UAT553" s="178"/>
      <c r="UAU553" s="178"/>
      <c r="UAV553" s="178"/>
      <c r="UAW553" s="178"/>
      <c r="UAX553" s="178"/>
      <c r="UAY553" s="178"/>
      <c r="UAZ553" s="178"/>
      <c r="UBA553" s="178"/>
      <c r="UBB553" s="178"/>
      <c r="UBC553" s="178"/>
      <c r="UBD553" s="178"/>
      <c r="UBE553" s="178"/>
      <c r="UBF553" s="178"/>
      <c r="UBG553" s="178"/>
      <c r="UBH553" s="178"/>
      <c r="UBI553" s="178"/>
      <c r="UBJ553" s="178"/>
      <c r="UBK553" s="178"/>
      <c r="UBL553" s="178"/>
      <c r="UBM553" s="178"/>
      <c r="UBN553" s="178"/>
      <c r="UBO553" s="178"/>
      <c r="UBP553" s="178"/>
      <c r="UBQ553" s="178"/>
      <c r="UBR553" s="178"/>
      <c r="UBS553" s="178"/>
      <c r="UBT553" s="178"/>
      <c r="UBU553" s="178"/>
      <c r="UBV553" s="178"/>
      <c r="UBW553" s="178"/>
      <c r="UBX553" s="178"/>
      <c r="UBY553" s="178"/>
      <c r="UBZ553" s="178"/>
      <c r="UCA553" s="178"/>
      <c r="UCB553" s="178"/>
      <c r="UCC553" s="178"/>
      <c r="UCD553" s="178"/>
      <c r="UCE553" s="178"/>
      <c r="UCF553" s="178"/>
      <c r="UCG553" s="178"/>
      <c r="UCH553" s="178"/>
      <c r="UCI553" s="178"/>
      <c r="UCJ553" s="178"/>
      <c r="UCK553" s="178"/>
      <c r="UCL553" s="178"/>
      <c r="UCM553" s="178"/>
      <c r="UCN553" s="178"/>
      <c r="UCO553" s="178"/>
      <c r="UCP553" s="178"/>
      <c r="UCQ553" s="178"/>
      <c r="UCR553" s="178"/>
      <c r="UCS553" s="178"/>
      <c r="UCT553" s="178"/>
      <c r="UCU553" s="178"/>
      <c r="UCV553" s="178"/>
      <c r="UCW553" s="178"/>
      <c r="UCX553" s="178"/>
      <c r="UCY553" s="178"/>
      <c r="UCZ553" s="178"/>
      <c r="UDA553" s="178"/>
      <c r="UDB553" s="178"/>
      <c r="UDC553" s="178"/>
      <c r="UDD553" s="178"/>
      <c r="UDE553" s="178"/>
      <c r="UDF553" s="178"/>
      <c r="UDG553" s="178"/>
      <c r="UDH553" s="178"/>
      <c r="UDI553" s="178"/>
      <c r="UDJ553" s="178"/>
      <c r="UDK553" s="178"/>
      <c r="UDL553" s="178"/>
      <c r="UDM553" s="178"/>
      <c r="UDN553" s="178"/>
      <c r="UDO553" s="178"/>
      <c r="UDP553" s="178"/>
      <c r="UDQ553" s="178"/>
      <c r="UDR553" s="178"/>
      <c r="UDS553" s="178"/>
      <c r="UDT553" s="178"/>
      <c r="UDU553" s="178"/>
      <c r="UDV553" s="178"/>
      <c r="UDW553" s="178"/>
      <c r="UDX553" s="178"/>
      <c r="UDY553" s="178"/>
      <c r="UDZ553" s="178"/>
      <c r="UEA553" s="178"/>
      <c r="UEB553" s="178"/>
      <c r="UEC553" s="178"/>
      <c r="UED553" s="178"/>
      <c r="UEE553" s="178"/>
      <c r="UEF553" s="178"/>
      <c r="UEG553" s="178"/>
      <c r="UEH553" s="178"/>
      <c r="UEI553" s="178"/>
      <c r="UEJ553" s="178"/>
      <c r="UEK553" s="178"/>
      <c r="UEL553" s="178"/>
      <c r="UEM553" s="178"/>
      <c r="UEN553" s="178"/>
      <c r="UEO553" s="178"/>
      <c r="UEP553" s="178"/>
      <c r="UEQ553" s="178"/>
      <c r="UER553" s="178"/>
      <c r="UES553" s="178"/>
      <c r="UET553" s="178"/>
      <c r="UEU553" s="178"/>
      <c r="UEV553" s="178"/>
      <c r="UEW553" s="178"/>
      <c r="UEX553" s="178"/>
      <c r="UEY553" s="178"/>
      <c r="UEZ553" s="178"/>
      <c r="UFA553" s="178"/>
      <c r="UFB553" s="178"/>
      <c r="UFC553" s="178"/>
      <c r="UFD553" s="178"/>
      <c r="UFE553" s="178"/>
      <c r="UFF553" s="178"/>
      <c r="UFG553" s="178"/>
      <c r="UFH553" s="178"/>
      <c r="UFI553" s="178"/>
      <c r="UFJ553" s="178"/>
      <c r="UFK553" s="178"/>
      <c r="UFL553" s="178"/>
      <c r="UFM553" s="178"/>
      <c r="UFN553" s="178"/>
      <c r="UFO553" s="178"/>
      <c r="UFP553" s="178"/>
      <c r="UFQ553" s="178"/>
      <c r="UFR553" s="178"/>
      <c r="UFS553" s="178"/>
      <c r="UFT553" s="178"/>
      <c r="UFU553" s="178"/>
      <c r="UFV553" s="178"/>
      <c r="UFW553" s="178"/>
      <c r="UFX553" s="178"/>
      <c r="UFY553" s="178"/>
      <c r="UFZ553" s="178"/>
      <c r="UGA553" s="178"/>
      <c r="UGB553" s="178"/>
      <c r="UGC553" s="178"/>
      <c r="UGD553" s="178"/>
      <c r="UGE553" s="178"/>
      <c r="UGF553" s="178"/>
      <c r="UGG553" s="178"/>
      <c r="UGH553" s="178"/>
      <c r="UGI553" s="178"/>
      <c r="UGJ553" s="178"/>
      <c r="UGK553" s="178"/>
      <c r="UGL553" s="178"/>
      <c r="UGM553" s="178"/>
      <c r="UGN553" s="178"/>
      <c r="UGO553" s="178"/>
      <c r="UGP553" s="178"/>
      <c r="UGQ553" s="178"/>
      <c r="UGR553" s="178"/>
      <c r="UGS553" s="178"/>
      <c r="UGT553" s="178"/>
      <c r="UGU553" s="178"/>
      <c r="UGV553" s="178"/>
      <c r="UGW553" s="178"/>
      <c r="UGX553" s="178"/>
      <c r="UGY553" s="178"/>
      <c r="UGZ553" s="178"/>
      <c r="UHA553" s="178"/>
      <c r="UHB553" s="178"/>
      <c r="UHC553" s="178"/>
      <c r="UHD553" s="178"/>
      <c r="UHE553" s="178"/>
      <c r="UHF553" s="178"/>
      <c r="UHG553" s="178"/>
      <c r="UHH553" s="178"/>
      <c r="UHI553" s="178"/>
      <c r="UHJ553" s="178"/>
      <c r="UHK553" s="178"/>
      <c r="UHL553" s="178"/>
      <c r="UHM553" s="178"/>
      <c r="UHN553" s="178"/>
      <c r="UHO553" s="178"/>
      <c r="UHP553" s="178"/>
      <c r="UHQ553" s="178"/>
      <c r="UHR553" s="178"/>
      <c r="UHS553" s="178"/>
      <c r="UHT553" s="178"/>
      <c r="UHU553" s="178"/>
      <c r="UHV553" s="178"/>
      <c r="UHW553" s="178"/>
      <c r="UHX553" s="178"/>
      <c r="UHY553" s="178"/>
      <c r="UHZ553" s="178"/>
      <c r="UIA553" s="178"/>
      <c r="UIB553" s="178"/>
      <c r="UIC553" s="178"/>
      <c r="UID553" s="178"/>
      <c r="UIE553" s="178"/>
      <c r="UIF553" s="178"/>
      <c r="UIG553" s="178"/>
      <c r="UIH553" s="178"/>
      <c r="UII553" s="178"/>
      <c r="UIJ553" s="178"/>
      <c r="UIK553" s="178"/>
      <c r="UIL553" s="178"/>
      <c r="UIM553" s="178"/>
      <c r="UIN553" s="178"/>
      <c r="UIO553" s="178"/>
      <c r="UIP553" s="178"/>
      <c r="UIQ553" s="178"/>
      <c r="UIR553" s="178"/>
      <c r="UIS553" s="178"/>
      <c r="UIT553" s="178"/>
      <c r="UIU553" s="178"/>
      <c r="UIV553" s="178"/>
      <c r="UIW553" s="178"/>
      <c r="UIX553" s="178"/>
      <c r="UIY553" s="178"/>
      <c r="UIZ553" s="178"/>
      <c r="UJA553" s="178"/>
      <c r="UJB553" s="178"/>
      <c r="UJC553" s="178"/>
      <c r="UJD553" s="178"/>
      <c r="UJE553" s="178"/>
      <c r="UJF553" s="178"/>
      <c r="UJG553" s="178"/>
      <c r="UJH553" s="178"/>
      <c r="UJI553" s="178"/>
      <c r="UJJ553" s="178"/>
      <c r="UJK553" s="178"/>
      <c r="UJL553" s="178"/>
      <c r="UJM553" s="178"/>
      <c r="UJN553" s="178"/>
      <c r="UJO553" s="178"/>
      <c r="UJP553" s="178"/>
      <c r="UJQ553" s="178"/>
      <c r="UJR553" s="178"/>
      <c r="UJS553" s="178"/>
      <c r="UJT553" s="178"/>
      <c r="UJU553" s="178"/>
      <c r="UJV553" s="178"/>
      <c r="UJW553" s="178"/>
      <c r="UJX553" s="178"/>
      <c r="UJY553" s="178"/>
      <c r="UJZ553" s="178"/>
      <c r="UKA553" s="178"/>
      <c r="UKB553" s="178"/>
      <c r="UKC553" s="178"/>
      <c r="UKD553" s="178"/>
      <c r="UKE553" s="178"/>
      <c r="UKF553" s="178"/>
      <c r="UKG553" s="178"/>
      <c r="UKH553" s="178"/>
      <c r="UKI553" s="178"/>
      <c r="UKJ553" s="178"/>
      <c r="UKK553" s="178"/>
      <c r="UKL553" s="178"/>
      <c r="UKM553" s="178"/>
      <c r="UKN553" s="178"/>
      <c r="UKO553" s="178"/>
      <c r="UKP553" s="178"/>
      <c r="UKQ553" s="178"/>
      <c r="UKR553" s="178"/>
      <c r="UKS553" s="178"/>
      <c r="UKT553" s="178"/>
      <c r="UKU553" s="178"/>
      <c r="UKV553" s="178"/>
      <c r="UKW553" s="178"/>
      <c r="UKX553" s="178"/>
      <c r="UKY553" s="178"/>
      <c r="UKZ553" s="178"/>
      <c r="ULA553" s="178"/>
      <c r="ULB553" s="178"/>
      <c r="ULC553" s="178"/>
      <c r="ULD553" s="178"/>
      <c r="ULE553" s="178"/>
      <c r="ULF553" s="178"/>
      <c r="ULG553" s="178"/>
      <c r="ULH553" s="178"/>
      <c r="ULI553" s="178"/>
      <c r="ULJ553" s="178"/>
      <c r="ULK553" s="178"/>
      <c r="ULL553" s="178"/>
      <c r="ULM553" s="178"/>
      <c r="ULN553" s="178"/>
      <c r="ULO553" s="178"/>
      <c r="ULP553" s="178"/>
      <c r="ULQ553" s="178"/>
      <c r="ULR553" s="178"/>
      <c r="ULS553" s="178"/>
      <c r="ULT553" s="178"/>
      <c r="ULU553" s="178"/>
      <c r="ULV553" s="178"/>
      <c r="ULW553" s="178"/>
      <c r="ULX553" s="178"/>
      <c r="ULY553" s="178"/>
      <c r="ULZ553" s="178"/>
      <c r="UMA553" s="178"/>
      <c r="UMB553" s="178"/>
      <c r="UMC553" s="178"/>
      <c r="UMD553" s="178"/>
      <c r="UME553" s="178"/>
      <c r="UMF553" s="178"/>
      <c r="UMG553" s="178"/>
      <c r="UMH553" s="178"/>
      <c r="UMI553" s="178"/>
      <c r="UMJ553" s="178"/>
      <c r="UMK553" s="178"/>
      <c r="UML553" s="178"/>
      <c r="UMM553" s="178"/>
      <c r="UMN553" s="178"/>
      <c r="UMO553" s="178"/>
      <c r="UMP553" s="178"/>
      <c r="UMQ553" s="178"/>
      <c r="UMR553" s="178"/>
      <c r="UMS553" s="178"/>
      <c r="UMT553" s="178"/>
      <c r="UMU553" s="178"/>
      <c r="UMV553" s="178"/>
      <c r="UMW553" s="178"/>
      <c r="UMX553" s="178"/>
      <c r="UMY553" s="178"/>
      <c r="UMZ553" s="178"/>
      <c r="UNA553" s="178"/>
      <c r="UNB553" s="178"/>
      <c r="UNC553" s="178"/>
      <c r="UND553" s="178"/>
      <c r="UNE553" s="178"/>
      <c r="UNF553" s="178"/>
      <c r="UNG553" s="178"/>
      <c r="UNH553" s="178"/>
      <c r="UNI553" s="178"/>
      <c r="UNJ553" s="178"/>
      <c r="UNK553" s="178"/>
      <c r="UNL553" s="178"/>
      <c r="UNM553" s="178"/>
      <c r="UNN553" s="178"/>
      <c r="UNO553" s="178"/>
      <c r="UNP553" s="178"/>
      <c r="UNQ553" s="178"/>
      <c r="UNR553" s="178"/>
      <c r="UNS553" s="178"/>
      <c r="UNT553" s="178"/>
      <c r="UNU553" s="178"/>
      <c r="UNV553" s="178"/>
      <c r="UNW553" s="178"/>
      <c r="UNX553" s="178"/>
      <c r="UNY553" s="178"/>
      <c r="UNZ553" s="178"/>
      <c r="UOA553" s="178"/>
      <c r="UOB553" s="178"/>
      <c r="UOC553" s="178"/>
      <c r="UOD553" s="178"/>
      <c r="UOE553" s="178"/>
      <c r="UOF553" s="178"/>
      <c r="UOG553" s="178"/>
      <c r="UOH553" s="178"/>
      <c r="UOI553" s="178"/>
      <c r="UOJ553" s="178"/>
      <c r="UOK553" s="178"/>
      <c r="UOL553" s="178"/>
      <c r="UOM553" s="178"/>
      <c r="UON553" s="178"/>
      <c r="UOO553" s="178"/>
      <c r="UOP553" s="178"/>
      <c r="UOQ553" s="178"/>
      <c r="UOR553" s="178"/>
      <c r="UOS553" s="178"/>
      <c r="UOT553" s="178"/>
      <c r="UOU553" s="178"/>
      <c r="UOV553" s="178"/>
      <c r="UOW553" s="178"/>
      <c r="UOX553" s="178"/>
      <c r="UOY553" s="178"/>
      <c r="UOZ553" s="178"/>
      <c r="UPA553" s="178"/>
      <c r="UPB553" s="178"/>
      <c r="UPC553" s="178"/>
      <c r="UPD553" s="178"/>
      <c r="UPE553" s="178"/>
      <c r="UPF553" s="178"/>
      <c r="UPG553" s="178"/>
      <c r="UPH553" s="178"/>
      <c r="UPI553" s="178"/>
      <c r="UPJ553" s="178"/>
      <c r="UPK553" s="178"/>
      <c r="UPL553" s="178"/>
      <c r="UPM553" s="178"/>
      <c r="UPN553" s="178"/>
      <c r="UPO553" s="178"/>
      <c r="UPP553" s="178"/>
      <c r="UPQ553" s="178"/>
      <c r="UPR553" s="178"/>
      <c r="UPS553" s="178"/>
      <c r="UPT553" s="178"/>
      <c r="UPU553" s="178"/>
      <c r="UPV553" s="178"/>
      <c r="UPW553" s="178"/>
      <c r="UPX553" s="178"/>
      <c r="UPY553" s="178"/>
      <c r="UPZ553" s="178"/>
      <c r="UQA553" s="178"/>
      <c r="UQB553" s="178"/>
      <c r="UQC553" s="178"/>
      <c r="UQD553" s="178"/>
      <c r="UQE553" s="178"/>
      <c r="UQF553" s="178"/>
      <c r="UQG553" s="178"/>
      <c r="UQH553" s="178"/>
      <c r="UQI553" s="178"/>
      <c r="UQJ553" s="178"/>
      <c r="UQK553" s="178"/>
      <c r="UQL553" s="178"/>
      <c r="UQM553" s="178"/>
      <c r="UQN553" s="178"/>
      <c r="UQO553" s="178"/>
      <c r="UQP553" s="178"/>
      <c r="UQQ553" s="178"/>
      <c r="UQR553" s="178"/>
      <c r="UQS553" s="178"/>
      <c r="UQT553" s="178"/>
      <c r="UQU553" s="178"/>
      <c r="UQV553" s="178"/>
      <c r="UQW553" s="178"/>
      <c r="UQX553" s="178"/>
      <c r="UQY553" s="178"/>
      <c r="UQZ553" s="178"/>
      <c r="URA553" s="178"/>
      <c r="URB553" s="178"/>
      <c r="URC553" s="178"/>
      <c r="URD553" s="178"/>
      <c r="URE553" s="178"/>
      <c r="URF553" s="178"/>
      <c r="URG553" s="178"/>
      <c r="URH553" s="178"/>
      <c r="URI553" s="178"/>
      <c r="URJ553" s="178"/>
      <c r="URK553" s="178"/>
      <c r="URL553" s="178"/>
      <c r="URM553" s="178"/>
      <c r="URN553" s="178"/>
      <c r="URO553" s="178"/>
      <c r="URP553" s="178"/>
      <c r="URQ553" s="178"/>
      <c r="URR553" s="178"/>
      <c r="URS553" s="178"/>
      <c r="URT553" s="178"/>
      <c r="URU553" s="178"/>
      <c r="URV553" s="178"/>
      <c r="URW553" s="178"/>
      <c r="URX553" s="178"/>
      <c r="URY553" s="178"/>
      <c r="URZ553" s="178"/>
      <c r="USA553" s="178"/>
      <c r="USB553" s="178"/>
      <c r="USC553" s="178"/>
      <c r="USD553" s="178"/>
      <c r="USE553" s="178"/>
      <c r="USF553" s="178"/>
      <c r="USG553" s="178"/>
      <c r="USH553" s="178"/>
      <c r="USI553" s="178"/>
      <c r="USJ553" s="178"/>
      <c r="USK553" s="178"/>
      <c r="USL553" s="178"/>
      <c r="USM553" s="178"/>
      <c r="USN553" s="178"/>
      <c r="USO553" s="178"/>
      <c r="USP553" s="178"/>
      <c r="USQ553" s="178"/>
      <c r="USR553" s="178"/>
      <c r="USS553" s="178"/>
      <c r="UST553" s="178"/>
      <c r="USU553" s="178"/>
      <c r="USV553" s="178"/>
      <c r="USW553" s="178"/>
      <c r="USX553" s="178"/>
      <c r="USY553" s="178"/>
      <c r="USZ553" s="178"/>
      <c r="UTA553" s="178"/>
      <c r="UTB553" s="178"/>
      <c r="UTC553" s="178"/>
      <c r="UTD553" s="178"/>
      <c r="UTE553" s="178"/>
      <c r="UTF553" s="178"/>
      <c r="UTG553" s="178"/>
      <c r="UTH553" s="178"/>
      <c r="UTI553" s="178"/>
      <c r="UTJ553" s="178"/>
      <c r="UTK553" s="178"/>
      <c r="UTL553" s="178"/>
      <c r="UTM553" s="178"/>
      <c r="UTN553" s="178"/>
      <c r="UTO553" s="178"/>
      <c r="UTP553" s="178"/>
      <c r="UTQ553" s="178"/>
      <c r="UTR553" s="178"/>
      <c r="UTS553" s="178"/>
      <c r="UTT553" s="178"/>
      <c r="UTU553" s="178"/>
      <c r="UTV553" s="178"/>
      <c r="UTW553" s="178"/>
      <c r="UTX553" s="178"/>
      <c r="UTY553" s="178"/>
      <c r="UTZ553" s="178"/>
      <c r="UUA553" s="178"/>
      <c r="UUB553" s="178"/>
      <c r="UUC553" s="178"/>
      <c r="UUD553" s="178"/>
      <c r="UUE553" s="178"/>
      <c r="UUF553" s="178"/>
      <c r="UUG553" s="178"/>
      <c r="UUH553" s="178"/>
      <c r="UUI553" s="178"/>
      <c r="UUJ553" s="178"/>
      <c r="UUK553" s="178"/>
      <c r="UUL553" s="178"/>
      <c r="UUM553" s="178"/>
      <c r="UUN553" s="178"/>
      <c r="UUO553" s="178"/>
      <c r="UUP553" s="178"/>
      <c r="UUQ553" s="178"/>
      <c r="UUR553" s="178"/>
      <c r="UUS553" s="178"/>
      <c r="UUT553" s="178"/>
      <c r="UUU553" s="178"/>
      <c r="UUV553" s="178"/>
      <c r="UUW553" s="178"/>
      <c r="UUX553" s="178"/>
      <c r="UUY553" s="178"/>
      <c r="UUZ553" s="178"/>
      <c r="UVA553" s="178"/>
      <c r="UVB553" s="178"/>
      <c r="UVC553" s="178"/>
      <c r="UVD553" s="178"/>
      <c r="UVE553" s="178"/>
      <c r="UVF553" s="178"/>
      <c r="UVG553" s="178"/>
      <c r="UVH553" s="178"/>
      <c r="UVI553" s="178"/>
      <c r="UVJ553" s="178"/>
      <c r="UVK553" s="178"/>
      <c r="UVL553" s="178"/>
      <c r="UVM553" s="178"/>
      <c r="UVN553" s="178"/>
      <c r="UVO553" s="178"/>
      <c r="UVP553" s="178"/>
      <c r="UVQ553" s="178"/>
      <c r="UVR553" s="178"/>
      <c r="UVS553" s="178"/>
      <c r="UVT553" s="178"/>
      <c r="UVU553" s="178"/>
      <c r="UVV553" s="178"/>
      <c r="UVW553" s="178"/>
      <c r="UVX553" s="178"/>
      <c r="UVY553" s="178"/>
      <c r="UVZ553" s="178"/>
      <c r="UWA553" s="178"/>
      <c r="UWB553" s="178"/>
      <c r="UWC553" s="178"/>
      <c r="UWD553" s="178"/>
      <c r="UWE553" s="178"/>
      <c r="UWF553" s="178"/>
      <c r="UWG553" s="178"/>
      <c r="UWH553" s="178"/>
      <c r="UWI553" s="178"/>
      <c r="UWJ553" s="178"/>
      <c r="UWK553" s="178"/>
      <c r="UWL553" s="178"/>
      <c r="UWM553" s="178"/>
      <c r="UWN553" s="178"/>
      <c r="UWO553" s="178"/>
      <c r="UWP553" s="178"/>
      <c r="UWQ553" s="178"/>
      <c r="UWR553" s="178"/>
      <c r="UWS553" s="178"/>
      <c r="UWT553" s="178"/>
      <c r="UWU553" s="178"/>
      <c r="UWV553" s="178"/>
      <c r="UWW553" s="178"/>
      <c r="UWX553" s="178"/>
      <c r="UWY553" s="178"/>
      <c r="UWZ553" s="178"/>
      <c r="UXA553" s="178"/>
      <c r="UXB553" s="178"/>
      <c r="UXC553" s="178"/>
      <c r="UXD553" s="178"/>
      <c r="UXE553" s="178"/>
      <c r="UXF553" s="178"/>
      <c r="UXG553" s="178"/>
      <c r="UXH553" s="178"/>
      <c r="UXI553" s="178"/>
      <c r="UXJ553" s="178"/>
      <c r="UXK553" s="178"/>
      <c r="UXL553" s="178"/>
      <c r="UXM553" s="178"/>
      <c r="UXN553" s="178"/>
      <c r="UXO553" s="178"/>
      <c r="UXP553" s="178"/>
      <c r="UXQ553" s="178"/>
      <c r="UXR553" s="178"/>
      <c r="UXS553" s="178"/>
      <c r="UXT553" s="178"/>
      <c r="UXU553" s="178"/>
      <c r="UXV553" s="178"/>
      <c r="UXW553" s="178"/>
      <c r="UXX553" s="178"/>
      <c r="UXY553" s="178"/>
      <c r="UXZ553" s="178"/>
      <c r="UYA553" s="178"/>
      <c r="UYB553" s="178"/>
      <c r="UYC553" s="178"/>
      <c r="UYD553" s="178"/>
      <c r="UYE553" s="178"/>
      <c r="UYF553" s="178"/>
      <c r="UYG553" s="178"/>
      <c r="UYH553" s="178"/>
      <c r="UYI553" s="178"/>
      <c r="UYJ553" s="178"/>
      <c r="UYK553" s="178"/>
      <c r="UYL553" s="178"/>
      <c r="UYM553" s="178"/>
      <c r="UYN553" s="178"/>
      <c r="UYO553" s="178"/>
      <c r="UYP553" s="178"/>
      <c r="UYQ553" s="178"/>
      <c r="UYR553" s="178"/>
      <c r="UYS553" s="178"/>
      <c r="UYT553" s="178"/>
      <c r="UYU553" s="178"/>
      <c r="UYV553" s="178"/>
      <c r="UYW553" s="178"/>
      <c r="UYX553" s="178"/>
      <c r="UYY553" s="178"/>
      <c r="UYZ553" s="178"/>
      <c r="UZA553" s="178"/>
      <c r="UZB553" s="178"/>
      <c r="UZC553" s="178"/>
      <c r="UZD553" s="178"/>
      <c r="UZE553" s="178"/>
      <c r="UZF553" s="178"/>
      <c r="UZG553" s="178"/>
      <c r="UZH553" s="178"/>
      <c r="UZI553" s="178"/>
      <c r="UZJ553" s="178"/>
      <c r="UZK553" s="178"/>
      <c r="UZL553" s="178"/>
      <c r="UZM553" s="178"/>
      <c r="UZN553" s="178"/>
      <c r="UZO553" s="178"/>
      <c r="UZP553" s="178"/>
      <c r="UZQ553" s="178"/>
      <c r="UZR553" s="178"/>
      <c r="UZS553" s="178"/>
      <c r="UZT553" s="178"/>
      <c r="UZU553" s="178"/>
      <c r="UZV553" s="178"/>
      <c r="UZW553" s="178"/>
      <c r="UZX553" s="178"/>
      <c r="UZY553" s="178"/>
      <c r="UZZ553" s="178"/>
      <c r="VAA553" s="178"/>
      <c r="VAB553" s="178"/>
      <c r="VAC553" s="178"/>
      <c r="VAD553" s="178"/>
      <c r="VAE553" s="178"/>
      <c r="VAF553" s="178"/>
      <c r="VAG553" s="178"/>
      <c r="VAH553" s="178"/>
      <c r="VAI553" s="178"/>
      <c r="VAJ553" s="178"/>
      <c r="VAK553" s="178"/>
      <c r="VAL553" s="178"/>
      <c r="VAM553" s="178"/>
      <c r="VAN553" s="178"/>
      <c r="VAO553" s="178"/>
      <c r="VAP553" s="178"/>
      <c r="VAQ553" s="178"/>
      <c r="VAR553" s="178"/>
      <c r="VAS553" s="178"/>
      <c r="VAT553" s="178"/>
      <c r="VAU553" s="178"/>
      <c r="VAV553" s="178"/>
      <c r="VAW553" s="178"/>
      <c r="VAX553" s="178"/>
      <c r="VAY553" s="178"/>
      <c r="VAZ553" s="178"/>
      <c r="VBA553" s="178"/>
      <c r="VBB553" s="178"/>
      <c r="VBC553" s="178"/>
      <c r="VBD553" s="178"/>
      <c r="VBE553" s="178"/>
      <c r="VBF553" s="178"/>
      <c r="VBG553" s="178"/>
      <c r="VBH553" s="178"/>
      <c r="VBI553" s="178"/>
      <c r="VBJ553" s="178"/>
      <c r="VBK553" s="178"/>
      <c r="VBL553" s="178"/>
      <c r="VBM553" s="178"/>
      <c r="VBN553" s="178"/>
      <c r="VBO553" s="178"/>
      <c r="VBP553" s="178"/>
      <c r="VBQ553" s="178"/>
      <c r="VBR553" s="178"/>
      <c r="VBS553" s="178"/>
      <c r="VBT553" s="178"/>
      <c r="VBU553" s="178"/>
      <c r="VBV553" s="178"/>
      <c r="VBW553" s="178"/>
      <c r="VBX553" s="178"/>
      <c r="VBY553" s="178"/>
      <c r="VBZ553" s="178"/>
      <c r="VCA553" s="178"/>
      <c r="VCB553" s="178"/>
      <c r="VCC553" s="178"/>
      <c r="VCD553" s="178"/>
      <c r="VCE553" s="178"/>
      <c r="VCF553" s="178"/>
      <c r="VCG553" s="178"/>
      <c r="VCH553" s="178"/>
      <c r="VCI553" s="178"/>
      <c r="VCJ553" s="178"/>
      <c r="VCK553" s="178"/>
      <c r="VCL553" s="178"/>
      <c r="VCM553" s="178"/>
      <c r="VCN553" s="178"/>
      <c r="VCO553" s="178"/>
      <c r="VCP553" s="178"/>
      <c r="VCQ553" s="178"/>
      <c r="VCR553" s="178"/>
      <c r="VCS553" s="178"/>
      <c r="VCT553" s="178"/>
      <c r="VCU553" s="178"/>
      <c r="VCV553" s="178"/>
      <c r="VCW553" s="178"/>
      <c r="VCX553" s="178"/>
      <c r="VCY553" s="178"/>
      <c r="VCZ553" s="178"/>
      <c r="VDA553" s="178"/>
      <c r="VDB553" s="178"/>
      <c r="VDC553" s="178"/>
      <c r="VDD553" s="178"/>
      <c r="VDE553" s="178"/>
      <c r="VDF553" s="178"/>
      <c r="VDG553" s="178"/>
      <c r="VDH553" s="178"/>
      <c r="VDI553" s="178"/>
      <c r="VDJ553" s="178"/>
      <c r="VDK553" s="178"/>
      <c r="VDL553" s="178"/>
      <c r="VDM553" s="178"/>
      <c r="VDN553" s="178"/>
      <c r="VDO553" s="178"/>
      <c r="VDP553" s="178"/>
      <c r="VDQ553" s="178"/>
      <c r="VDR553" s="178"/>
      <c r="VDS553" s="178"/>
      <c r="VDT553" s="178"/>
      <c r="VDU553" s="178"/>
      <c r="VDV553" s="178"/>
      <c r="VDW553" s="178"/>
      <c r="VDX553" s="178"/>
      <c r="VDY553" s="178"/>
      <c r="VDZ553" s="178"/>
      <c r="VEA553" s="178"/>
      <c r="VEB553" s="178"/>
      <c r="VEC553" s="178"/>
      <c r="VED553" s="178"/>
      <c r="VEE553" s="178"/>
      <c r="VEF553" s="178"/>
      <c r="VEG553" s="178"/>
      <c r="VEH553" s="178"/>
      <c r="VEI553" s="178"/>
      <c r="VEJ553" s="178"/>
      <c r="VEK553" s="178"/>
      <c r="VEL553" s="178"/>
      <c r="VEM553" s="178"/>
      <c r="VEN553" s="178"/>
      <c r="VEO553" s="178"/>
      <c r="VEP553" s="178"/>
      <c r="VEQ553" s="178"/>
      <c r="VER553" s="178"/>
      <c r="VES553" s="178"/>
      <c r="VET553" s="178"/>
      <c r="VEU553" s="178"/>
      <c r="VEV553" s="178"/>
      <c r="VEW553" s="178"/>
      <c r="VEX553" s="178"/>
      <c r="VEY553" s="178"/>
      <c r="VEZ553" s="178"/>
      <c r="VFA553" s="178"/>
      <c r="VFB553" s="178"/>
      <c r="VFC553" s="178"/>
      <c r="VFD553" s="178"/>
      <c r="VFE553" s="178"/>
      <c r="VFF553" s="178"/>
      <c r="VFG553" s="178"/>
      <c r="VFH553" s="178"/>
      <c r="VFI553" s="178"/>
      <c r="VFJ553" s="178"/>
      <c r="VFK553" s="178"/>
      <c r="VFL553" s="178"/>
      <c r="VFM553" s="178"/>
      <c r="VFN553" s="178"/>
      <c r="VFO553" s="178"/>
      <c r="VFP553" s="178"/>
      <c r="VFQ553" s="178"/>
      <c r="VFR553" s="178"/>
      <c r="VFS553" s="178"/>
      <c r="VFT553" s="178"/>
      <c r="VFU553" s="178"/>
      <c r="VFV553" s="178"/>
      <c r="VFW553" s="178"/>
      <c r="VFX553" s="178"/>
      <c r="VFY553" s="178"/>
      <c r="VFZ553" s="178"/>
      <c r="VGA553" s="178"/>
      <c r="VGB553" s="178"/>
      <c r="VGC553" s="178"/>
      <c r="VGD553" s="178"/>
      <c r="VGE553" s="178"/>
      <c r="VGF553" s="178"/>
      <c r="VGG553" s="178"/>
      <c r="VGH553" s="178"/>
      <c r="VGI553" s="178"/>
      <c r="VGJ553" s="178"/>
      <c r="VGK553" s="178"/>
      <c r="VGL553" s="178"/>
      <c r="VGM553" s="178"/>
      <c r="VGN553" s="178"/>
      <c r="VGO553" s="178"/>
      <c r="VGP553" s="178"/>
      <c r="VGQ553" s="178"/>
      <c r="VGR553" s="178"/>
      <c r="VGS553" s="178"/>
      <c r="VGT553" s="178"/>
      <c r="VGU553" s="178"/>
      <c r="VGV553" s="178"/>
      <c r="VGW553" s="178"/>
      <c r="VGX553" s="178"/>
      <c r="VGY553" s="178"/>
      <c r="VGZ553" s="178"/>
      <c r="VHA553" s="178"/>
      <c r="VHB553" s="178"/>
      <c r="VHC553" s="178"/>
      <c r="VHD553" s="178"/>
      <c r="VHE553" s="178"/>
      <c r="VHF553" s="178"/>
      <c r="VHG553" s="178"/>
      <c r="VHH553" s="178"/>
      <c r="VHI553" s="178"/>
      <c r="VHJ553" s="178"/>
      <c r="VHK553" s="178"/>
      <c r="VHL553" s="178"/>
      <c r="VHM553" s="178"/>
      <c r="VHN553" s="178"/>
      <c r="VHO553" s="178"/>
      <c r="VHP553" s="178"/>
      <c r="VHQ553" s="178"/>
      <c r="VHR553" s="178"/>
      <c r="VHS553" s="178"/>
      <c r="VHT553" s="178"/>
      <c r="VHU553" s="178"/>
      <c r="VHV553" s="178"/>
      <c r="VHW553" s="178"/>
      <c r="VHX553" s="178"/>
      <c r="VHY553" s="178"/>
      <c r="VHZ553" s="178"/>
      <c r="VIA553" s="178"/>
      <c r="VIB553" s="178"/>
      <c r="VIC553" s="178"/>
      <c r="VID553" s="178"/>
      <c r="VIE553" s="178"/>
      <c r="VIF553" s="178"/>
      <c r="VIG553" s="178"/>
      <c r="VIH553" s="178"/>
      <c r="VII553" s="178"/>
      <c r="VIJ553" s="178"/>
      <c r="VIK553" s="178"/>
      <c r="VIL553" s="178"/>
      <c r="VIM553" s="178"/>
      <c r="VIN553" s="178"/>
      <c r="VIO553" s="178"/>
      <c r="VIP553" s="178"/>
      <c r="VIQ553" s="178"/>
      <c r="VIR553" s="178"/>
      <c r="VIS553" s="178"/>
      <c r="VIT553" s="178"/>
      <c r="VIU553" s="178"/>
      <c r="VIV553" s="178"/>
      <c r="VIW553" s="178"/>
      <c r="VIX553" s="178"/>
      <c r="VIY553" s="178"/>
      <c r="VIZ553" s="178"/>
      <c r="VJA553" s="178"/>
      <c r="VJB553" s="178"/>
      <c r="VJC553" s="178"/>
      <c r="VJD553" s="178"/>
      <c r="VJE553" s="178"/>
      <c r="VJF553" s="178"/>
      <c r="VJG553" s="178"/>
      <c r="VJH553" s="178"/>
      <c r="VJI553" s="178"/>
      <c r="VJJ553" s="178"/>
      <c r="VJK553" s="178"/>
      <c r="VJL553" s="178"/>
      <c r="VJM553" s="178"/>
      <c r="VJN553" s="178"/>
      <c r="VJO553" s="178"/>
      <c r="VJP553" s="178"/>
      <c r="VJQ553" s="178"/>
      <c r="VJR553" s="178"/>
      <c r="VJS553" s="178"/>
      <c r="VJT553" s="178"/>
      <c r="VJU553" s="178"/>
      <c r="VJV553" s="178"/>
      <c r="VJW553" s="178"/>
      <c r="VJX553" s="178"/>
      <c r="VJY553" s="178"/>
      <c r="VJZ553" s="178"/>
      <c r="VKA553" s="178"/>
      <c r="VKB553" s="178"/>
      <c r="VKC553" s="178"/>
      <c r="VKD553" s="178"/>
      <c r="VKE553" s="178"/>
      <c r="VKF553" s="178"/>
      <c r="VKG553" s="178"/>
      <c r="VKH553" s="178"/>
      <c r="VKI553" s="178"/>
      <c r="VKJ553" s="178"/>
      <c r="VKK553" s="178"/>
      <c r="VKL553" s="178"/>
      <c r="VKM553" s="178"/>
      <c r="VKN553" s="178"/>
      <c r="VKO553" s="178"/>
      <c r="VKP553" s="178"/>
      <c r="VKQ553" s="178"/>
      <c r="VKR553" s="178"/>
      <c r="VKS553" s="178"/>
      <c r="VKT553" s="178"/>
      <c r="VKU553" s="178"/>
      <c r="VKV553" s="178"/>
      <c r="VKW553" s="178"/>
      <c r="VKX553" s="178"/>
      <c r="VKY553" s="178"/>
      <c r="VKZ553" s="178"/>
      <c r="VLA553" s="178"/>
      <c r="VLB553" s="178"/>
      <c r="VLC553" s="178"/>
      <c r="VLD553" s="178"/>
      <c r="VLE553" s="178"/>
      <c r="VLF553" s="178"/>
      <c r="VLG553" s="178"/>
      <c r="VLH553" s="178"/>
      <c r="VLI553" s="178"/>
      <c r="VLJ553" s="178"/>
      <c r="VLK553" s="178"/>
      <c r="VLL553" s="178"/>
      <c r="VLM553" s="178"/>
      <c r="VLN553" s="178"/>
      <c r="VLO553" s="178"/>
      <c r="VLP553" s="178"/>
      <c r="VLQ553" s="178"/>
      <c r="VLR553" s="178"/>
      <c r="VLS553" s="178"/>
      <c r="VLT553" s="178"/>
      <c r="VLU553" s="178"/>
      <c r="VLV553" s="178"/>
      <c r="VLW553" s="178"/>
      <c r="VLX553" s="178"/>
      <c r="VLY553" s="178"/>
      <c r="VLZ553" s="178"/>
      <c r="VMA553" s="178"/>
      <c r="VMB553" s="178"/>
      <c r="VMC553" s="178"/>
      <c r="VMD553" s="178"/>
      <c r="VME553" s="178"/>
      <c r="VMF553" s="178"/>
      <c r="VMG553" s="178"/>
      <c r="VMH553" s="178"/>
      <c r="VMI553" s="178"/>
      <c r="VMJ553" s="178"/>
      <c r="VMK553" s="178"/>
      <c r="VML553" s="178"/>
      <c r="VMM553" s="178"/>
      <c r="VMN553" s="178"/>
      <c r="VMO553" s="178"/>
      <c r="VMP553" s="178"/>
      <c r="VMQ553" s="178"/>
      <c r="VMR553" s="178"/>
      <c r="VMS553" s="178"/>
      <c r="VMT553" s="178"/>
      <c r="VMU553" s="178"/>
      <c r="VMV553" s="178"/>
      <c r="VMW553" s="178"/>
      <c r="VMX553" s="178"/>
      <c r="VMY553" s="178"/>
      <c r="VMZ553" s="178"/>
      <c r="VNA553" s="178"/>
      <c r="VNB553" s="178"/>
      <c r="VNC553" s="178"/>
      <c r="VND553" s="178"/>
      <c r="VNE553" s="178"/>
      <c r="VNF553" s="178"/>
      <c r="VNG553" s="178"/>
      <c r="VNH553" s="178"/>
      <c r="VNI553" s="178"/>
      <c r="VNJ553" s="178"/>
      <c r="VNK553" s="178"/>
      <c r="VNL553" s="178"/>
      <c r="VNM553" s="178"/>
      <c r="VNN553" s="178"/>
      <c r="VNO553" s="178"/>
      <c r="VNP553" s="178"/>
      <c r="VNQ553" s="178"/>
      <c r="VNR553" s="178"/>
      <c r="VNS553" s="178"/>
      <c r="VNT553" s="178"/>
      <c r="VNU553" s="178"/>
      <c r="VNV553" s="178"/>
      <c r="VNW553" s="178"/>
      <c r="VNX553" s="178"/>
      <c r="VNY553" s="178"/>
      <c r="VNZ553" s="178"/>
      <c r="VOA553" s="178"/>
      <c r="VOB553" s="178"/>
      <c r="VOC553" s="178"/>
      <c r="VOD553" s="178"/>
      <c r="VOE553" s="178"/>
      <c r="VOF553" s="178"/>
      <c r="VOG553" s="178"/>
      <c r="VOH553" s="178"/>
      <c r="VOI553" s="178"/>
      <c r="VOJ553" s="178"/>
      <c r="VOK553" s="178"/>
      <c r="VOL553" s="178"/>
      <c r="VOM553" s="178"/>
      <c r="VON553" s="178"/>
      <c r="VOO553" s="178"/>
      <c r="VOP553" s="178"/>
      <c r="VOQ553" s="178"/>
      <c r="VOR553" s="178"/>
      <c r="VOS553" s="178"/>
      <c r="VOT553" s="178"/>
      <c r="VOU553" s="178"/>
      <c r="VOV553" s="178"/>
      <c r="VOW553" s="178"/>
      <c r="VOX553" s="178"/>
      <c r="VOY553" s="178"/>
      <c r="VOZ553" s="178"/>
      <c r="VPA553" s="178"/>
      <c r="VPB553" s="178"/>
      <c r="VPC553" s="178"/>
      <c r="VPD553" s="178"/>
      <c r="VPE553" s="178"/>
      <c r="VPF553" s="178"/>
      <c r="VPG553" s="178"/>
      <c r="VPH553" s="178"/>
      <c r="VPI553" s="178"/>
      <c r="VPJ553" s="178"/>
      <c r="VPK553" s="178"/>
      <c r="VPL553" s="178"/>
      <c r="VPM553" s="178"/>
      <c r="VPN553" s="178"/>
      <c r="VPO553" s="178"/>
      <c r="VPP553" s="178"/>
      <c r="VPQ553" s="178"/>
      <c r="VPR553" s="178"/>
      <c r="VPS553" s="178"/>
      <c r="VPT553" s="178"/>
      <c r="VPU553" s="178"/>
      <c r="VPV553" s="178"/>
      <c r="VPW553" s="178"/>
      <c r="VPX553" s="178"/>
      <c r="VPY553" s="178"/>
      <c r="VPZ553" s="178"/>
      <c r="VQA553" s="178"/>
      <c r="VQB553" s="178"/>
      <c r="VQC553" s="178"/>
      <c r="VQD553" s="178"/>
      <c r="VQE553" s="178"/>
      <c r="VQF553" s="178"/>
      <c r="VQG553" s="178"/>
      <c r="VQH553" s="178"/>
      <c r="VQI553" s="178"/>
      <c r="VQJ553" s="178"/>
      <c r="VQK553" s="178"/>
      <c r="VQL553" s="178"/>
      <c r="VQM553" s="178"/>
      <c r="VQN553" s="178"/>
      <c r="VQO553" s="178"/>
      <c r="VQP553" s="178"/>
      <c r="VQQ553" s="178"/>
      <c r="VQR553" s="178"/>
      <c r="VQS553" s="178"/>
      <c r="VQT553" s="178"/>
      <c r="VQU553" s="178"/>
      <c r="VQV553" s="178"/>
      <c r="VQW553" s="178"/>
      <c r="VQX553" s="178"/>
      <c r="VQY553" s="178"/>
      <c r="VQZ553" s="178"/>
      <c r="VRA553" s="178"/>
      <c r="VRB553" s="178"/>
      <c r="VRC553" s="178"/>
      <c r="VRD553" s="178"/>
      <c r="VRE553" s="178"/>
      <c r="VRF553" s="178"/>
      <c r="VRG553" s="178"/>
      <c r="VRH553" s="178"/>
      <c r="VRI553" s="178"/>
      <c r="VRJ553" s="178"/>
      <c r="VRK553" s="178"/>
      <c r="VRL553" s="178"/>
      <c r="VRM553" s="178"/>
      <c r="VRN553" s="178"/>
      <c r="VRO553" s="178"/>
      <c r="VRP553" s="178"/>
      <c r="VRQ553" s="178"/>
      <c r="VRR553" s="178"/>
      <c r="VRS553" s="178"/>
      <c r="VRT553" s="178"/>
      <c r="VRU553" s="178"/>
      <c r="VRV553" s="178"/>
      <c r="VRW553" s="178"/>
      <c r="VRX553" s="178"/>
      <c r="VRY553" s="178"/>
      <c r="VRZ553" s="178"/>
      <c r="VSA553" s="178"/>
      <c r="VSB553" s="178"/>
      <c r="VSC553" s="178"/>
      <c r="VSD553" s="178"/>
      <c r="VSE553" s="178"/>
      <c r="VSF553" s="178"/>
      <c r="VSG553" s="178"/>
      <c r="VSH553" s="178"/>
      <c r="VSI553" s="178"/>
      <c r="VSJ553" s="178"/>
      <c r="VSK553" s="178"/>
      <c r="VSL553" s="178"/>
      <c r="VSM553" s="178"/>
      <c r="VSN553" s="178"/>
      <c r="VSO553" s="178"/>
      <c r="VSP553" s="178"/>
      <c r="VSQ553" s="178"/>
      <c r="VSR553" s="178"/>
      <c r="VSS553" s="178"/>
      <c r="VST553" s="178"/>
      <c r="VSU553" s="178"/>
      <c r="VSV553" s="178"/>
      <c r="VSW553" s="178"/>
      <c r="VSX553" s="178"/>
      <c r="VSY553" s="178"/>
      <c r="VSZ553" s="178"/>
      <c r="VTA553" s="178"/>
      <c r="VTB553" s="178"/>
      <c r="VTC553" s="178"/>
      <c r="VTD553" s="178"/>
      <c r="VTE553" s="178"/>
      <c r="VTF553" s="178"/>
      <c r="VTG553" s="178"/>
      <c r="VTH553" s="178"/>
      <c r="VTI553" s="178"/>
      <c r="VTJ553" s="178"/>
      <c r="VTK553" s="178"/>
      <c r="VTL553" s="178"/>
      <c r="VTM553" s="178"/>
      <c r="VTN553" s="178"/>
      <c r="VTO553" s="178"/>
      <c r="VTP553" s="178"/>
      <c r="VTQ553" s="178"/>
      <c r="VTR553" s="178"/>
      <c r="VTS553" s="178"/>
      <c r="VTT553" s="178"/>
      <c r="VTU553" s="178"/>
      <c r="VTV553" s="178"/>
      <c r="VTW553" s="178"/>
      <c r="VTX553" s="178"/>
      <c r="VTY553" s="178"/>
      <c r="VTZ553" s="178"/>
      <c r="VUA553" s="178"/>
      <c r="VUB553" s="178"/>
      <c r="VUC553" s="178"/>
      <c r="VUD553" s="178"/>
      <c r="VUE553" s="178"/>
      <c r="VUF553" s="178"/>
      <c r="VUG553" s="178"/>
      <c r="VUH553" s="178"/>
      <c r="VUI553" s="178"/>
      <c r="VUJ553" s="178"/>
      <c r="VUK553" s="178"/>
      <c r="VUL553" s="178"/>
      <c r="VUM553" s="178"/>
      <c r="VUN553" s="178"/>
      <c r="VUO553" s="178"/>
      <c r="VUP553" s="178"/>
      <c r="VUQ553" s="178"/>
      <c r="VUR553" s="178"/>
      <c r="VUS553" s="178"/>
      <c r="VUT553" s="178"/>
      <c r="VUU553" s="178"/>
      <c r="VUV553" s="178"/>
      <c r="VUW553" s="178"/>
      <c r="VUX553" s="178"/>
      <c r="VUY553" s="178"/>
      <c r="VUZ553" s="178"/>
      <c r="VVA553" s="178"/>
      <c r="VVB553" s="178"/>
      <c r="VVC553" s="178"/>
      <c r="VVD553" s="178"/>
      <c r="VVE553" s="178"/>
      <c r="VVF553" s="178"/>
      <c r="VVG553" s="178"/>
      <c r="VVH553" s="178"/>
      <c r="VVI553" s="178"/>
      <c r="VVJ553" s="178"/>
      <c r="VVK553" s="178"/>
      <c r="VVL553" s="178"/>
      <c r="VVM553" s="178"/>
      <c r="VVN553" s="178"/>
      <c r="VVO553" s="178"/>
      <c r="VVP553" s="178"/>
      <c r="VVQ553" s="178"/>
      <c r="VVR553" s="178"/>
      <c r="VVS553" s="178"/>
      <c r="VVT553" s="178"/>
      <c r="VVU553" s="178"/>
      <c r="VVV553" s="178"/>
      <c r="VVW553" s="178"/>
      <c r="VVX553" s="178"/>
      <c r="VVY553" s="178"/>
      <c r="VVZ553" s="178"/>
      <c r="VWA553" s="178"/>
      <c r="VWB553" s="178"/>
      <c r="VWC553" s="178"/>
      <c r="VWD553" s="178"/>
      <c r="VWE553" s="178"/>
      <c r="VWF553" s="178"/>
      <c r="VWG553" s="178"/>
      <c r="VWH553" s="178"/>
      <c r="VWI553" s="178"/>
      <c r="VWJ553" s="178"/>
      <c r="VWK553" s="178"/>
      <c r="VWL553" s="178"/>
      <c r="VWM553" s="178"/>
      <c r="VWN553" s="178"/>
      <c r="VWO553" s="178"/>
      <c r="VWP553" s="178"/>
      <c r="VWQ553" s="178"/>
      <c r="VWR553" s="178"/>
      <c r="VWS553" s="178"/>
      <c r="VWT553" s="178"/>
      <c r="VWU553" s="178"/>
      <c r="VWV553" s="178"/>
      <c r="VWW553" s="178"/>
      <c r="VWX553" s="178"/>
      <c r="VWY553" s="178"/>
      <c r="VWZ553" s="178"/>
      <c r="VXA553" s="178"/>
      <c r="VXB553" s="178"/>
      <c r="VXC553" s="178"/>
      <c r="VXD553" s="178"/>
      <c r="VXE553" s="178"/>
      <c r="VXF553" s="178"/>
      <c r="VXG553" s="178"/>
      <c r="VXH553" s="178"/>
      <c r="VXI553" s="178"/>
      <c r="VXJ553" s="178"/>
      <c r="VXK553" s="178"/>
      <c r="VXL553" s="178"/>
      <c r="VXM553" s="178"/>
      <c r="VXN553" s="178"/>
      <c r="VXO553" s="178"/>
      <c r="VXP553" s="178"/>
      <c r="VXQ553" s="178"/>
      <c r="VXR553" s="178"/>
      <c r="VXS553" s="178"/>
      <c r="VXT553" s="178"/>
      <c r="VXU553" s="178"/>
      <c r="VXV553" s="178"/>
      <c r="VXW553" s="178"/>
      <c r="VXX553" s="178"/>
      <c r="VXY553" s="178"/>
      <c r="VXZ553" s="178"/>
      <c r="VYA553" s="178"/>
      <c r="VYB553" s="178"/>
      <c r="VYC553" s="178"/>
      <c r="VYD553" s="178"/>
      <c r="VYE553" s="178"/>
      <c r="VYF553" s="178"/>
      <c r="VYG553" s="178"/>
      <c r="VYH553" s="178"/>
      <c r="VYI553" s="178"/>
      <c r="VYJ553" s="178"/>
      <c r="VYK553" s="178"/>
      <c r="VYL553" s="178"/>
      <c r="VYM553" s="178"/>
      <c r="VYN553" s="178"/>
      <c r="VYO553" s="178"/>
      <c r="VYP553" s="178"/>
      <c r="VYQ553" s="178"/>
      <c r="VYR553" s="178"/>
      <c r="VYS553" s="178"/>
      <c r="VYT553" s="178"/>
      <c r="VYU553" s="178"/>
      <c r="VYV553" s="178"/>
      <c r="VYW553" s="178"/>
      <c r="VYX553" s="178"/>
      <c r="VYY553" s="178"/>
      <c r="VYZ553" s="178"/>
      <c r="VZA553" s="178"/>
      <c r="VZB553" s="178"/>
      <c r="VZC553" s="178"/>
      <c r="VZD553" s="178"/>
      <c r="VZE553" s="178"/>
      <c r="VZF553" s="178"/>
      <c r="VZG553" s="178"/>
      <c r="VZH553" s="178"/>
      <c r="VZI553" s="178"/>
      <c r="VZJ553" s="178"/>
      <c r="VZK553" s="178"/>
      <c r="VZL553" s="178"/>
      <c r="VZM553" s="178"/>
      <c r="VZN553" s="178"/>
      <c r="VZO553" s="178"/>
      <c r="VZP553" s="178"/>
      <c r="VZQ553" s="178"/>
      <c r="VZR553" s="178"/>
      <c r="VZS553" s="178"/>
      <c r="VZT553" s="178"/>
      <c r="VZU553" s="178"/>
      <c r="VZV553" s="178"/>
      <c r="VZW553" s="178"/>
      <c r="VZX553" s="178"/>
      <c r="VZY553" s="178"/>
      <c r="VZZ553" s="178"/>
      <c r="WAA553" s="178"/>
      <c r="WAB553" s="178"/>
      <c r="WAC553" s="178"/>
      <c r="WAD553" s="178"/>
      <c r="WAE553" s="178"/>
      <c r="WAF553" s="178"/>
      <c r="WAG553" s="178"/>
      <c r="WAH553" s="178"/>
      <c r="WAI553" s="178"/>
      <c r="WAJ553" s="178"/>
      <c r="WAK553" s="178"/>
      <c r="WAL553" s="178"/>
      <c r="WAM553" s="178"/>
      <c r="WAN553" s="178"/>
      <c r="WAO553" s="178"/>
      <c r="WAP553" s="178"/>
      <c r="WAQ553" s="178"/>
      <c r="WAR553" s="178"/>
      <c r="WAS553" s="178"/>
      <c r="WAT553" s="178"/>
      <c r="WAU553" s="178"/>
      <c r="WAV553" s="178"/>
      <c r="WAW553" s="178"/>
      <c r="WAX553" s="178"/>
      <c r="WAY553" s="178"/>
      <c r="WAZ553" s="178"/>
      <c r="WBA553" s="178"/>
      <c r="WBB553" s="178"/>
      <c r="WBC553" s="178"/>
      <c r="WBD553" s="178"/>
      <c r="WBE553" s="178"/>
      <c r="WBF553" s="178"/>
      <c r="WBG553" s="178"/>
      <c r="WBH553" s="178"/>
      <c r="WBI553" s="178"/>
      <c r="WBJ553" s="178"/>
      <c r="WBK553" s="178"/>
      <c r="WBL553" s="178"/>
      <c r="WBM553" s="178"/>
      <c r="WBN553" s="178"/>
      <c r="WBO553" s="178"/>
      <c r="WBP553" s="178"/>
      <c r="WBQ553" s="178"/>
      <c r="WBR553" s="178"/>
      <c r="WBS553" s="178"/>
      <c r="WBT553" s="178"/>
      <c r="WBU553" s="178"/>
      <c r="WBV553" s="178"/>
      <c r="WBW553" s="178"/>
      <c r="WBX553" s="178"/>
      <c r="WBY553" s="178"/>
      <c r="WBZ553" s="178"/>
      <c r="WCA553" s="178"/>
      <c r="WCB553" s="178"/>
      <c r="WCC553" s="178"/>
      <c r="WCD553" s="178"/>
      <c r="WCE553" s="178"/>
      <c r="WCF553" s="178"/>
      <c r="WCG553" s="178"/>
      <c r="WCH553" s="178"/>
      <c r="WCI553" s="178"/>
      <c r="WCJ553" s="178"/>
      <c r="WCK553" s="178"/>
      <c r="WCL553" s="178"/>
      <c r="WCM553" s="178"/>
      <c r="WCN553" s="178"/>
      <c r="WCO553" s="178"/>
      <c r="WCP553" s="178"/>
      <c r="WCQ553" s="178"/>
      <c r="WCR553" s="178"/>
      <c r="WCS553" s="178"/>
      <c r="WCT553" s="178"/>
      <c r="WCU553" s="178"/>
      <c r="WCV553" s="178"/>
      <c r="WCW553" s="178"/>
      <c r="WCX553" s="178"/>
      <c r="WCY553" s="178"/>
      <c r="WCZ553" s="178"/>
      <c r="WDA553" s="178"/>
      <c r="WDB553" s="178"/>
      <c r="WDC553" s="178"/>
      <c r="WDD553" s="178"/>
      <c r="WDE553" s="178"/>
      <c r="WDF553" s="178"/>
      <c r="WDG553" s="178"/>
      <c r="WDH553" s="178"/>
      <c r="WDI553" s="178"/>
      <c r="WDJ553" s="178"/>
      <c r="WDK553" s="178"/>
      <c r="WDL553" s="178"/>
      <c r="WDM553" s="178"/>
      <c r="WDN553" s="178"/>
      <c r="WDO553" s="178"/>
      <c r="WDP553" s="178"/>
      <c r="WDQ553" s="178"/>
      <c r="WDR553" s="178"/>
      <c r="WDS553" s="178"/>
      <c r="WDT553" s="178"/>
      <c r="WDU553" s="178"/>
      <c r="WDV553" s="178"/>
      <c r="WDW553" s="178"/>
      <c r="WDX553" s="178"/>
      <c r="WDY553" s="178"/>
      <c r="WDZ553" s="178"/>
      <c r="WEA553" s="178"/>
      <c r="WEB553" s="178"/>
      <c r="WEC553" s="178"/>
      <c r="WED553" s="178"/>
      <c r="WEE553" s="178"/>
      <c r="WEF553" s="178"/>
      <c r="WEG553" s="178"/>
      <c r="WEH553" s="178"/>
      <c r="WEI553" s="178"/>
      <c r="WEJ553" s="178"/>
      <c r="WEK553" s="178"/>
      <c r="WEL553" s="178"/>
      <c r="WEM553" s="178"/>
      <c r="WEN553" s="178"/>
      <c r="WEO553" s="178"/>
      <c r="WEP553" s="178"/>
      <c r="WEQ553" s="178"/>
      <c r="WER553" s="178"/>
      <c r="WES553" s="178"/>
      <c r="WET553" s="178"/>
      <c r="WEU553" s="178"/>
      <c r="WEV553" s="178"/>
      <c r="WEW553" s="178"/>
      <c r="WEX553" s="178"/>
      <c r="WEY553" s="178"/>
      <c r="WEZ553" s="178"/>
      <c r="WFA553" s="178"/>
      <c r="WFB553" s="178"/>
      <c r="WFC553" s="178"/>
      <c r="WFD553" s="178"/>
      <c r="WFE553" s="178"/>
      <c r="WFF553" s="178"/>
      <c r="WFG553" s="178"/>
      <c r="WFH553" s="178"/>
      <c r="WFI553" s="178"/>
      <c r="WFJ553" s="178"/>
      <c r="WFK553" s="178"/>
      <c r="WFL553" s="178"/>
      <c r="WFM553" s="178"/>
      <c r="WFN553" s="178"/>
      <c r="WFO553" s="178"/>
      <c r="WFP553" s="178"/>
      <c r="WFQ553" s="178"/>
      <c r="WFR553" s="178"/>
      <c r="WFS553" s="178"/>
      <c r="WFT553" s="178"/>
      <c r="WFU553" s="178"/>
      <c r="WFV553" s="178"/>
      <c r="WFW553" s="178"/>
      <c r="WFX553" s="178"/>
      <c r="WFY553" s="178"/>
      <c r="WFZ553" s="178"/>
      <c r="WGA553" s="178"/>
      <c r="WGB553" s="178"/>
      <c r="WGC553" s="178"/>
      <c r="WGD553" s="178"/>
      <c r="WGE553" s="178"/>
      <c r="WGF553" s="178"/>
      <c r="WGG553" s="178"/>
      <c r="WGH553" s="178"/>
      <c r="WGI553" s="178"/>
      <c r="WGJ553" s="178"/>
      <c r="WGK553" s="178"/>
      <c r="WGL553" s="178"/>
      <c r="WGM553" s="178"/>
      <c r="WGN553" s="178"/>
      <c r="WGO553" s="178"/>
      <c r="WGP553" s="178"/>
      <c r="WGQ553" s="178"/>
      <c r="WGR553" s="178"/>
      <c r="WGS553" s="178"/>
      <c r="WGT553" s="178"/>
      <c r="WGU553" s="178"/>
      <c r="WGV553" s="178"/>
      <c r="WGW553" s="178"/>
      <c r="WGX553" s="178"/>
      <c r="WGY553" s="178"/>
      <c r="WGZ553" s="178"/>
      <c r="WHA553" s="178"/>
      <c r="WHB553" s="178"/>
      <c r="WHC553" s="178"/>
      <c r="WHD553" s="178"/>
      <c r="WHE553" s="178"/>
      <c r="WHF553" s="178"/>
      <c r="WHG553" s="178"/>
      <c r="WHH553" s="178"/>
      <c r="WHI553" s="178"/>
      <c r="WHJ553" s="178"/>
      <c r="WHK553" s="178"/>
      <c r="WHL553" s="178"/>
      <c r="WHM553" s="178"/>
      <c r="WHN553" s="178"/>
      <c r="WHO553" s="178"/>
      <c r="WHP553" s="178"/>
      <c r="WHQ553" s="178"/>
      <c r="WHR553" s="178"/>
      <c r="WHS553" s="178"/>
      <c r="WHT553" s="178"/>
      <c r="WHU553" s="178"/>
      <c r="WHV553" s="178"/>
      <c r="WHW553" s="178"/>
      <c r="WHX553" s="178"/>
      <c r="WHY553" s="178"/>
      <c r="WHZ553" s="178"/>
      <c r="WIA553" s="178"/>
      <c r="WIB553" s="178"/>
      <c r="WIC553" s="178"/>
      <c r="WID553" s="178"/>
      <c r="WIE553" s="178"/>
      <c r="WIF553" s="178"/>
      <c r="WIG553" s="178"/>
      <c r="WIH553" s="178"/>
      <c r="WII553" s="178"/>
      <c r="WIJ553" s="178"/>
      <c r="WIK553" s="178"/>
      <c r="WIL553" s="178"/>
      <c r="WIM553" s="178"/>
      <c r="WIN553" s="178"/>
      <c r="WIO553" s="178"/>
      <c r="WIP553" s="178"/>
      <c r="WIQ553" s="178"/>
      <c r="WIR553" s="178"/>
      <c r="WIS553" s="178"/>
      <c r="WIT553" s="178"/>
      <c r="WIU553" s="178"/>
      <c r="WIV553" s="178"/>
      <c r="WIW553" s="178"/>
      <c r="WIX553" s="178"/>
      <c r="WIY553" s="178"/>
      <c r="WIZ553" s="178"/>
      <c r="WJA553" s="178"/>
      <c r="WJB553" s="178"/>
      <c r="WJC553" s="178"/>
      <c r="WJD553" s="178"/>
      <c r="WJE553" s="178"/>
      <c r="WJF553" s="178"/>
      <c r="WJG553" s="178"/>
      <c r="WJH553" s="178"/>
      <c r="WJI553" s="178"/>
      <c r="WJJ553" s="178"/>
      <c r="WJK553" s="178"/>
      <c r="WJL553" s="178"/>
      <c r="WJM553" s="178"/>
      <c r="WJN553" s="178"/>
      <c r="WJO553" s="178"/>
      <c r="WJP553" s="178"/>
      <c r="WJQ553" s="178"/>
      <c r="WJR553" s="178"/>
      <c r="WJS553" s="178"/>
      <c r="WJT553" s="178"/>
      <c r="WJU553" s="178"/>
      <c r="WJV553" s="178"/>
      <c r="WJW553" s="178"/>
      <c r="WJX553" s="178"/>
      <c r="WJY553" s="178"/>
      <c r="WJZ553" s="178"/>
      <c r="WKA553" s="178"/>
      <c r="WKB553" s="178"/>
      <c r="WKC553" s="178"/>
      <c r="WKD553" s="178"/>
      <c r="WKE553" s="178"/>
      <c r="WKF553" s="178"/>
      <c r="WKG553" s="178"/>
      <c r="WKH553" s="178"/>
      <c r="WKI553" s="178"/>
      <c r="WKJ553" s="178"/>
      <c r="WKK553" s="178"/>
      <c r="WKL553" s="178"/>
      <c r="WKM553" s="178"/>
      <c r="WKN553" s="178"/>
      <c r="WKO553" s="178"/>
      <c r="WKP553" s="178"/>
      <c r="WKQ553" s="178"/>
      <c r="WKR553" s="178"/>
      <c r="WKS553" s="178"/>
      <c r="WKT553" s="178"/>
      <c r="WKU553" s="178"/>
      <c r="WKV553" s="178"/>
      <c r="WKW553" s="178"/>
      <c r="WKX553" s="178"/>
      <c r="WKY553" s="178"/>
      <c r="WKZ553" s="178"/>
      <c r="WLA553" s="178"/>
      <c r="WLB553" s="178"/>
      <c r="WLC553" s="178"/>
      <c r="WLD553" s="178"/>
      <c r="WLE553" s="178"/>
      <c r="WLF553" s="178"/>
      <c r="WLG553" s="178"/>
      <c r="WLH553" s="178"/>
      <c r="WLI553" s="178"/>
      <c r="WLJ553" s="178"/>
      <c r="WLK553" s="178"/>
      <c r="WLL553" s="178"/>
      <c r="WLM553" s="178"/>
      <c r="WLN553" s="178"/>
      <c r="WLO553" s="178"/>
      <c r="WLP553" s="178"/>
      <c r="WLQ553" s="178"/>
      <c r="WLR553" s="178"/>
      <c r="WLS553" s="178"/>
      <c r="WLT553" s="178"/>
      <c r="WLU553" s="178"/>
      <c r="WLV553" s="178"/>
      <c r="WLW553" s="178"/>
      <c r="WLX553" s="178"/>
      <c r="WLY553" s="178"/>
      <c r="WLZ553" s="178"/>
      <c r="WMA553" s="178"/>
      <c r="WMB553" s="178"/>
      <c r="WMC553" s="178"/>
      <c r="WMD553" s="178"/>
      <c r="WME553" s="178"/>
      <c r="WMF553" s="178"/>
      <c r="WMG553" s="178"/>
      <c r="WMH553" s="178"/>
      <c r="WMI553" s="178"/>
      <c r="WMJ553" s="178"/>
      <c r="WMK553" s="178"/>
      <c r="WML553" s="178"/>
      <c r="WMM553" s="178"/>
      <c r="WMN553" s="178"/>
      <c r="WMO553" s="178"/>
      <c r="WMP553" s="178"/>
      <c r="WMQ553" s="178"/>
      <c r="WMR553" s="178"/>
      <c r="WMS553" s="178"/>
      <c r="WMT553" s="178"/>
      <c r="WMU553" s="178"/>
      <c r="WMV553" s="178"/>
      <c r="WMW553" s="178"/>
      <c r="WMX553" s="178"/>
      <c r="WMY553" s="178"/>
      <c r="WMZ553" s="178"/>
      <c r="WNA553" s="178"/>
      <c r="WNB553" s="178"/>
      <c r="WNC553" s="178"/>
      <c r="WND553" s="178"/>
      <c r="WNE553" s="178"/>
      <c r="WNF553" s="178"/>
      <c r="WNG553" s="178"/>
      <c r="WNH553" s="178"/>
      <c r="WNI553" s="178"/>
      <c r="WNJ553" s="178"/>
      <c r="WNK553" s="178"/>
      <c r="WNL553" s="178"/>
      <c r="WNM553" s="178"/>
      <c r="WNN553" s="178"/>
      <c r="WNO553" s="178"/>
      <c r="WNP553" s="178"/>
      <c r="WNQ553" s="178"/>
      <c r="WNR553" s="178"/>
      <c r="WNS553" s="178"/>
      <c r="WNT553" s="178"/>
      <c r="WNU553" s="178"/>
      <c r="WNV553" s="178"/>
      <c r="WNW553" s="178"/>
      <c r="WNX553" s="178"/>
      <c r="WNY553" s="178"/>
      <c r="WNZ553" s="178"/>
      <c r="WOA553" s="178"/>
      <c r="WOB553" s="178"/>
      <c r="WOC553" s="178"/>
      <c r="WOD553" s="178"/>
      <c r="WOE553" s="178"/>
      <c r="WOF553" s="178"/>
      <c r="WOG553" s="178"/>
      <c r="WOH553" s="178"/>
      <c r="WOI553" s="178"/>
      <c r="WOJ553" s="178"/>
      <c r="WOK553" s="178"/>
      <c r="WOL553" s="178"/>
      <c r="WOM553" s="178"/>
      <c r="WON553" s="178"/>
      <c r="WOO553" s="178"/>
      <c r="WOP553" s="178"/>
      <c r="WOQ553" s="178"/>
      <c r="WOR553" s="178"/>
      <c r="WOS553" s="178"/>
      <c r="WOT553" s="178"/>
      <c r="WOU553" s="178"/>
      <c r="WOV553" s="178"/>
      <c r="WOW553" s="178"/>
      <c r="WOX553" s="178"/>
      <c r="WOY553" s="178"/>
      <c r="WOZ553" s="178"/>
      <c r="WPA553" s="178"/>
      <c r="WPB553" s="178"/>
      <c r="WPC553" s="178"/>
      <c r="WPD553" s="178"/>
      <c r="WPE553" s="178"/>
      <c r="WPF553" s="178"/>
      <c r="WPG553" s="178"/>
      <c r="WPH553" s="178"/>
      <c r="WPI553" s="178"/>
      <c r="WPJ553" s="178"/>
      <c r="WPK553" s="178"/>
      <c r="WPL553" s="178"/>
      <c r="WPM553" s="178"/>
      <c r="WPN553" s="178"/>
      <c r="WPO553" s="178"/>
      <c r="WPP553" s="178"/>
      <c r="WPQ553" s="178"/>
      <c r="WPR553" s="178"/>
      <c r="WPS553" s="178"/>
      <c r="WPT553" s="178"/>
      <c r="WPU553" s="178"/>
      <c r="WPV553" s="178"/>
      <c r="WPW553" s="178"/>
      <c r="WPX553" s="178"/>
      <c r="WPY553" s="178"/>
      <c r="WPZ553" s="178"/>
      <c r="WQA553" s="178"/>
      <c r="WQB553" s="178"/>
      <c r="WQC553" s="178"/>
      <c r="WQD553" s="178"/>
      <c r="WQE553" s="178"/>
      <c r="WQF553" s="178"/>
      <c r="WQG553" s="178"/>
      <c r="WQH553" s="178"/>
      <c r="WQI553" s="178"/>
      <c r="WQJ553" s="178"/>
      <c r="WQK553" s="178"/>
      <c r="WQL553" s="178"/>
      <c r="WQM553" s="178"/>
      <c r="WQN553" s="178"/>
      <c r="WQO553" s="178"/>
      <c r="WQP553" s="178"/>
      <c r="WQQ553" s="178"/>
      <c r="WQR553" s="178"/>
      <c r="WQS553" s="178"/>
      <c r="WQT553" s="178"/>
      <c r="WQU553" s="178"/>
      <c r="WQV553" s="178"/>
      <c r="WQW553" s="178"/>
      <c r="WQX553" s="178"/>
      <c r="WQY553" s="178"/>
      <c r="WQZ553" s="178"/>
      <c r="WRA553" s="178"/>
      <c r="WRB553" s="178"/>
      <c r="WRC553" s="178"/>
      <c r="WRD553" s="178"/>
      <c r="WRE553" s="178"/>
      <c r="WRF553" s="178"/>
      <c r="WRG553" s="178"/>
      <c r="WRH553" s="178"/>
      <c r="WRI553" s="178"/>
      <c r="WRJ553" s="178"/>
      <c r="WRK553" s="178"/>
      <c r="WRL553" s="178"/>
      <c r="WRM553" s="178"/>
      <c r="WRN553" s="178"/>
      <c r="WRO553" s="178"/>
      <c r="WRP553" s="178"/>
      <c r="WRQ553" s="178"/>
      <c r="WRR553" s="178"/>
      <c r="WRS553" s="178"/>
      <c r="WRT553" s="178"/>
      <c r="WRU553" s="178"/>
      <c r="WRV553" s="178"/>
      <c r="WRW553" s="178"/>
      <c r="WRX553" s="178"/>
      <c r="WRY553" s="178"/>
      <c r="WRZ553" s="178"/>
      <c r="WSA553" s="178"/>
      <c r="WSB553" s="178"/>
      <c r="WSC553" s="178"/>
      <c r="WSD553" s="178"/>
      <c r="WSE553" s="178"/>
      <c r="WSF553" s="178"/>
      <c r="WSG553" s="178"/>
      <c r="WSH553" s="178"/>
      <c r="WSI553" s="178"/>
      <c r="WSJ553" s="178"/>
      <c r="WSK553" s="178"/>
      <c r="WSL553" s="178"/>
      <c r="WSM553" s="178"/>
      <c r="WSN553" s="178"/>
      <c r="WSO553" s="178"/>
      <c r="WSP553" s="178"/>
      <c r="WSQ553" s="178"/>
      <c r="WSR553" s="178"/>
      <c r="WSS553" s="178"/>
      <c r="WST553" s="178"/>
      <c r="WSU553" s="178"/>
      <c r="WSV553" s="178"/>
      <c r="WSW553" s="178"/>
      <c r="WSX553" s="178"/>
      <c r="WSY553" s="178"/>
      <c r="WSZ553" s="178"/>
      <c r="WTA553" s="178"/>
      <c r="WTB553" s="178"/>
      <c r="WTC553" s="178"/>
      <c r="WTD553" s="178"/>
      <c r="WTE553" s="178"/>
      <c r="WTF553" s="178"/>
      <c r="WTG553" s="178"/>
      <c r="WTH553" s="178"/>
      <c r="WTI553" s="178"/>
      <c r="WTJ553" s="178"/>
      <c r="WTK553" s="178"/>
      <c r="WTL553" s="178"/>
      <c r="WTM553" s="178"/>
      <c r="WTN553" s="178"/>
      <c r="WTO553" s="178"/>
      <c r="WTP553" s="178"/>
      <c r="WTQ553" s="178"/>
      <c r="WTR553" s="178"/>
      <c r="WTS553" s="178"/>
      <c r="WTT553" s="178"/>
      <c r="WTU553" s="178"/>
      <c r="WTV553" s="178"/>
      <c r="WTW553" s="178"/>
      <c r="WTX553" s="178"/>
      <c r="WTY553" s="178"/>
      <c r="WTZ553" s="178"/>
      <c r="WUA553" s="178"/>
      <c r="WUB553" s="178"/>
      <c r="WUC553" s="178"/>
      <c r="WUD553" s="178"/>
      <c r="WUE553" s="178"/>
      <c r="WUF553" s="178"/>
      <c r="WUG553" s="178"/>
      <c r="WUH553" s="178"/>
      <c r="WUI553" s="178"/>
      <c r="WUJ553" s="178"/>
      <c r="WUK553" s="178"/>
      <c r="WUL553" s="178"/>
      <c r="WUM553" s="178"/>
      <c r="WUN553" s="178"/>
      <c r="WUO553" s="178"/>
      <c r="WUP553" s="178"/>
      <c r="WUQ553" s="178"/>
      <c r="WUR553" s="178"/>
      <c r="WUS553" s="178"/>
      <c r="WUT553" s="178"/>
      <c r="WUU553" s="178"/>
      <c r="WUV553" s="178"/>
      <c r="WUW553" s="178"/>
      <c r="WUX553" s="178"/>
      <c r="WUY553" s="178"/>
      <c r="WUZ553" s="178"/>
      <c r="WVA553" s="178"/>
      <c r="WVB553" s="178"/>
      <c r="WVC553" s="178"/>
      <c r="WVD553" s="178"/>
      <c r="WVE553" s="178"/>
      <c r="WVF553" s="178"/>
      <c r="WVG553" s="178"/>
      <c r="WVH553" s="178"/>
      <c r="WVI553" s="178"/>
      <c r="WVJ553" s="178"/>
      <c r="WVK553" s="178"/>
      <c r="WVL553" s="178"/>
      <c r="WVM553" s="178"/>
      <c r="WVN553" s="178"/>
      <c r="WVO553" s="178"/>
      <c r="WVP553" s="178"/>
      <c r="WVQ553" s="178"/>
      <c r="WVR553" s="178"/>
      <c r="WVS553" s="178"/>
      <c r="WVT553" s="178"/>
      <c r="WVU553" s="178"/>
      <c r="WVV553" s="178"/>
      <c r="WVW553" s="178"/>
      <c r="WVX553" s="178"/>
      <c r="WVY553" s="178"/>
      <c r="WVZ553" s="178"/>
      <c r="WWA553" s="178"/>
      <c r="WWB553" s="178"/>
      <c r="WWC553" s="178"/>
      <c r="WWD553" s="178"/>
      <c r="WWE553" s="178"/>
      <c r="WWF553" s="178"/>
      <c r="WWG553" s="178"/>
      <c r="WWH553" s="178"/>
      <c r="WWI553" s="178"/>
      <c r="WWJ553" s="178"/>
      <c r="WWK553" s="178"/>
      <c r="WWL553" s="178"/>
      <c r="WWM553" s="178"/>
      <c r="WWN553" s="178"/>
      <c r="WWO553" s="178"/>
      <c r="WWP553" s="178"/>
      <c r="WWQ553" s="178"/>
      <c r="WWR553" s="178"/>
      <c r="WWS553" s="178"/>
      <c r="WWT553" s="178"/>
      <c r="WWU553" s="178"/>
      <c r="WWV553" s="178"/>
      <c r="WWW553" s="178"/>
      <c r="WWX553" s="178"/>
      <c r="WWY553" s="178"/>
      <c r="WWZ553" s="178"/>
      <c r="WXA553" s="178"/>
      <c r="WXB553" s="178"/>
      <c r="WXC553" s="178"/>
      <c r="WXD553" s="178"/>
      <c r="WXE553" s="178"/>
      <c r="WXF553" s="178"/>
      <c r="WXG553" s="178"/>
      <c r="WXH553" s="178"/>
      <c r="WXI553" s="178"/>
      <c r="WXJ553" s="178"/>
      <c r="WXK553" s="178"/>
      <c r="WXL553" s="178"/>
      <c r="WXM553" s="178"/>
      <c r="WXN553" s="178"/>
      <c r="WXO553" s="178"/>
      <c r="WXP553" s="178"/>
      <c r="WXQ553" s="178"/>
      <c r="WXR553" s="178"/>
      <c r="WXS553" s="178"/>
      <c r="WXT553" s="178"/>
      <c r="WXU553" s="178"/>
      <c r="WXV553" s="178"/>
      <c r="WXW553" s="178"/>
      <c r="WXX553" s="178"/>
      <c r="WXY553" s="178"/>
      <c r="WXZ553" s="178"/>
      <c r="WYA553" s="178"/>
      <c r="WYB553" s="178"/>
      <c r="WYC553" s="178"/>
      <c r="WYD553" s="178"/>
      <c r="WYE553" s="178"/>
      <c r="WYF553" s="178"/>
      <c r="WYG553" s="178"/>
      <c r="WYH553" s="178"/>
      <c r="WYI553" s="178"/>
      <c r="WYJ553" s="178"/>
      <c r="WYK553" s="178"/>
      <c r="WYL553" s="178"/>
      <c r="WYM553" s="178"/>
      <c r="WYN553" s="178"/>
      <c r="WYO553" s="178"/>
      <c r="WYP553" s="178"/>
      <c r="WYQ553" s="178"/>
      <c r="WYR553" s="178"/>
      <c r="WYS553" s="178"/>
      <c r="WYT553" s="178"/>
      <c r="WYU553" s="178"/>
      <c r="WYV553" s="178"/>
      <c r="WYW553" s="178"/>
      <c r="WYX553" s="178"/>
      <c r="WYY553" s="178"/>
      <c r="WYZ553" s="178"/>
      <c r="WZA553" s="178"/>
      <c r="WZB553" s="178"/>
      <c r="WZC553" s="178"/>
      <c r="WZD553" s="178"/>
      <c r="WZE553" s="178"/>
      <c r="WZF553" s="178"/>
      <c r="WZG553" s="178"/>
      <c r="WZH553" s="178"/>
      <c r="WZI553" s="178"/>
      <c r="WZJ553" s="178"/>
      <c r="WZK553" s="178"/>
      <c r="WZL553" s="178"/>
      <c r="WZM553" s="178"/>
      <c r="WZN553" s="178"/>
      <c r="WZO553" s="178"/>
      <c r="WZP553" s="178"/>
      <c r="WZQ553" s="178"/>
      <c r="WZR553" s="178"/>
      <c r="WZS553" s="178"/>
      <c r="WZT553" s="178"/>
      <c r="WZU553" s="178"/>
      <c r="WZV553" s="178"/>
      <c r="WZW553" s="178"/>
      <c r="WZX553" s="178"/>
      <c r="WZY553" s="178"/>
      <c r="WZZ553" s="178"/>
      <c r="XAA553" s="178"/>
      <c r="XAB553" s="178"/>
      <c r="XAC553" s="178"/>
      <c r="XAD553" s="178"/>
      <c r="XAE553" s="178"/>
      <c r="XAF553" s="178"/>
      <c r="XAG553" s="178"/>
      <c r="XAH553" s="178"/>
      <c r="XAI553" s="178"/>
      <c r="XAJ553" s="178"/>
      <c r="XAK553" s="178"/>
      <c r="XAL553" s="178"/>
      <c r="XAM553" s="178"/>
      <c r="XAN553" s="178"/>
      <c r="XAO553" s="178"/>
      <c r="XAP553" s="178"/>
      <c r="XAQ553" s="178"/>
      <c r="XAR553" s="178"/>
      <c r="XAS553" s="178"/>
      <c r="XAT553" s="178"/>
      <c r="XAU553" s="178"/>
      <c r="XAV553" s="178"/>
      <c r="XAW553" s="178"/>
      <c r="XAX553" s="178"/>
      <c r="XAY553" s="178"/>
      <c r="XAZ553" s="178"/>
      <c r="XBA553" s="178"/>
      <c r="XBB553" s="178"/>
      <c r="XBC553" s="178"/>
      <c r="XBD553" s="178"/>
      <c r="XBE553" s="178"/>
      <c r="XBF553" s="178"/>
      <c r="XBG553" s="178"/>
      <c r="XBH553" s="178"/>
      <c r="XBI553" s="178"/>
      <c r="XBJ553" s="178"/>
      <c r="XBK553" s="178"/>
      <c r="XBL553" s="178"/>
      <c r="XBM553" s="178"/>
      <c r="XBN553" s="178"/>
      <c r="XBO553" s="178"/>
      <c r="XBP553" s="178"/>
      <c r="XBQ553" s="178"/>
      <c r="XBR553" s="178"/>
      <c r="XBS553" s="178"/>
      <c r="XBT553" s="178"/>
      <c r="XBU553" s="178"/>
      <c r="XBV553" s="178"/>
      <c r="XBW553" s="178"/>
      <c r="XBX553" s="178"/>
      <c r="XBY553" s="178"/>
      <c r="XBZ553" s="178"/>
      <c r="XCA553" s="178"/>
      <c r="XCB553" s="178"/>
      <c r="XCC553" s="178"/>
      <c r="XCD553" s="178"/>
      <c r="XCE553" s="178"/>
      <c r="XCF553" s="178"/>
      <c r="XCG553" s="178"/>
      <c r="XCH553" s="178"/>
      <c r="XCI553" s="178"/>
      <c r="XCJ553" s="178"/>
      <c r="XCK553" s="178"/>
      <c r="XCL553" s="178"/>
      <c r="XCM553" s="178"/>
      <c r="XCN553" s="178"/>
      <c r="XCO553" s="178"/>
      <c r="XCP553" s="178"/>
      <c r="XCQ553" s="178"/>
      <c r="XCR553" s="178"/>
      <c r="XCS553" s="178"/>
      <c r="XCT553" s="178"/>
      <c r="XCU553" s="178"/>
      <c r="XCV553" s="178"/>
      <c r="XCW553" s="178"/>
      <c r="XCX553" s="178"/>
      <c r="XCY553" s="178"/>
      <c r="XCZ553" s="178"/>
      <c r="XDA553" s="178"/>
      <c r="XDB553" s="178"/>
      <c r="XDC553" s="178"/>
      <c r="XDD553" s="178"/>
      <c r="XDE553" s="178"/>
      <c r="XDF553" s="178"/>
      <c r="XDG553" s="178"/>
      <c r="XDH553" s="178"/>
      <c r="XDI553" s="178"/>
      <c r="XDJ553" s="178"/>
      <c r="XDK553" s="178"/>
      <c r="XDL553" s="178"/>
      <c r="XDM553" s="178"/>
      <c r="XDN553" s="178"/>
      <c r="XDO553" s="178"/>
      <c r="XDP553" s="178"/>
      <c r="XDQ553" s="178"/>
      <c r="XDR553" s="178"/>
      <c r="XDS553" s="178"/>
      <c r="XDT553" s="178"/>
      <c r="XDU553" s="178"/>
      <c r="XDV553" s="178"/>
      <c r="XDW553" s="178"/>
      <c r="XDX553" s="178"/>
      <c r="XDY553" s="178"/>
      <c r="XDZ553" s="178"/>
      <c r="XEA553" s="178"/>
      <c r="XEB553" s="178"/>
      <c r="XEC553" s="178"/>
      <c r="XED553" s="178"/>
      <c r="XEE553" s="178"/>
      <c r="XEF553" s="178"/>
      <c r="XEG553" s="178"/>
      <c r="XEH553" s="178"/>
      <c r="XEI553" s="178"/>
      <c r="XEJ553" s="178"/>
      <c r="XEK553" s="178"/>
      <c r="XEL553" s="178"/>
      <c r="XEM553" s="178"/>
      <c r="XEN553" s="178"/>
      <c r="XEO553" s="178"/>
      <c r="XEP553" s="178"/>
      <c r="XEQ553" s="178"/>
      <c r="XER553" s="178"/>
      <c r="XES553" s="178"/>
      <c r="XET553" s="178"/>
      <c r="XEU553" s="178"/>
    </row>
    <row r="554" spans="1:16375" s="420" customFormat="1" hidden="1">
      <c r="A554" s="2470" t="s">
        <v>350</v>
      </c>
      <c r="B554" s="2470"/>
      <c r="C554" s="2470"/>
      <c r="D554" s="632"/>
      <c r="E554" s="633"/>
      <c r="F554" s="633"/>
      <c r="G554" s="633"/>
      <c r="H554" s="634"/>
      <c r="I554" s="635"/>
      <c r="J554" s="634"/>
      <c r="K554" s="636"/>
      <c r="L554" s="637"/>
      <c r="M554" s="63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  <c r="AA554" s="178"/>
      <c r="AB554" s="178"/>
      <c r="AC554" s="178"/>
      <c r="AD554" s="178"/>
      <c r="AE554" s="178"/>
      <c r="AF554" s="178"/>
      <c r="AG554" s="178"/>
      <c r="AH554" s="178"/>
      <c r="AI554" s="178"/>
      <c r="AJ554" s="178"/>
      <c r="AK554" s="178"/>
      <c r="AL554" s="178"/>
      <c r="AM554" s="178"/>
      <c r="AN554" s="178"/>
      <c r="AO554" s="178"/>
      <c r="AP554" s="178"/>
      <c r="AQ554" s="178"/>
      <c r="AR554" s="178"/>
      <c r="AS554" s="178"/>
      <c r="AT554" s="178"/>
      <c r="AU554" s="178"/>
      <c r="AV554" s="178"/>
      <c r="AW554" s="178"/>
      <c r="AX554" s="178"/>
      <c r="AY554" s="178"/>
      <c r="AZ554" s="178"/>
      <c r="BA554" s="178"/>
      <c r="BB554" s="178"/>
      <c r="BC554" s="178"/>
      <c r="BD554" s="178"/>
      <c r="BE554" s="178"/>
      <c r="BF554" s="178"/>
      <c r="BG554" s="178"/>
      <c r="BH554" s="178"/>
      <c r="BI554" s="178"/>
      <c r="BJ554" s="178"/>
      <c r="BK554" s="178"/>
      <c r="BL554" s="178"/>
      <c r="BM554" s="178"/>
      <c r="BN554" s="178"/>
      <c r="BO554" s="178"/>
      <c r="BP554" s="178"/>
      <c r="BQ554" s="178"/>
      <c r="BR554" s="178"/>
      <c r="BS554" s="178"/>
      <c r="BT554" s="178"/>
      <c r="BU554" s="178"/>
      <c r="BV554" s="178"/>
      <c r="BW554" s="178"/>
      <c r="BX554" s="178"/>
      <c r="BY554" s="178"/>
      <c r="BZ554" s="178"/>
      <c r="CA554" s="178"/>
      <c r="CB554" s="178"/>
      <c r="CC554" s="178"/>
      <c r="CD554" s="178"/>
      <c r="CE554" s="178"/>
      <c r="CF554" s="178"/>
      <c r="CG554" s="178"/>
      <c r="CH554" s="178"/>
      <c r="CI554" s="178"/>
      <c r="CJ554" s="178"/>
      <c r="CK554" s="178"/>
      <c r="CL554" s="178"/>
      <c r="CM554" s="178"/>
      <c r="CN554" s="178"/>
      <c r="CO554" s="178"/>
      <c r="CP554" s="178"/>
      <c r="CQ554" s="178"/>
      <c r="CR554" s="178"/>
      <c r="CS554" s="178"/>
      <c r="CT554" s="178"/>
      <c r="CU554" s="178"/>
      <c r="CV554" s="178"/>
      <c r="CW554" s="178"/>
      <c r="CX554" s="178"/>
      <c r="CY554" s="178"/>
      <c r="CZ554" s="178"/>
      <c r="DA554" s="178"/>
      <c r="DB554" s="178"/>
      <c r="DC554" s="178"/>
      <c r="DD554" s="178"/>
      <c r="DE554" s="178"/>
      <c r="DF554" s="178"/>
      <c r="DG554" s="178"/>
      <c r="DH554" s="178"/>
      <c r="DI554" s="178"/>
      <c r="DJ554" s="178"/>
      <c r="DK554" s="178"/>
      <c r="DL554" s="178"/>
      <c r="DM554" s="178"/>
      <c r="DN554" s="178"/>
      <c r="DO554" s="178"/>
      <c r="DP554" s="178"/>
      <c r="DQ554" s="178"/>
      <c r="DR554" s="178"/>
      <c r="DS554" s="178"/>
      <c r="DT554" s="178"/>
      <c r="DU554" s="178"/>
      <c r="DV554" s="178"/>
      <c r="DW554" s="178"/>
      <c r="DX554" s="178"/>
      <c r="DY554" s="178"/>
      <c r="DZ554" s="178"/>
      <c r="EA554" s="178"/>
      <c r="EB554" s="178"/>
      <c r="EC554" s="178"/>
      <c r="ED554" s="178"/>
      <c r="EE554" s="178"/>
      <c r="EF554" s="178"/>
      <c r="EG554" s="178"/>
      <c r="EH554" s="178"/>
      <c r="EI554" s="178"/>
      <c r="EJ554" s="178"/>
      <c r="EK554" s="178"/>
      <c r="EL554" s="178"/>
      <c r="EM554" s="178"/>
      <c r="EN554" s="178"/>
      <c r="EO554" s="178"/>
      <c r="EP554" s="178"/>
      <c r="EQ554" s="178"/>
      <c r="ER554" s="178"/>
      <c r="ES554" s="178"/>
      <c r="ET554" s="178"/>
      <c r="EU554" s="178"/>
      <c r="EV554" s="178"/>
      <c r="EW554" s="178"/>
      <c r="EX554" s="178"/>
      <c r="EY554" s="178"/>
      <c r="EZ554" s="178"/>
      <c r="FA554" s="178"/>
      <c r="FB554" s="178"/>
      <c r="FC554" s="178"/>
      <c r="FD554" s="178"/>
      <c r="FE554" s="178"/>
      <c r="FF554" s="178"/>
      <c r="FG554" s="178"/>
      <c r="FH554" s="178"/>
      <c r="FI554" s="178"/>
      <c r="FJ554" s="178"/>
      <c r="FK554" s="178"/>
      <c r="FL554" s="178"/>
      <c r="FM554" s="178"/>
      <c r="FN554" s="178"/>
      <c r="FO554" s="178"/>
      <c r="FP554" s="178"/>
      <c r="FQ554" s="178"/>
      <c r="FR554" s="178"/>
      <c r="FS554" s="178"/>
      <c r="FT554" s="178"/>
      <c r="FU554" s="178"/>
      <c r="FV554" s="178"/>
      <c r="FW554" s="178"/>
      <c r="FX554" s="178"/>
      <c r="FY554" s="178"/>
      <c r="FZ554" s="178"/>
      <c r="GA554" s="178"/>
      <c r="GB554" s="178"/>
      <c r="GC554" s="178"/>
      <c r="GD554" s="178"/>
      <c r="GE554" s="178"/>
      <c r="GF554" s="178"/>
      <c r="GG554" s="178"/>
      <c r="GH554" s="178"/>
      <c r="GI554" s="178"/>
      <c r="GJ554" s="178"/>
      <c r="GK554" s="178"/>
      <c r="GL554" s="178"/>
      <c r="GM554" s="178"/>
      <c r="GN554" s="178"/>
      <c r="GO554" s="178"/>
      <c r="GP554" s="178"/>
      <c r="GQ554" s="178"/>
      <c r="GR554" s="178"/>
      <c r="GS554" s="178"/>
      <c r="GT554" s="178"/>
      <c r="GU554" s="178"/>
      <c r="GV554" s="178"/>
      <c r="GW554" s="178"/>
      <c r="GX554" s="178"/>
      <c r="GY554" s="178"/>
      <c r="GZ554" s="178"/>
      <c r="HA554" s="178"/>
      <c r="HB554" s="178"/>
      <c r="HC554" s="178"/>
      <c r="HD554" s="178"/>
      <c r="HE554" s="178"/>
      <c r="HF554" s="178"/>
      <c r="HG554" s="178"/>
      <c r="HH554" s="178"/>
      <c r="HI554" s="178"/>
      <c r="HJ554" s="178"/>
      <c r="HK554" s="178"/>
      <c r="HL554" s="178"/>
      <c r="HM554" s="178"/>
      <c r="HN554" s="178"/>
      <c r="HO554" s="178"/>
      <c r="HP554" s="178"/>
      <c r="HQ554" s="178"/>
      <c r="HR554" s="178"/>
      <c r="HS554" s="178"/>
      <c r="HT554" s="178"/>
      <c r="HU554" s="178"/>
      <c r="HV554" s="178"/>
      <c r="HW554" s="178"/>
      <c r="HX554" s="178"/>
      <c r="HY554" s="178"/>
      <c r="HZ554" s="178"/>
      <c r="IA554" s="178"/>
      <c r="IB554" s="178"/>
      <c r="IC554" s="178"/>
      <c r="ID554" s="178"/>
      <c r="IE554" s="178"/>
      <c r="IF554" s="178"/>
      <c r="IG554" s="178"/>
      <c r="IH554" s="178"/>
      <c r="II554" s="178"/>
      <c r="IJ554" s="178"/>
      <c r="IK554" s="178"/>
      <c r="IL554" s="178"/>
      <c r="IM554" s="178"/>
      <c r="IN554" s="178"/>
      <c r="IO554" s="178"/>
      <c r="IP554" s="178"/>
      <c r="IQ554" s="178"/>
      <c r="IR554" s="178"/>
      <c r="IS554" s="178"/>
      <c r="IT554" s="178"/>
      <c r="IU554" s="178"/>
      <c r="IV554" s="178"/>
      <c r="IW554" s="178"/>
      <c r="IX554" s="178"/>
      <c r="IY554" s="178"/>
      <c r="IZ554" s="178"/>
      <c r="JA554" s="178"/>
      <c r="JB554" s="178"/>
      <c r="JC554" s="178"/>
      <c r="JD554" s="178"/>
      <c r="JE554" s="178"/>
      <c r="JF554" s="178"/>
      <c r="JG554" s="178"/>
      <c r="JH554" s="178"/>
      <c r="JI554" s="178"/>
      <c r="JJ554" s="178"/>
      <c r="JK554" s="178"/>
      <c r="JL554" s="178"/>
      <c r="JM554" s="178"/>
      <c r="JN554" s="178"/>
      <c r="JO554" s="178"/>
      <c r="JP554" s="178"/>
      <c r="JQ554" s="178"/>
      <c r="JR554" s="178"/>
      <c r="JS554" s="178"/>
      <c r="JT554" s="178"/>
      <c r="JU554" s="178"/>
      <c r="JV554" s="178"/>
      <c r="JW554" s="178"/>
      <c r="JX554" s="178"/>
      <c r="JY554" s="178"/>
      <c r="JZ554" s="178"/>
      <c r="KA554" s="178"/>
      <c r="KB554" s="178"/>
      <c r="KC554" s="178"/>
      <c r="KD554" s="178"/>
      <c r="KE554" s="178"/>
      <c r="KF554" s="178"/>
      <c r="KG554" s="178"/>
      <c r="KH554" s="178"/>
      <c r="KI554" s="178"/>
      <c r="KJ554" s="178"/>
      <c r="KK554" s="178"/>
      <c r="KL554" s="178"/>
      <c r="KM554" s="178"/>
      <c r="KN554" s="178"/>
      <c r="KO554" s="178"/>
      <c r="KP554" s="178"/>
      <c r="KQ554" s="178"/>
      <c r="KR554" s="178"/>
      <c r="KS554" s="178"/>
      <c r="KT554" s="178"/>
      <c r="KU554" s="178"/>
      <c r="KV554" s="178"/>
      <c r="KW554" s="178"/>
      <c r="KX554" s="178"/>
      <c r="KY554" s="178"/>
      <c r="KZ554" s="178"/>
      <c r="LA554" s="178"/>
      <c r="LB554" s="178"/>
      <c r="LC554" s="178"/>
      <c r="LD554" s="178"/>
      <c r="LE554" s="178"/>
      <c r="LF554" s="178"/>
      <c r="LG554" s="178"/>
      <c r="LH554" s="178"/>
      <c r="LI554" s="178"/>
      <c r="LJ554" s="178"/>
      <c r="LK554" s="178"/>
      <c r="LL554" s="178"/>
      <c r="LM554" s="178"/>
      <c r="LN554" s="178"/>
      <c r="LO554" s="178"/>
      <c r="LP554" s="178"/>
      <c r="LQ554" s="178"/>
      <c r="LR554" s="178"/>
      <c r="LS554" s="178"/>
      <c r="LT554" s="178"/>
      <c r="LU554" s="178"/>
      <c r="LV554" s="178"/>
      <c r="LW554" s="178"/>
      <c r="LX554" s="178"/>
      <c r="LY554" s="178"/>
      <c r="LZ554" s="178"/>
      <c r="MA554" s="178"/>
      <c r="MB554" s="178"/>
      <c r="MC554" s="178"/>
      <c r="MD554" s="178"/>
      <c r="ME554" s="178"/>
      <c r="MF554" s="178"/>
      <c r="MG554" s="178"/>
      <c r="MH554" s="178"/>
      <c r="MI554" s="178"/>
      <c r="MJ554" s="178"/>
      <c r="MK554" s="178"/>
      <c r="ML554" s="178"/>
      <c r="MM554" s="178"/>
      <c r="MN554" s="178"/>
      <c r="MO554" s="178"/>
      <c r="MP554" s="178"/>
      <c r="MQ554" s="178"/>
      <c r="MR554" s="178"/>
      <c r="MS554" s="178"/>
      <c r="MT554" s="178"/>
      <c r="MU554" s="178"/>
      <c r="MV554" s="178"/>
      <c r="MW554" s="178"/>
      <c r="MX554" s="178"/>
      <c r="MY554" s="178"/>
      <c r="MZ554" s="178"/>
      <c r="NA554" s="178"/>
      <c r="NB554" s="178"/>
      <c r="NC554" s="178"/>
      <c r="ND554" s="178"/>
      <c r="NE554" s="178"/>
      <c r="NF554" s="178"/>
      <c r="NG554" s="178"/>
      <c r="NH554" s="178"/>
      <c r="NI554" s="178"/>
      <c r="NJ554" s="178"/>
      <c r="NK554" s="178"/>
      <c r="NL554" s="178"/>
      <c r="NM554" s="178"/>
      <c r="NN554" s="178"/>
      <c r="NO554" s="178"/>
      <c r="NP554" s="178"/>
      <c r="NQ554" s="178"/>
      <c r="NR554" s="178"/>
      <c r="NS554" s="178"/>
      <c r="NT554" s="178"/>
      <c r="NU554" s="178"/>
      <c r="NV554" s="178"/>
      <c r="NW554" s="178"/>
      <c r="NX554" s="178"/>
      <c r="NY554" s="178"/>
      <c r="NZ554" s="178"/>
      <c r="OA554" s="178"/>
      <c r="OB554" s="178"/>
      <c r="OC554" s="178"/>
      <c r="OD554" s="178"/>
      <c r="OE554" s="178"/>
      <c r="OF554" s="178"/>
      <c r="OG554" s="178"/>
      <c r="OH554" s="178"/>
      <c r="OI554" s="178"/>
      <c r="OJ554" s="178"/>
      <c r="OK554" s="178"/>
      <c r="OL554" s="178"/>
      <c r="OM554" s="178"/>
      <c r="ON554" s="178"/>
      <c r="OO554" s="178"/>
      <c r="OP554" s="178"/>
      <c r="OQ554" s="178"/>
      <c r="OR554" s="178"/>
      <c r="OS554" s="178"/>
      <c r="OT554" s="178"/>
      <c r="OU554" s="178"/>
      <c r="OV554" s="178"/>
      <c r="OW554" s="178"/>
      <c r="OX554" s="178"/>
      <c r="OY554" s="178"/>
      <c r="OZ554" s="178"/>
      <c r="PA554" s="178"/>
      <c r="PB554" s="178"/>
      <c r="PC554" s="178"/>
      <c r="PD554" s="178"/>
      <c r="PE554" s="178"/>
      <c r="PF554" s="178"/>
      <c r="PG554" s="178"/>
      <c r="PH554" s="178"/>
      <c r="PI554" s="178"/>
      <c r="PJ554" s="178"/>
      <c r="PK554" s="178"/>
      <c r="PL554" s="178"/>
      <c r="PM554" s="178"/>
      <c r="PN554" s="178"/>
      <c r="PO554" s="178"/>
      <c r="PP554" s="178"/>
      <c r="PQ554" s="178"/>
      <c r="PR554" s="178"/>
      <c r="PS554" s="178"/>
      <c r="PT554" s="178"/>
      <c r="PU554" s="178"/>
      <c r="PV554" s="178"/>
      <c r="PW554" s="178"/>
      <c r="PX554" s="178"/>
      <c r="PY554" s="178"/>
      <c r="PZ554" s="178"/>
      <c r="QA554" s="178"/>
      <c r="QB554" s="178"/>
      <c r="QC554" s="178"/>
      <c r="QD554" s="178"/>
      <c r="QE554" s="178"/>
      <c r="QF554" s="178"/>
      <c r="QG554" s="178"/>
      <c r="QH554" s="178"/>
      <c r="QI554" s="178"/>
      <c r="QJ554" s="178"/>
      <c r="QK554" s="178"/>
      <c r="QL554" s="178"/>
      <c r="QM554" s="178"/>
      <c r="QN554" s="178"/>
      <c r="QO554" s="178"/>
      <c r="QP554" s="178"/>
      <c r="QQ554" s="178"/>
      <c r="QR554" s="178"/>
      <c r="QS554" s="178"/>
      <c r="QT554" s="178"/>
      <c r="QU554" s="178"/>
      <c r="QV554" s="178"/>
      <c r="QW554" s="178"/>
      <c r="QX554" s="178"/>
      <c r="QY554" s="178"/>
      <c r="QZ554" s="178"/>
      <c r="RA554" s="178"/>
      <c r="RB554" s="178"/>
      <c r="RC554" s="178"/>
      <c r="RD554" s="178"/>
      <c r="RE554" s="178"/>
      <c r="RF554" s="178"/>
      <c r="RG554" s="178"/>
      <c r="RH554" s="178"/>
      <c r="RI554" s="178"/>
      <c r="RJ554" s="178"/>
      <c r="RK554" s="178"/>
      <c r="RL554" s="178"/>
      <c r="RM554" s="178"/>
      <c r="RN554" s="178"/>
      <c r="RO554" s="178"/>
      <c r="RP554" s="178"/>
      <c r="RQ554" s="178"/>
      <c r="RR554" s="178"/>
      <c r="RS554" s="178"/>
      <c r="RT554" s="178"/>
      <c r="RU554" s="178"/>
      <c r="RV554" s="178"/>
      <c r="RW554" s="178"/>
      <c r="RX554" s="178"/>
      <c r="RY554" s="178"/>
      <c r="RZ554" s="178"/>
      <c r="SA554" s="178"/>
      <c r="SB554" s="178"/>
      <c r="SC554" s="178"/>
      <c r="SD554" s="178"/>
      <c r="SE554" s="178"/>
      <c r="SF554" s="178"/>
      <c r="SG554" s="178"/>
      <c r="SH554" s="178"/>
      <c r="SI554" s="178"/>
      <c r="SJ554" s="178"/>
      <c r="SK554" s="178"/>
      <c r="SL554" s="178"/>
      <c r="SM554" s="178"/>
      <c r="SN554" s="178"/>
      <c r="SO554" s="178"/>
      <c r="SP554" s="178"/>
      <c r="SQ554" s="178"/>
      <c r="SR554" s="178"/>
      <c r="SS554" s="178"/>
      <c r="ST554" s="178"/>
      <c r="SU554" s="178"/>
      <c r="SV554" s="178"/>
      <c r="SW554" s="178"/>
      <c r="SX554" s="178"/>
      <c r="SY554" s="178"/>
      <c r="SZ554" s="178"/>
      <c r="TA554" s="178"/>
      <c r="TB554" s="178"/>
      <c r="TC554" s="178"/>
      <c r="TD554" s="178"/>
      <c r="TE554" s="178"/>
      <c r="TF554" s="178"/>
      <c r="TG554" s="178"/>
      <c r="TH554" s="178"/>
      <c r="TI554" s="178"/>
      <c r="TJ554" s="178"/>
      <c r="TK554" s="178"/>
      <c r="TL554" s="178"/>
      <c r="TM554" s="178"/>
      <c r="TN554" s="178"/>
      <c r="TO554" s="178"/>
      <c r="TP554" s="178"/>
      <c r="TQ554" s="178"/>
      <c r="TR554" s="178"/>
      <c r="TS554" s="178"/>
      <c r="TT554" s="178"/>
      <c r="TU554" s="178"/>
      <c r="TV554" s="178"/>
      <c r="TW554" s="178"/>
      <c r="TX554" s="178"/>
      <c r="TY554" s="178"/>
      <c r="TZ554" s="178"/>
      <c r="UA554" s="178"/>
      <c r="UB554" s="178"/>
      <c r="UC554" s="178"/>
      <c r="UD554" s="178"/>
      <c r="UE554" s="178"/>
      <c r="UF554" s="178"/>
      <c r="UG554" s="178"/>
      <c r="UH554" s="178"/>
      <c r="UI554" s="178"/>
      <c r="UJ554" s="178"/>
      <c r="UK554" s="178"/>
      <c r="UL554" s="178"/>
      <c r="UM554" s="178"/>
      <c r="UN554" s="178"/>
      <c r="UO554" s="178"/>
      <c r="UP554" s="178"/>
      <c r="UQ554" s="178"/>
      <c r="UR554" s="178"/>
      <c r="US554" s="178"/>
      <c r="UT554" s="178"/>
      <c r="UU554" s="178"/>
      <c r="UV554" s="178"/>
      <c r="UW554" s="178"/>
      <c r="UX554" s="178"/>
      <c r="UY554" s="178"/>
      <c r="UZ554" s="178"/>
      <c r="VA554" s="178"/>
      <c r="VB554" s="178"/>
      <c r="VC554" s="178"/>
      <c r="VD554" s="178"/>
      <c r="VE554" s="178"/>
      <c r="VF554" s="178"/>
      <c r="VG554" s="178"/>
      <c r="VH554" s="178"/>
      <c r="VI554" s="178"/>
      <c r="VJ554" s="178"/>
      <c r="VK554" s="178"/>
      <c r="VL554" s="178"/>
      <c r="VM554" s="178"/>
      <c r="VN554" s="178"/>
      <c r="VO554" s="178"/>
      <c r="VP554" s="178"/>
      <c r="VQ554" s="178"/>
      <c r="VR554" s="178"/>
      <c r="VS554" s="178"/>
      <c r="VT554" s="178"/>
      <c r="VU554" s="178"/>
      <c r="VV554" s="178"/>
      <c r="VW554" s="178"/>
      <c r="VX554" s="178"/>
      <c r="VY554" s="178"/>
      <c r="VZ554" s="178"/>
      <c r="WA554" s="178"/>
      <c r="WB554" s="178"/>
      <c r="WC554" s="178"/>
      <c r="WD554" s="178"/>
      <c r="WE554" s="178"/>
      <c r="WF554" s="178"/>
      <c r="WG554" s="178"/>
      <c r="WH554" s="178"/>
      <c r="WI554" s="178"/>
      <c r="WJ554" s="178"/>
      <c r="WK554" s="178"/>
      <c r="WL554" s="178"/>
      <c r="WM554" s="178"/>
      <c r="WN554" s="178"/>
      <c r="WO554" s="178"/>
      <c r="WP554" s="178"/>
      <c r="WQ554" s="178"/>
      <c r="WR554" s="178"/>
      <c r="WS554" s="178"/>
      <c r="WT554" s="178"/>
      <c r="WU554" s="178"/>
      <c r="WV554" s="178"/>
      <c r="WW554" s="178"/>
      <c r="WX554" s="178"/>
      <c r="WY554" s="178"/>
      <c r="WZ554" s="178"/>
      <c r="XA554" s="178"/>
      <c r="XB554" s="178"/>
      <c r="XC554" s="178"/>
      <c r="XD554" s="178"/>
      <c r="XE554" s="178"/>
      <c r="XF554" s="178"/>
      <c r="XG554" s="178"/>
      <c r="XH554" s="178"/>
      <c r="XI554" s="178"/>
      <c r="XJ554" s="178"/>
      <c r="XK554" s="178"/>
      <c r="XL554" s="178"/>
      <c r="XM554" s="178"/>
      <c r="XN554" s="178"/>
      <c r="XO554" s="178"/>
      <c r="XP554" s="178"/>
      <c r="XQ554" s="178"/>
      <c r="XR554" s="178"/>
      <c r="XS554" s="178"/>
      <c r="XT554" s="178"/>
      <c r="XU554" s="178"/>
      <c r="XV554" s="178"/>
      <c r="XW554" s="178"/>
      <c r="XX554" s="178"/>
      <c r="XY554" s="178"/>
      <c r="XZ554" s="178"/>
      <c r="YA554" s="178"/>
      <c r="YB554" s="178"/>
      <c r="YC554" s="178"/>
      <c r="YD554" s="178"/>
      <c r="YE554" s="178"/>
      <c r="YF554" s="178"/>
      <c r="YG554" s="178"/>
      <c r="YH554" s="178"/>
      <c r="YI554" s="178"/>
      <c r="YJ554" s="178"/>
      <c r="YK554" s="178"/>
      <c r="YL554" s="178"/>
      <c r="YM554" s="178"/>
      <c r="YN554" s="178"/>
      <c r="YO554" s="178"/>
      <c r="YP554" s="178"/>
      <c r="YQ554" s="178"/>
      <c r="YR554" s="178"/>
      <c r="YS554" s="178"/>
      <c r="YT554" s="178"/>
      <c r="YU554" s="178"/>
      <c r="YV554" s="178"/>
      <c r="YW554" s="178"/>
      <c r="YX554" s="178"/>
      <c r="YY554" s="178"/>
      <c r="YZ554" s="178"/>
      <c r="ZA554" s="178"/>
      <c r="ZB554" s="178"/>
      <c r="ZC554" s="178"/>
      <c r="ZD554" s="178"/>
      <c r="ZE554" s="178"/>
      <c r="ZF554" s="178"/>
      <c r="ZG554" s="178"/>
      <c r="ZH554" s="178"/>
      <c r="ZI554" s="178"/>
      <c r="ZJ554" s="178"/>
      <c r="ZK554" s="178"/>
      <c r="ZL554" s="178"/>
      <c r="ZM554" s="178"/>
      <c r="ZN554" s="178"/>
      <c r="ZO554" s="178"/>
      <c r="ZP554" s="178"/>
      <c r="ZQ554" s="178"/>
      <c r="ZR554" s="178"/>
      <c r="ZS554" s="178"/>
      <c r="ZT554" s="178"/>
      <c r="ZU554" s="178"/>
      <c r="ZV554" s="178"/>
      <c r="ZW554" s="178"/>
      <c r="ZX554" s="178"/>
      <c r="ZY554" s="178"/>
      <c r="ZZ554" s="178"/>
      <c r="AAA554" s="178"/>
      <c r="AAB554" s="178"/>
      <c r="AAC554" s="178"/>
      <c r="AAD554" s="178"/>
      <c r="AAE554" s="178"/>
      <c r="AAF554" s="178"/>
      <c r="AAG554" s="178"/>
      <c r="AAH554" s="178"/>
      <c r="AAI554" s="178"/>
      <c r="AAJ554" s="178"/>
      <c r="AAK554" s="178"/>
      <c r="AAL554" s="178"/>
      <c r="AAM554" s="178"/>
      <c r="AAN554" s="178"/>
      <c r="AAO554" s="178"/>
      <c r="AAP554" s="178"/>
      <c r="AAQ554" s="178"/>
      <c r="AAR554" s="178"/>
      <c r="AAS554" s="178"/>
      <c r="AAT554" s="178"/>
      <c r="AAU554" s="178"/>
      <c r="AAV554" s="178"/>
      <c r="AAW554" s="178"/>
      <c r="AAX554" s="178"/>
      <c r="AAY554" s="178"/>
      <c r="AAZ554" s="178"/>
      <c r="ABA554" s="178"/>
      <c r="ABB554" s="178"/>
      <c r="ABC554" s="178"/>
      <c r="ABD554" s="178"/>
      <c r="ABE554" s="178"/>
      <c r="ABF554" s="178"/>
      <c r="ABG554" s="178"/>
      <c r="ABH554" s="178"/>
      <c r="ABI554" s="178"/>
      <c r="ABJ554" s="178"/>
      <c r="ABK554" s="178"/>
      <c r="ABL554" s="178"/>
      <c r="ABM554" s="178"/>
      <c r="ABN554" s="178"/>
      <c r="ABO554" s="178"/>
      <c r="ABP554" s="178"/>
      <c r="ABQ554" s="178"/>
      <c r="ABR554" s="178"/>
      <c r="ABS554" s="178"/>
      <c r="ABT554" s="178"/>
      <c r="ABU554" s="178"/>
      <c r="ABV554" s="178"/>
      <c r="ABW554" s="178"/>
      <c r="ABX554" s="178"/>
      <c r="ABY554" s="178"/>
      <c r="ABZ554" s="178"/>
      <c r="ACA554" s="178"/>
      <c r="ACB554" s="178"/>
      <c r="ACC554" s="178"/>
      <c r="ACD554" s="178"/>
      <c r="ACE554" s="178"/>
      <c r="ACF554" s="178"/>
      <c r="ACG554" s="178"/>
      <c r="ACH554" s="178"/>
      <c r="ACI554" s="178"/>
      <c r="ACJ554" s="178"/>
      <c r="ACK554" s="178"/>
      <c r="ACL554" s="178"/>
      <c r="ACM554" s="178"/>
      <c r="ACN554" s="178"/>
      <c r="ACO554" s="178"/>
      <c r="ACP554" s="178"/>
      <c r="ACQ554" s="178"/>
      <c r="ACR554" s="178"/>
      <c r="ACS554" s="178"/>
      <c r="ACT554" s="178"/>
      <c r="ACU554" s="178"/>
      <c r="ACV554" s="178"/>
      <c r="ACW554" s="178"/>
      <c r="ACX554" s="178"/>
      <c r="ACY554" s="178"/>
      <c r="ACZ554" s="178"/>
      <c r="ADA554" s="178"/>
      <c r="ADB554" s="178"/>
      <c r="ADC554" s="178"/>
      <c r="ADD554" s="178"/>
      <c r="ADE554" s="178"/>
      <c r="ADF554" s="178"/>
      <c r="ADG554" s="178"/>
      <c r="ADH554" s="178"/>
      <c r="ADI554" s="178"/>
      <c r="ADJ554" s="178"/>
      <c r="ADK554" s="178"/>
      <c r="ADL554" s="178"/>
      <c r="ADM554" s="178"/>
      <c r="ADN554" s="178"/>
      <c r="ADO554" s="178"/>
      <c r="ADP554" s="178"/>
      <c r="ADQ554" s="178"/>
      <c r="ADR554" s="178"/>
      <c r="ADS554" s="178"/>
      <c r="ADT554" s="178"/>
      <c r="ADU554" s="178"/>
      <c r="ADV554" s="178"/>
      <c r="ADW554" s="178"/>
      <c r="ADX554" s="178"/>
      <c r="ADY554" s="178"/>
      <c r="ADZ554" s="178"/>
      <c r="AEA554" s="178"/>
      <c r="AEB554" s="178"/>
      <c r="AEC554" s="178"/>
      <c r="AED554" s="178"/>
      <c r="AEE554" s="178"/>
      <c r="AEF554" s="178"/>
      <c r="AEG554" s="178"/>
      <c r="AEH554" s="178"/>
      <c r="AEI554" s="178"/>
      <c r="AEJ554" s="178"/>
      <c r="AEK554" s="178"/>
      <c r="AEL554" s="178"/>
      <c r="AEM554" s="178"/>
      <c r="AEN554" s="178"/>
      <c r="AEO554" s="178"/>
      <c r="AEP554" s="178"/>
      <c r="AEQ554" s="178"/>
      <c r="AER554" s="178"/>
      <c r="AES554" s="178"/>
      <c r="AET554" s="178"/>
      <c r="AEU554" s="178"/>
      <c r="AEV554" s="178"/>
      <c r="AEW554" s="178"/>
      <c r="AEX554" s="178"/>
      <c r="AEY554" s="178"/>
      <c r="AEZ554" s="178"/>
      <c r="AFA554" s="178"/>
      <c r="AFB554" s="178"/>
      <c r="AFC554" s="178"/>
      <c r="AFD554" s="178"/>
      <c r="AFE554" s="178"/>
      <c r="AFF554" s="178"/>
      <c r="AFG554" s="178"/>
      <c r="AFH554" s="178"/>
      <c r="AFI554" s="178"/>
      <c r="AFJ554" s="178"/>
      <c r="AFK554" s="178"/>
      <c r="AFL554" s="178"/>
      <c r="AFM554" s="178"/>
      <c r="AFN554" s="178"/>
      <c r="AFO554" s="178"/>
      <c r="AFP554" s="178"/>
      <c r="AFQ554" s="178"/>
      <c r="AFR554" s="178"/>
      <c r="AFS554" s="178"/>
      <c r="AFT554" s="178"/>
      <c r="AFU554" s="178"/>
      <c r="AFV554" s="178"/>
      <c r="AFW554" s="178"/>
      <c r="AFX554" s="178"/>
      <c r="AFY554" s="178"/>
      <c r="AFZ554" s="178"/>
      <c r="AGA554" s="178"/>
      <c r="AGB554" s="178"/>
      <c r="AGC554" s="178"/>
      <c r="AGD554" s="178"/>
      <c r="AGE554" s="178"/>
      <c r="AGF554" s="178"/>
      <c r="AGG554" s="178"/>
      <c r="AGH554" s="178"/>
      <c r="AGI554" s="178"/>
      <c r="AGJ554" s="178"/>
      <c r="AGK554" s="178"/>
      <c r="AGL554" s="178"/>
      <c r="AGM554" s="178"/>
      <c r="AGN554" s="178"/>
      <c r="AGO554" s="178"/>
      <c r="AGP554" s="178"/>
      <c r="AGQ554" s="178"/>
      <c r="AGR554" s="178"/>
      <c r="AGS554" s="178"/>
      <c r="AGT554" s="178"/>
      <c r="AGU554" s="178"/>
      <c r="AGV554" s="178"/>
      <c r="AGW554" s="178"/>
      <c r="AGX554" s="178"/>
      <c r="AGY554" s="178"/>
      <c r="AGZ554" s="178"/>
      <c r="AHA554" s="178"/>
      <c r="AHB554" s="178"/>
      <c r="AHC554" s="178"/>
      <c r="AHD554" s="178"/>
      <c r="AHE554" s="178"/>
      <c r="AHF554" s="178"/>
      <c r="AHG554" s="178"/>
      <c r="AHH554" s="178"/>
      <c r="AHI554" s="178"/>
      <c r="AHJ554" s="178"/>
      <c r="AHK554" s="178"/>
      <c r="AHL554" s="178"/>
      <c r="AHM554" s="178"/>
      <c r="AHN554" s="178"/>
      <c r="AHO554" s="178"/>
      <c r="AHP554" s="178"/>
      <c r="AHQ554" s="178"/>
      <c r="AHR554" s="178"/>
      <c r="AHS554" s="178"/>
      <c r="AHT554" s="178"/>
      <c r="AHU554" s="178"/>
      <c r="AHV554" s="178"/>
      <c r="AHW554" s="178"/>
      <c r="AHX554" s="178"/>
      <c r="AHY554" s="178"/>
      <c r="AHZ554" s="178"/>
      <c r="AIA554" s="178"/>
      <c r="AIB554" s="178"/>
      <c r="AIC554" s="178"/>
      <c r="AID554" s="178"/>
      <c r="AIE554" s="178"/>
      <c r="AIF554" s="178"/>
      <c r="AIG554" s="178"/>
      <c r="AIH554" s="178"/>
      <c r="AII554" s="178"/>
      <c r="AIJ554" s="178"/>
      <c r="AIK554" s="178"/>
      <c r="AIL554" s="178"/>
      <c r="AIM554" s="178"/>
      <c r="AIN554" s="178"/>
      <c r="AIO554" s="178"/>
      <c r="AIP554" s="178"/>
      <c r="AIQ554" s="178"/>
      <c r="AIR554" s="178"/>
      <c r="AIS554" s="178"/>
      <c r="AIT554" s="178"/>
      <c r="AIU554" s="178"/>
      <c r="AIV554" s="178"/>
      <c r="AIW554" s="178"/>
      <c r="AIX554" s="178"/>
      <c r="AIY554" s="178"/>
      <c r="AIZ554" s="178"/>
      <c r="AJA554" s="178"/>
      <c r="AJB554" s="178"/>
      <c r="AJC554" s="178"/>
      <c r="AJD554" s="178"/>
      <c r="AJE554" s="178"/>
      <c r="AJF554" s="178"/>
      <c r="AJG554" s="178"/>
      <c r="AJH554" s="178"/>
      <c r="AJI554" s="178"/>
      <c r="AJJ554" s="178"/>
      <c r="AJK554" s="178"/>
      <c r="AJL554" s="178"/>
      <c r="AJM554" s="178"/>
      <c r="AJN554" s="178"/>
      <c r="AJO554" s="178"/>
      <c r="AJP554" s="178"/>
      <c r="AJQ554" s="178"/>
      <c r="AJR554" s="178"/>
      <c r="AJS554" s="178"/>
      <c r="AJT554" s="178"/>
      <c r="AJU554" s="178"/>
      <c r="AJV554" s="178"/>
      <c r="AJW554" s="178"/>
      <c r="AJX554" s="178"/>
      <c r="AJY554" s="178"/>
      <c r="AJZ554" s="178"/>
      <c r="AKA554" s="178"/>
      <c r="AKB554" s="178"/>
      <c r="AKC554" s="178"/>
      <c r="AKD554" s="178"/>
      <c r="AKE554" s="178"/>
      <c r="AKF554" s="178"/>
      <c r="AKG554" s="178"/>
      <c r="AKH554" s="178"/>
      <c r="AKI554" s="178"/>
      <c r="AKJ554" s="178"/>
      <c r="AKK554" s="178"/>
      <c r="AKL554" s="178"/>
      <c r="AKM554" s="178"/>
      <c r="AKN554" s="178"/>
      <c r="AKO554" s="178"/>
      <c r="AKP554" s="178"/>
      <c r="AKQ554" s="178"/>
      <c r="AKR554" s="178"/>
      <c r="AKS554" s="178"/>
      <c r="AKT554" s="178"/>
      <c r="AKU554" s="178"/>
      <c r="AKV554" s="178"/>
      <c r="AKW554" s="178"/>
      <c r="AKX554" s="178"/>
      <c r="AKY554" s="178"/>
      <c r="AKZ554" s="178"/>
      <c r="ALA554" s="178"/>
      <c r="ALB554" s="178"/>
      <c r="ALC554" s="178"/>
      <c r="ALD554" s="178"/>
      <c r="ALE554" s="178"/>
      <c r="ALF554" s="178"/>
      <c r="ALG554" s="178"/>
      <c r="ALH554" s="178"/>
      <c r="ALI554" s="178"/>
      <c r="ALJ554" s="178"/>
      <c r="ALK554" s="178"/>
      <c r="ALL554" s="178"/>
      <c r="ALM554" s="178"/>
      <c r="ALN554" s="178"/>
      <c r="ALO554" s="178"/>
      <c r="ALP554" s="178"/>
      <c r="ALQ554" s="178"/>
      <c r="ALR554" s="178"/>
      <c r="ALS554" s="178"/>
      <c r="ALT554" s="178"/>
      <c r="ALU554" s="178"/>
      <c r="ALV554" s="178"/>
      <c r="ALW554" s="178"/>
      <c r="ALX554" s="178"/>
      <c r="ALY554" s="178"/>
      <c r="ALZ554" s="178"/>
      <c r="AMA554" s="178"/>
      <c r="AMB554" s="178"/>
      <c r="AMC554" s="178"/>
      <c r="AMD554" s="178"/>
      <c r="AME554" s="178"/>
      <c r="AMF554" s="178"/>
      <c r="AMG554" s="178"/>
      <c r="AMH554" s="178"/>
      <c r="AMI554" s="178"/>
      <c r="AMJ554" s="178"/>
      <c r="AMK554" s="178"/>
      <c r="AML554" s="178"/>
      <c r="AMM554" s="178"/>
      <c r="AMN554" s="178"/>
      <c r="AMO554" s="178"/>
      <c r="AMP554" s="178"/>
      <c r="AMQ554" s="178"/>
      <c r="AMR554" s="178"/>
      <c r="AMS554" s="178"/>
      <c r="AMT554" s="178"/>
      <c r="AMU554" s="178"/>
      <c r="AMV554" s="178"/>
      <c r="AMW554" s="178"/>
      <c r="AMX554" s="178"/>
      <c r="AMY554" s="178"/>
      <c r="AMZ554" s="178"/>
      <c r="ANA554" s="178"/>
      <c r="ANB554" s="178"/>
      <c r="ANC554" s="178"/>
      <c r="AND554" s="178"/>
      <c r="ANE554" s="178"/>
      <c r="ANF554" s="178"/>
      <c r="ANG554" s="178"/>
      <c r="ANH554" s="178"/>
      <c r="ANI554" s="178"/>
      <c r="ANJ554" s="178"/>
      <c r="ANK554" s="178"/>
      <c r="ANL554" s="178"/>
      <c r="ANM554" s="178"/>
      <c r="ANN554" s="178"/>
      <c r="ANO554" s="178"/>
      <c r="ANP554" s="178"/>
      <c r="ANQ554" s="178"/>
      <c r="ANR554" s="178"/>
      <c r="ANS554" s="178"/>
      <c r="ANT554" s="178"/>
      <c r="ANU554" s="178"/>
      <c r="ANV554" s="178"/>
      <c r="ANW554" s="178"/>
      <c r="ANX554" s="178"/>
      <c r="ANY554" s="178"/>
      <c r="ANZ554" s="178"/>
      <c r="AOA554" s="178"/>
      <c r="AOB554" s="178"/>
      <c r="AOC554" s="178"/>
      <c r="AOD554" s="178"/>
      <c r="AOE554" s="178"/>
      <c r="AOF554" s="178"/>
      <c r="AOG554" s="178"/>
      <c r="AOH554" s="178"/>
      <c r="AOI554" s="178"/>
      <c r="AOJ554" s="178"/>
      <c r="AOK554" s="178"/>
      <c r="AOL554" s="178"/>
      <c r="AOM554" s="178"/>
      <c r="AON554" s="178"/>
      <c r="AOO554" s="178"/>
      <c r="AOP554" s="178"/>
      <c r="AOQ554" s="178"/>
      <c r="AOR554" s="178"/>
      <c r="AOS554" s="178"/>
      <c r="AOT554" s="178"/>
      <c r="AOU554" s="178"/>
      <c r="AOV554" s="178"/>
      <c r="AOW554" s="178"/>
      <c r="AOX554" s="178"/>
      <c r="AOY554" s="178"/>
      <c r="AOZ554" s="178"/>
      <c r="APA554" s="178"/>
      <c r="APB554" s="178"/>
      <c r="APC554" s="178"/>
      <c r="APD554" s="178"/>
      <c r="APE554" s="178"/>
      <c r="APF554" s="178"/>
      <c r="APG554" s="178"/>
      <c r="APH554" s="178"/>
      <c r="API554" s="178"/>
      <c r="APJ554" s="178"/>
      <c r="APK554" s="178"/>
      <c r="APL554" s="178"/>
      <c r="APM554" s="178"/>
      <c r="APN554" s="178"/>
      <c r="APO554" s="178"/>
      <c r="APP554" s="178"/>
      <c r="APQ554" s="178"/>
      <c r="APR554" s="178"/>
      <c r="APS554" s="178"/>
      <c r="APT554" s="178"/>
      <c r="APU554" s="178"/>
      <c r="APV554" s="178"/>
      <c r="APW554" s="178"/>
      <c r="APX554" s="178"/>
      <c r="APY554" s="178"/>
      <c r="APZ554" s="178"/>
      <c r="AQA554" s="178"/>
      <c r="AQB554" s="178"/>
      <c r="AQC554" s="178"/>
      <c r="AQD554" s="178"/>
      <c r="AQE554" s="178"/>
      <c r="AQF554" s="178"/>
      <c r="AQG554" s="178"/>
      <c r="AQH554" s="178"/>
      <c r="AQI554" s="178"/>
      <c r="AQJ554" s="178"/>
      <c r="AQK554" s="178"/>
      <c r="AQL554" s="178"/>
      <c r="AQM554" s="178"/>
      <c r="AQN554" s="178"/>
      <c r="AQO554" s="178"/>
      <c r="AQP554" s="178"/>
      <c r="AQQ554" s="178"/>
      <c r="AQR554" s="178"/>
      <c r="AQS554" s="178"/>
      <c r="AQT554" s="178"/>
      <c r="AQU554" s="178"/>
      <c r="AQV554" s="178"/>
      <c r="AQW554" s="178"/>
      <c r="AQX554" s="178"/>
      <c r="AQY554" s="178"/>
      <c r="AQZ554" s="178"/>
      <c r="ARA554" s="178"/>
      <c r="ARB554" s="178"/>
      <c r="ARC554" s="178"/>
      <c r="ARD554" s="178"/>
      <c r="ARE554" s="178"/>
      <c r="ARF554" s="178"/>
      <c r="ARG554" s="178"/>
      <c r="ARH554" s="178"/>
      <c r="ARI554" s="178"/>
      <c r="ARJ554" s="178"/>
      <c r="ARK554" s="178"/>
      <c r="ARL554" s="178"/>
      <c r="ARM554" s="178"/>
      <c r="ARN554" s="178"/>
      <c r="ARO554" s="178"/>
      <c r="ARP554" s="178"/>
      <c r="ARQ554" s="178"/>
      <c r="ARR554" s="178"/>
      <c r="ARS554" s="178"/>
      <c r="ART554" s="178"/>
      <c r="ARU554" s="178"/>
      <c r="ARV554" s="178"/>
      <c r="ARW554" s="178"/>
      <c r="ARX554" s="178"/>
      <c r="ARY554" s="178"/>
      <c r="ARZ554" s="178"/>
      <c r="ASA554" s="178"/>
      <c r="ASB554" s="178"/>
      <c r="ASC554" s="178"/>
      <c r="ASD554" s="178"/>
      <c r="ASE554" s="178"/>
      <c r="ASF554" s="178"/>
      <c r="ASG554" s="178"/>
      <c r="ASH554" s="178"/>
      <c r="ASI554" s="178"/>
      <c r="ASJ554" s="178"/>
      <c r="ASK554" s="178"/>
      <c r="ASL554" s="178"/>
      <c r="ASM554" s="178"/>
      <c r="ASN554" s="178"/>
      <c r="ASO554" s="178"/>
      <c r="ASP554" s="178"/>
      <c r="ASQ554" s="178"/>
      <c r="ASR554" s="178"/>
      <c r="ASS554" s="178"/>
      <c r="AST554" s="178"/>
      <c r="ASU554" s="178"/>
      <c r="ASV554" s="178"/>
      <c r="ASW554" s="178"/>
      <c r="ASX554" s="178"/>
      <c r="ASY554" s="178"/>
      <c r="ASZ554" s="178"/>
      <c r="ATA554" s="178"/>
      <c r="ATB554" s="178"/>
      <c r="ATC554" s="178"/>
      <c r="ATD554" s="178"/>
      <c r="ATE554" s="178"/>
      <c r="ATF554" s="178"/>
      <c r="ATG554" s="178"/>
      <c r="ATH554" s="178"/>
      <c r="ATI554" s="178"/>
      <c r="ATJ554" s="178"/>
      <c r="ATK554" s="178"/>
      <c r="ATL554" s="178"/>
      <c r="ATM554" s="178"/>
      <c r="ATN554" s="178"/>
      <c r="ATO554" s="178"/>
      <c r="ATP554" s="178"/>
      <c r="ATQ554" s="178"/>
      <c r="ATR554" s="178"/>
      <c r="ATS554" s="178"/>
      <c r="ATT554" s="178"/>
      <c r="ATU554" s="178"/>
      <c r="ATV554" s="178"/>
      <c r="ATW554" s="178"/>
      <c r="ATX554" s="178"/>
      <c r="ATY554" s="178"/>
      <c r="ATZ554" s="178"/>
      <c r="AUA554" s="178"/>
      <c r="AUB554" s="178"/>
      <c r="AUC554" s="178"/>
      <c r="AUD554" s="178"/>
      <c r="AUE554" s="178"/>
      <c r="AUF554" s="178"/>
      <c r="AUG554" s="178"/>
      <c r="AUH554" s="178"/>
      <c r="AUI554" s="178"/>
      <c r="AUJ554" s="178"/>
      <c r="AUK554" s="178"/>
      <c r="AUL554" s="178"/>
      <c r="AUM554" s="178"/>
      <c r="AUN554" s="178"/>
      <c r="AUO554" s="178"/>
      <c r="AUP554" s="178"/>
      <c r="AUQ554" s="178"/>
      <c r="AUR554" s="178"/>
      <c r="AUS554" s="178"/>
      <c r="AUT554" s="178"/>
      <c r="AUU554" s="178"/>
      <c r="AUV554" s="178"/>
      <c r="AUW554" s="178"/>
      <c r="AUX554" s="178"/>
      <c r="AUY554" s="178"/>
      <c r="AUZ554" s="178"/>
      <c r="AVA554" s="178"/>
      <c r="AVB554" s="178"/>
      <c r="AVC554" s="178"/>
      <c r="AVD554" s="178"/>
      <c r="AVE554" s="178"/>
      <c r="AVF554" s="178"/>
      <c r="AVG554" s="178"/>
      <c r="AVH554" s="178"/>
      <c r="AVI554" s="178"/>
      <c r="AVJ554" s="178"/>
      <c r="AVK554" s="178"/>
      <c r="AVL554" s="178"/>
      <c r="AVM554" s="178"/>
      <c r="AVN554" s="178"/>
      <c r="AVO554" s="178"/>
      <c r="AVP554" s="178"/>
      <c r="AVQ554" s="178"/>
      <c r="AVR554" s="178"/>
      <c r="AVS554" s="178"/>
      <c r="AVT554" s="178"/>
      <c r="AVU554" s="178"/>
      <c r="AVV554" s="178"/>
      <c r="AVW554" s="178"/>
      <c r="AVX554" s="178"/>
      <c r="AVY554" s="178"/>
      <c r="AVZ554" s="178"/>
      <c r="AWA554" s="178"/>
      <c r="AWB554" s="178"/>
      <c r="AWC554" s="178"/>
      <c r="AWD554" s="178"/>
      <c r="AWE554" s="178"/>
      <c r="AWF554" s="178"/>
      <c r="AWG554" s="178"/>
      <c r="AWH554" s="178"/>
      <c r="AWI554" s="178"/>
      <c r="AWJ554" s="178"/>
      <c r="AWK554" s="178"/>
      <c r="AWL554" s="178"/>
      <c r="AWM554" s="178"/>
      <c r="AWN554" s="178"/>
      <c r="AWO554" s="178"/>
      <c r="AWP554" s="178"/>
      <c r="AWQ554" s="178"/>
      <c r="AWR554" s="178"/>
      <c r="AWS554" s="178"/>
      <c r="AWT554" s="178"/>
      <c r="AWU554" s="178"/>
      <c r="AWV554" s="178"/>
      <c r="AWW554" s="178"/>
      <c r="AWX554" s="178"/>
      <c r="AWY554" s="178"/>
      <c r="AWZ554" s="178"/>
      <c r="AXA554" s="178"/>
      <c r="AXB554" s="178"/>
      <c r="AXC554" s="178"/>
      <c r="AXD554" s="178"/>
      <c r="AXE554" s="178"/>
      <c r="AXF554" s="178"/>
      <c r="AXG554" s="178"/>
      <c r="AXH554" s="178"/>
      <c r="AXI554" s="178"/>
      <c r="AXJ554" s="178"/>
      <c r="AXK554" s="178"/>
      <c r="AXL554" s="178"/>
      <c r="AXM554" s="178"/>
      <c r="AXN554" s="178"/>
      <c r="AXO554" s="178"/>
      <c r="AXP554" s="178"/>
      <c r="AXQ554" s="178"/>
      <c r="AXR554" s="178"/>
      <c r="AXS554" s="178"/>
      <c r="AXT554" s="178"/>
      <c r="AXU554" s="178"/>
      <c r="AXV554" s="178"/>
      <c r="AXW554" s="178"/>
      <c r="AXX554" s="178"/>
      <c r="AXY554" s="178"/>
      <c r="AXZ554" s="178"/>
      <c r="AYA554" s="178"/>
      <c r="AYB554" s="178"/>
      <c r="AYC554" s="178"/>
      <c r="AYD554" s="178"/>
      <c r="AYE554" s="178"/>
      <c r="AYF554" s="178"/>
      <c r="AYG554" s="178"/>
      <c r="AYH554" s="178"/>
      <c r="AYI554" s="178"/>
      <c r="AYJ554" s="178"/>
      <c r="AYK554" s="178"/>
      <c r="AYL554" s="178"/>
      <c r="AYM554" s="178"/>
      <c r="AYN554" s="178"/>
      <c r="AYO554" s="178"/>
      <c r="AYP554" s="178"/>
      <c r="AYQ554" s="178"/>
      <c r="AYR554" s="178"/>
      <c r="AYS554" s="178"/>
      <c r="AYT554" s="178"/>
      <c r="AYU554" s="178"/>
      <c r="AYV554" s="178"/>
      <c r="AYW554" s="178"/>
      <c r="AYX554" s="178"/>
      <c r="AYY554" s="178"/>
      <c r="AYZ554" s="178"/>
      <c r="AZA554" s="178"/>
      <c r="AZB554" s="178"/>
      <c r="AZC554" s="178"/>
      <c r="AZD554" s="178"/>
      <c r="AZE554" s="178"/>
      <c r="AZF554" s="178"/>
      <c r="AZG554" s="178"/>
      <c r="AZH554" s="178"/>
      <c r="AZI554" s="178"/>
      <c r="AZJ554" s="178"/>
      <c r="AZK554" s="178"/>
      <c r="AZL554" s="178"/>
      <c r="AZM554" s="178"/>
      <c r="AZN554" s="178"/>
      <c r="AZO554" s="178"/>
      <c r="AZP554" s="178"/>
      <c r="AZQ554" s="178"/>
      <c r="AZR554" s="178"/>
      <c r="AZS554" s="178"/>
      <c r="AZT554" s="178"/>
      <c r="AZU554" s="178"/>
      <c r="AZV554" s="178"/>
      <c r="AZW554" s="178"/>
      <c r="AZX554" s="178"/>
      <c r="AZY554" s="178"/>
      <c r="AZZ554" s="178"/>
      <c r="BAA554" s="178"/>
      <c r="BAB554" s="178"/>
      <c r="BAC554" s="178"/>
      <c r="BAD554" s="178"/>
      <c r="BAE554" s="178"/>
      <c r="BAF554" s="178"/>
      <c r="BAG554" s="178"/>
      <c r="BAH554" s="178"/>
      <c r="BAI554" s="178"/>
      <c r="BAJ554" s="178"/>
      <c r="BAK554" s="178"/>
      <c r="BAL554" s="178"/>
      <c r="BAM554" s="178"/>
      <c r="BAN554" s="178"/>
      <c r="BAO554" s="178"/>
      <c r="BAP554" s="178"/>
      <c r="BAQ554" s="178"/>
      <c r="BAR554" s="178"/>
      <c r="BAS554" s="178"/>
      <c r="BAT554" s="178"/>
      <c r="BAU554" s="178"/>
      <c r="BAV554" s="178"/>
      <c r="BAW554" s="178"/>
      <c r="BAX554" s="178"/>
      <c r="BAY554" s="178"/>
      <c r="BAZ554" s="178"/>
      <c r="BBA554" s="178"/>
      <c r="BBB554" s="178"/>
      <c r="BBC554" s="178"/>
      <c r="BBD554" s="178"/>
      <c r="BBE554" s="178"/>
      <c r="BBF554" s="178"/>
      <c r="BBG554" s="178"/>
      <c r="BBH554" s="178"/>
      <c r="BBI554" s="178"/>
      <c r="BBJ554" s="178"/>
      <c r="BBK554" s="178"/>
      <c r="BBL554" s="178"/>
      <c r="BBM554" s="178"/>
      <c r="BBN554" s="178"/>
      <c r="BBO554" s="178"/>
      <c r="BBP554" s="178"/>
      <c r="BBQ554" s="178"/>
      <c r="BBR554" s="178"/>
      <c r="BBS554" s="178"/>
      <c r="BBT554" s="178"/>
      <c r="BBU554" s="178"/>
      <c r="BBV554" s="178"/>
      <c r="BBW554" s="178"/>
      <c r="BBX554" s="178"/>
      <c r="BBY554" s="178"/>
      <c r="BBZ554" s="178"/>
      <c r="BCA554" s="178"/>
      <c r="BCB554" s="178"/>
      <c r="BCC554" s="178"/>
      <c r="BCD554" s="178"/>
      <c r="BCE554" s="178"/>
      <c r="BCF554" s="178"/>
      <c r="BCG554" s="178"/>
      <c r="BCH554" s="178"/>
      <c r="BCI554" s="178"/>
      <c r="BCJ554" s="178"/>
      <c r="BCK554" s="178"/>
      <c r="BCL554" s="178"/>
      <c r="BCM554" s="178"/>
      <c r="BCN554" s="178"/>
      <c r="BCO554" s="178"/>
      <c r="BCP554" s="178"/>
      <c r="BCQ554" s="178"/>
      <c r="BCR554" s="178"/>
      <c r="BCS554" s="178"/>
      <c r="BCT554" s="178"/>
      <c r="BCU554" s="178"/>
      <c r="BCV554" s="178"/>
      <c r="BCW554" s="178"/>
      <c r="BCX554" s="178"/>
      <c r="BCY554" s="178"/>
      <c r="BCZ554" s="178"/>
      <c r="BDA554" s="178"/>
      <c r="BDB554" s="178"/>
      <c r="BDC554" s="178"/>
      <c r="BDD554" s="178"/>
      <c r="BDE554" s="178"/>
      <c r="BDF554" s="178"/>
      <c r="BDG554" s="178"/>
      <c r="BDH554" s="178"/>
      <c r="BDI554" s="178"/>
      <c r="BDJ554" s="178"/>
      <c r="BDK554" s="178"/>
      <c r="BDL554" s="178"/>
      <c r="BDM554" s="178"/>
      <c r="BDN554" s="178"/>
      <c r="BDO554" s="178"/>
      <c r="BDP554" s="178"/>
      <c r="BDQ554" s="178"/>
      <c r="BDR554" s="178"/>
      <c r="BDS554" s="178"/>
      <c r="BDT554" s="178"/>
      <c r="BDU554" s="178"/>
      <c r="BDV554" s="178"/>
      <c r="BDW554" s="178"/>
      <c r="BDX554" s="178"/>
      <c r="BDY554" s="178"/>
      <c r="BDZ554" s="178"/>
      <c r="BEA554" s="178"/>
      <c r="BEB554" s="178"/>
      <c r="BEC554" s="178"/>
      <c r="BED554" s="178"/>
      <c r="BEE554" s="178"/>
      <c r="BEF554" s="178"/>
      <c r="BEG554" s="178"/>
      <c r="BEH554" s="178"/>
      <c r="BEI554" s="178"/>
      <c r="BEJ554" s="178"/>
      <c r="BEK554" s="178"/>
      <c r="BEL554" s="178"/>
      <c r="BEM554" s="178"/>
      <c r="BEN554" s="178"/>
      <c r="BEO554" s="178"/>
      <c r="BEP554" s="178"/>
      <c r="BEQ554" s="178"/>
      <c r="BER554" s="178"/>
      <c r="BES554" s="178"/>
      <c r="BET554" s="178"/>
      <c r="BEU554" s="178"/>
      <c r="BEV554" s="178"/>
      <c r="BEW554" s="178"/>
      <c r="BEX554" s="178"/>
      <c r="BEY554" s="178"/>
      <c r="BEZ554" s="178"/>
      <c r="BFA554" s="178"/>
      <c r="BFB554" s="178"/>
      <c r="BFC554" s="178"/>
      <c r="BFD554" s="178"/>
      <c r="BFE554" s="178"/>
      <c r="BFF554" s="178"/>
      <c r="BFG554" s="178"/>
      <c r="BFH554" s="178"/>
      <c r="BFI554" s="178"/>
      <c r="BFJ554" s="178"/>
      <c r="BFK554" s="178"/>
      <c r="BFL554" s="178"/>
      <c r="BFM554" s="178"/>
      <c r="BFN554" s="178"/>
      <c r="BFO554" s="178"/>
      <c r="BFP554" s="178"/>
      <c r="BFQ554" s="178"/>
      <c r="BFR554" s="178"/>
      <c r="BFS554" s="178"/>
      <c r="BFT554" s="178"/>
      <c r="BFU554" s="178"/>
      <c r="BFV554" s="178"/>
      <c r="BFW554" s="178"/>
      <c r="BFX554" s="178"/>
      <c r="BFY554" s="178"/>
      <c r="BFZ554" s="178"/>
      <c r="BGA554" s="178"/>
      <c r="BGB554" s="178"/>
      <c r="BGC554" s="178"/>
      <c r="BGD554" s="178"/>
      <c r="BGE554" s="178"/>
      <c r="BGF554" s="178"/>
      <c r="BGG554" s="178"/>
      <c r="BGH554" s="178"/>
      <c r="BGI554" s="178"/>
      <c r="BGJ554" s="178"/>
      <c r="BGK554" s="178"/>
      <c r="BGL554" s="178"/>
      <c r="BGM554" s="178"/>
      <c r="BGN554" s="178"/>
      <c r="BGO554" s="178"/>
      <c r="BGP554" s="178"/>
      <c r="BGQ554" s="178"/>
      <c r="BGR554" s="178"/>
      <c r="BGS554" s="178"/>
      <c r="BGT554" s="178"/>
      <c r="BGU554" s="178"/>
      <c r="BGV554" s="178"/>
      <c r="BGW554" s="178"/>
      <c r="BGX554" s="178"/>
      <c r="BGY554" s="178"/>
      <c r="BGZ554" s="178"/>
      <c r="BHA554" s="178"/>
      <c r="BHB554" s="178"/>
      <c r="BHC554" s="178"/>
      <c r="BHD554" s="178"/>
      <c r="BHE554" s="178"/>
      <c r="BHF554" s="178"/>
      <c r="BHG554" s="178"/>
      <c r="BHH554" s="178"/>
      <c r="BHI554" s="178"/>
      <c r="BHJ554" s="178"/>
      <c r="BHK554" s="178"/>
      <c r="BHL554" s="178"/>
      <c r="BHM554" s="178"/>
      <c r="BHN554" s="178"/>
      <c r="BHO554" s="178"/>
      <c r="BHP554" s="178"/>
      <c r="BHQ554" s="178"/>
      <c r="BHR554" s="178"/>
      <c r="BHS554" s="178"/>
      <c r="BHT554" s="178"/>
      <c r="BHU554" s="178"/>
      <c r="BHV554" s="178"/>
      <c r="BHW554" s="178"/>
      <c r="BHX554" s="178"/>
      <c r="BHY554" s="178"/>
      <c r="BHZ554" s="178"/>
      <c r="BIA554" s="178"/>
      <c r="BIB554" s="178"/>
      <c r="BIC554" s="178"/>
      <c r="BID554" s="178"/>
      <c r="BIE554" s="178"/>
      <c r="BIF554" s="178"/>
      <c r="BIG554" s="178"/>
      <c r="BIH554" s="178"/>
      <c r="BII554" s="178"/>
      <c r="BIJ554" s="178"/>
      <c r="BIK554" s="178"/>
      <c r="BIL554" s="178"/>
      <c r="BIM554" s="178"/>
      <c r="BIN554" s="178"/>
      <c r="BIO554" s="178"/>
      <c r="BIP554" s="178"/>
      <c r="BIQ554" s="178"/>
      <c r="BIR554" s="178"/>
      <c r="BIS554" s="178"/>
      <c r="BIT554" s="178"/>
      <c r="BIU554" s="178"/>
      <c r="BIV554" s="178"/>
      <c r="BIW554" s="178"/>
      <c r="BIX554" s="178"/>
      <c r="BIY554" s="178"/>
      <c r="BIZ554" s="178"/>
      <c r="BJA554" s="178"/>
      <c r="BJB554" s="178"/>
      <c r="BJC554" s="178"/>
      <c r="BJD554" s="178"/>
      <c r="BJE554" s="178"/>
      <c r="BJF554" s="178"/>
      <c r="BJG554" s="178"/>
      <c r="BJH554" s="178"/>
      <c r="BJI554" s="178"/>
      <c r="BJJ554" s="178"/>
      <c r="BJK554" s="178"/>
      <c r="BJL554" s="178"/>
      <c r="BJM554" s="178"/>
      <c r="BJN554" s="178"/>
      <c r="BJO554" s="178"/>
      <c r="BJP554" s="178"/>
      <c r="BJQ554" s="178"/>
      <c r="BJR554" s="178"/>
      <c r="BJS554" s="178"/>
      <c r="BJT554" s="178"/>
      <c r="BJU554" s="178"/>
      <c r="BJV554" s="178"/>
      <c r="BJW554" s="178"/>
      <c r="BJX554" s="178"/>
      <c r="BJY554" s="178"/>
      <c r="BJZ554" s="178"/>
      <c r="BKA554" s="178"/>
      <c r="BKB554" s="178"/>
      <c r="BKC554" s="178"/>
      <c r="BKD554" s="178"/>
      <c r="BKE554" s="178"/>
      <c r="BKF554" s="178"/>
      <c r="BKG554" s="178"/>
      <c r="BKH554" s="178"/>
      <c r="BKI554" s="178"/>
      <c r="BKJ554" s="178"/>
      <c r="BKK554" s="178"/>
      <c r="BKL554" s="178"/>
      <c r="BKM554" s="178"/>
      <c r="BKN554" s="178"/>
      <c r="BKO554" s="178"/>
      <c r="BKP554" s="178"/>
      <c r="BKQ554" s="178"/>
      <c r="BKR554" s="178"/>
      <c r="BKS554" s="178"/>
      <c r="BKT554" s="178"/>
      <c r="BKU554" s="178"/>
      <c r="BKV554" s="178"/>
      <c r="BKW554" s="178"/>
      <c r="BKX554" s="178"/>
      <c r="BKY554" s="178"/>
      <c r="BKZ554" s="178"/>
      <c r="BLA554" s="178"/>
      <c r="BLB554" s="178"/>
      <c r="BLC554" s="178"/>
      <c r="BLD554" s="178"/>
      <c r="BLE554" s="178"/>
      <c r="BLF554" s="178"/>
      <c r="BLG554" s="178"/>
      <c r="BLH554" s="178"/>
      <c r="BLI554" s="178"/>
      <c r="BLJ554" s="178"/>
      <c r="BLK554" s="178"/>
      <c r="BLL554" s="178"/>
      <c r="BLM554" s="178"/>
      <c r="BLN554" s="178"/>
      <c r="BLO554" s="178"/>
      <c r="BLP554" s="178"/>
      <c r="BLQ554" s="178"/>
      <c r="BLR554" s="178"/>
      <c r="BLS554" s="178"/>
      <c r="BLT554" s="178"/>
      <c r="BLU554" s="178"/>
      <c r="BLV554" s="178"/>
      <c r="BLW554" s="178"/>
      <c r="BLX554" s="178"/>
      <c r="BLY554" s="178"/>
      <c r="BLZ554" s="178"/>
      <c r="BMA554" s="178"/>
      <c r="BMB554" s="178"/>
      <c r="BMC554" s="178"/>
      <c r="BMD554" s="178"/>
      <c r="BME554" s="178"/>
      <c r="BMF554" s="178"/>
      <c r="BMG554" s="178"/>
      <c r="BMH554" s="178"/>
      <c r="BMI554" s="178"/>
      <c r="BMJ554" s="178"/>
      <c r="BMK554" s="178"/>
      <c r="BML554" s="178"/>
      <c r="BMM554" s="178"/>
      <c r="BMN554" s="178"/>
      <c r="BMO554" s="178"/>
      <c r="BMP554" s="178"/>
      <c r="BMQ554" s="178"/>
      <c r="BMR554" s="178"/>
      <c r="BMS554" s="178"/>
      <c r="BMT554" s="178"/>
      <c r="BMU554" s="178"/>
      <c r="BMV554" s="178"/>
      <c r="BMW554" s="178"/>
      <c r="BMX554" s="178"/>
      <c r="BMY554" s="178"/>
      <c r="BMZ554" s="178"/>
      <c r="BNA554" s="178"/>
      <c r="BNB554" s="178"/>
      <c r="BNC554" s="178"/>
      <c r="BND554" s="178"/>
      <c r="BNE554" s="178"/>
      <c r="BNF554" s="178"/>
      <c r="BNG554" s="178"/>
      <c r="BNH554" s="178"/>
      <c r="BNI554" s="178"/>
      <c r="BNJ554" s="178"/>
      <c r="BNK554" s="178"/>
      <c r="BNL554" s="178"/>
      <c r="BNM554" s="178"/>
      <c r="BNN554" s="178"/>
      <c r="BNO554" s="178"/>
      <c r="BNP554" s="178"/>
      <c r="BNQ554" s="178"/>
      <c r="BNR554" s="178"/>
      <c r="BNS554" s="178"/>
      <c r="BNT554" s="178"/>
      <c r="BNU554" s="178"/>
      <c r="BNV554" s="178"/>
      <c r="BNW554" s="178"/>
      <c r="BNX554" s="178"/>
      <c r="BNY554" s="178"/>
      <c r="BNZ554" s="178"/>
      <c r="BOA554" s="178"/>
      <c r="BOB554" s="178"/>
      <c r="BOC554" s="178"/>
      <c r="BOD554" s="178"/>
      <c r="BOE554" s="178"/>
      <c r="BOF554" s="178"/>
      <c r="BOG554" s="178"/>
      <c r="BOH554" s="178"/>
      <c r="BOI554" s="178"/>
      <c r="BOJ554" s="178"/>
      <c r="BOK554" s="178"/>
      <c r="BOL554" s="178"/>
      <c r="BOM554" s="178"/>
      <c r="BON554" s="178"/>
      <c r="BOO554" s="178"/>
      <c r="BOP554" s="178"/>
      <c r="BOQ554" s="178"/>
      <c r="BOR554" s="178"/>
      <c r="BOS554" s="178"/>
      <c r="BOT554" s="178"/>
      <c r="BOU554" s="178"/>
      <c r="BOV554" s="178"/>
      <c r="BOW554" s="178"/>
      <c r="BOX554" s="178"/>
      <c r="BOY554" s="178"/>
      <c r="BOZ554" s="178"/>
      <c r="BPA554" s="178"/>
      <c r="BPB554" s="178"/>
      <c r="BPC554" s="178"/>
      <c r="BPD554" s="178"/>
      <c r="BPE554" s="178"/>
      <c r="BPF554" s="178"/>
      <c r="BPG554" s="178"/>
      <c r="BPH554" s="178"/>
      <c r="BPI554" s="178"/>
      <c r="BPJ554" s="178"/>
      <c r="BPK554" s="178"/>
      <c r="BPL554" s="178"/>
      <c r="BPM554" s="178"/>
      <c r="BPN554" s="178"/>
      <c r="BPO554" s="178"/>
      <c r="BPP554" s="178"/>
      <c r="BPQ554" s="178"/>
      <c r="BPR554" s="178"/>
      <c r="BPS554" s="178"/>
      <c r="BPT554" s="178"/>
      <c r="BPU554" s="178"/>
      <c r="BPV554" s="178"/>
      <c r="BPW554" s="178"/>
      <c r="BPX554" s="178"/>
      <c r="BPY554" s="178"/>
      <c r="BPZ554" s="178"/>
      <c r="BQA554" s="178"/>
      <c r="BQB554" s="178"/>
      <c r="BQC554" s="178"/>
      <c r="BQD554" s="178"/>
      <c r="BQE554" s="178"/>
      <c r="BQF554" s="178"/>
      <c r="BQG554" s="178"/>
      <c r="BQH554" s="178"/>
      <c r="BQI554" s="178"/>
      <c r="BQJ554" s="178"/>
      <c r="BQK554" s="178"/>
      <c r="BQL554" s="178"/>
      <c r="BQM554" s="178"/>
      <c r="BQN554" s="178"/>
      <c r="BQO554" s="178"/>
      <c r="BQP554" s="178"/>
      <c r="BQQ554" s="178"/>
      <c r="BQR554" s="178"/>
      <c r="BQS554" s="178"/>
      <c r="BQT554" s="178"/>
      <c r="BQU554" s="178"/>
      <c r="BQV554" s="178"/>
      <c r="BQW554" s="178"/>
      <c r="BQX554" s="178"/>
      <c r="BQY554" s="178"/>
      <c r="BQZ554" s="178"/>
      <c r="BRA554" s="178"/>
      <c r="BRB554" s="178"/>
      <c r="BRC554" s="178"/>
      <c r="BRD554" s="178"/>
      <c r="BRE554" s="178"/>
      <c r="BRF554" s="178"/>
      <c r="BRG554" s="178"/>
      <c r="BRH554" s="178"/>
      <c r="BRI554" s="178"/>
      <c r="BRJ554" s="178"/>
      <c r="BRK554" s="178"/>
      <c r="BRL554" s="178"/>
      <c r="BRM554" s="178"/>
      <c r="BRN554" s="178"/>
      <c r="BRO554" s="178"/>
      <c r="BRP554" s="178"/>
      <c r="BRQ554" s="178"/>
      <c r="BRR554" s="178"/>
      <c r="BRS554" s="178"/>
      <c r="BRT554" s="178"/>
      <c r="BRU554" s="178"/>
      <c r="BRV554" s="178"/>
      <c r="BRW554" s="178"/>
      <c r="BRX554" s="178"/>
      <c r="BRY554" s="178"/>
      <c r="BRZ554" s="178"/>
      <c r="BSA554" s="178"/>
      <c r="BSB554" s="178"/>
      <c r="BSC554" s="178"/>
      <c r="BSD554" s="178"/>
      <c r="BSE554" s="178"/>
      <c r="BSF554" s="178"/>
      <c r="BSG554" s="178"/>
      <c r="BSH554" s="178"/>
      <c r="BSI554" s="178"/>
      <c r="BSJ554" s="178"/>
      <c r="BSK554" s="178"/>
      <c r="BSL554" s="178"/>
      <c r="BSM554" s="178"/>
      <c r="BSN554" s="178"/>
      <c r="BSO554" s="178"/>
      <c r="BSP554" s="178"/>
      <c r="BSQ554" s="178"/>
      <c r="BSR554" s="178"/>
      <c r="BSS554" s="178"/>
      <c r="BST554" s="178"/>
      <c r="BSU554" s="178"/>
      <c r="BSV554" s="178"/>
      <c r="BSW554" s="178"/>
      <c r="BSX554" s="178"/>
      <c r="BSY554" s="178"/>
      <c r="BSZ554" s="178"/>
      <c r="BTA554" s="178"/>
      <c r="BTB554" s="178"/>
      <c r="BTC554" s="178"/>
      <c r="BTD554" s="178"/>
      <c r="BTE554" s="178"/>
      <c r="BTF554" s="178"/>
      <c r="BTG554" s="178"/>
      <c r="BTH554" s="178"/>
      <c r="BTI554" s="178"/>
      <c r="BTJ554" s="178"/>
      <c r="BTK554" s="178"/>
      <c r="BTL554" s="178"/>
      <c r="BTM554" s="178"/>
      <c r="BTN554" s="178"/>
      <c r="BTO554" s="178"/>
      <c r="BTP554" s="178"/>
      <c r="BTQ554" s="178"/>
      <c r="BTR554" s="178"/>
      <c r="BTS554" s="178"/>
      <c r="BTT554" s="178"/>
      <c r="BTU554" s="178"/>
      <c r="BTV554" s="178"/>
      <c r="BTW554" s="178"/>
      <c r="BTX554" s="178"/>
      <c r="BTY554" s="178"/>
      <c r="BTZ554" s="178"/>
      <c r="BUA554" s="178"/>
      <c r="BUB554" s="178"/>
      <c r="BUC554" s="178"/>
      <c r="BUD554" s="178"/>
      <c r="BUE554" s="178"/>
      <c r="BUF554" s="178"/>
      <c r="BUG554" s="178"/>
      <c r="BUH554" s="178"/>
      <c r="BUI554" s="178"/>
      <c r="BUJ554" s="178"/>
      <c r="BUK554" s="178"/>
      <c r="BUL554" s="178"/>
      <c r="BUM554" s="178"/>
      <c r="BUN554" s="178"/>
      <c r="BUO554" s="178"/>
      <c r="BUP554" s="178"/>
      <c r="BUQ554" s="178"/>
      <c r="BUR554" s="178"/>
      <c r="BUS554" s="178"/>
      <c r="BUT554" s="178"/>
      <c r="BUU554" s="178"/>
      <c r="BUV554" s="178"/>
      <c r="BUW554" s="178"/>
      <c r="BUX554" s="178"/>
      <c r="BUY554" s="178"/>
      <c r="BUZ554" s="178"/>
      <c r="BVA554" s="178"/>
      <c r="BVB554" s="178"/>
      <c r="BVC554" s="178"/>
      <c r="BVD554" s="178"/>
      <c r="BVE554" s="178"/>
      <c r="BVF554" s="178"/>
      <c r="BVG554" s="178"/>
      <c r="BVH554" s="178"/>
      <c r="BVI554" s="178"/>
      <c r="BVJ554" s="178"/>
      <c r="BVK554" s="178"/>
      <c r="BVL554" s="178"/>
      <c r="BVM554" s="178"/>
      <c r="BVN554" s="178"/>
      <c r="BVO554" s="178"/>
      <c r="BVP554" s="178"/>
      <c r="BVQ554" s="178"/>
      <c r="BVR554" s="178"/>
      <c r="BVS554" s="178"/>
      <c r="BVT554" s="178"/>
      <c r="BVU554" s="178"/>
      <c r="BVV554" s="178"/>
      <c r="BVW554" s="178"/>
      <c r="BVX554" s="178"/>
      <c r="BVY554" s="178"/>
      <c r="BVZ554" s="178"/>
      <c r="BWA554" s="178"/>
      <c r="BWB554" s="178"/>
      <c r="BWC554" s="178"/>
      <c r="BWD554" s="178"/>
      <c r="BWE554" s="178"/>
      <c r="BWF554" s="178"/>
      <c r="BWG554" s="178"/>
      <c r="BWH554" s="178"/>
      <c r="BWI554" s="178"/>
      <c r="BWJ554" s="178"/>
      <c r="BWK554" s="178"/>
      <c r="BWL554" s="178"/>
      <c r="BWM554" s="178"/>
      <c r="BWN554" s="178"/>
      <c r="BWO554" s="178"/>
      <c r="BWP554" s="178"/>
      <c r="BWQ554" s="178"/>
      <c r="BWR554" s="178"/>
      <c r="BWS554" s="178"/>
      <c r="BWT554" s="178"/>
      <c r="BWU554" s="178"/>
      <c r="BWV554" s="178"/>
      <c r="BWW554" s="178"/>
      <c r="BWX554" s="178"/>
      <c r="BWY554" s="178"/>
      <c r="BWZ554" s="178"/>
      <c r="BXA554" s="178"/>
      <c r="BXB554" s="178"/>
      <c r="BXC554" s="178"/>
      <c r="BXD554" s="178"/>
      <c r="BXE554" s="178"/>
      <c r="BXF554" s="178"/>
      <c r="BXG554" s="178"/>
      <c r="BXH554" s="178"/>
      <c r="BXI554" s="178"/>
      <c r="BXJ554" s="178"/>
      <c r="BXK554" s="178"/>
      <c r="BXL554" s="178"/>
      <c r="BXM554" s="178"/>
      <c r="BXN554" s="178"/>
      <c r="BXO554" s="178"/>
      <c r="BXP554" s="178"/>
      <c r="BXQ554" s="178"/>
      <c r="BXR554" s="178"/>
      <c r="BXS554" s="178"/>
      <c r="BXT554" s="178"/>
      <c r="BXU554" s="178"/>
      <c r="BXV554" s="178"/>
      <c r="BXW554" s="178"/>
      <c r="BXX554" s="178"/>
      <c r="BXY554" s="178"/>
      <c r="BXZ554" s="178"/>
      <c r="BYA554" s="178"/>
      <c r="BYB554" s="178"/>
      <c r="BYC554" s="178"/>
      <c r="BYD554" s="178"/>
      <c r="BYE554" s="178"/>
      <c r="BYF554" s="178"/>
      <c r="BYG554" s="178"/>
      <c r="BYH554" s="178"/>
      <c r="BYI554" s="178"/>
      <c r="BYJ554" s="178"/>
      <c r="BYK554" s="178"/>
      <c r="BYL554" s="178"/>
      <c r="BYM554" s="178"/>
      <c r="BYN554" s="178"/>
      <c r="BYO554" s="178"/>
      <c r="BYP554" s="178"/>
      <c r="BYQ554" s="178"/>
      <c r="BYR554" s="178"/>
      <c r="BYS554" s="178"/>
      <c r="BYT554" s="178"/>
      <c r="BYU554" s="178"/>
      <c r="BYV554" s="178"/>
      <c r="BYW554" s="178"/>
      <c r="BYX554" s="178"/>
      <c r="BYY554" s="178"/>
      <c r="BYZ554" s="178"/>
      <c r="BZA554" s="178"/>
      <c r="BZB554" s="178"/>
      <c r="BZC554" s="178"/>
      <c r="BZD554" s="178"/>
      <c r="BZE554" s="178"/>
      <c r="BZF554" s="178"/>
      <c r="BZG554" s="178"/>
      <c r="BZH554" s="178"/>
      <c r="BZI554" s="178"/>
      <c r="BZJ554" s="178"/>
      <c r="BZK554" s="178"/>
      <c r="BZL554" s="178"/>
      <c r="BZM554" s="178"/>
      <c r="BZN554" s="178"/>
      <c r="BZO554" s="178"/>
      <c r="BZP554" s="178"/>
      <c r="BZQ554" s="178"/>
      <c r="BZR554" s="178"/>
      <c r="BZS554" s="178"/>
      <c r="BZT554" s="178"/>
      <c r="BZU554" s="178"/>
      <c r="BZV554" s="178"/>
      <c r="BZW554" s="178"/>
      <c r="BZX554" s="178"/>
      <c r="BZY554" s="178"/>
      <c r="BZZ554" s="178"/>
      <c r="CAA554" s="178"/>
      <c r="CAB554" s="178"/>
      <c r="CAC554" s="178"/>
      <c r="CAD554" s="178"/>
      <c r="CAE554" s="178"/>
      <c r="CAF554" s="178"/>
      <c r="CAG554" s="178"/>
      <c r="CAH554" s="178"/>
      <c r="CAI554" s="178"/>
      <c r="CAJ554" s="178"/>
      <c r="CAK554" s="178"/>
      <c r="CAL554" s="178"/>
      <c r="CAM554" s="178"/>
      <c r="CAN554" s="178"/>
      <c r="CAO554" s="178"/>
      <c r="CAP554" s="178"/>
      <c r="CAQ554" s="178"/>
      <c r="CAR554" s="178"/>
      <c r="CAS554" s="178"/>
      <c r="CAT554" s="178"/>
      <c r="CAU554" s="178"/>
      <c r="CAV554" s="178"/>
      <c r="CAW554" s="178"/>
      <c r="CAX554" s="178"/>
      <c r="CAY554" s="178"/>
      <c r="CAZ554" s="178"/>
      <c r="CBA554" s="178"/>
      <c r="CBB554" s="178"/>
      <c r="CBC554" s="178"/>
      <c r="CBD554" s="178"/>
      <c r="CBE554" s="178"/>
      <c r="CBF554" s="178"/>
      <c r="CBG554" s="178"/>
      <c r="CBH554" s="178"/>
      <c r="CBI554" s="178"/>
      <c r="CBJ554" s="178"/>
      <c r="CBK554" s="178"/>
      <c r="CBL554" s="178"/>
      <c r="CBM554" s="178"/>
      <c r="CBN554" s="178"/>
      <c r="CBO554" s="178"/>
      <c r="CBP554" s="178"/>
      <c r="CBQ554" s="178"/>
      <c r="CBR554" s="178"/>
      <c r="CBS554" s="178"/>
      <c r="CBT554" s="178"/>
      <c r="CBU554" s="178"/>
      <c r="CBV554" s="178"/>
      <c r="CBW554" s="178"/>
      <c r="CBX554" s="178"/>
      <c r="CBY554" s="178"/>
      <c r="CBZ554" s="178"/>
      <c r="CCA554" s="178"/>
      <c r="CCB554" s="178"/>
      <c r="CCC554" s="178"/>
      <c r="CCD554" s="178"/>
      <c r="CCE554" s="178"/>
      <c r="CCF554" s="178"/>
      <c r="CCG554" s="178"/>
      <c r="CCH554" s="178"/>
      <c r="CCI554" s="178"/>
      <c r="CCJ554" s="178"/>
      <c r="CCK554" s="178"/>
      <c r="CCL554" s="178"/>
      <c r="CCM554" s="178"/>
      <c r="CCN554" s="178"/>
      <c r="CCO554" s="178"/>
      <c r="CCP554" s="178"/>
      <c r="CCQ554" s="178"/>
      <c r="CCR554" s="178"/>
      <c r="CCS554" s="178"/>
      <c r="CCT554" s="178"/>
      <c r="CCU554" s="178"/>
      <c r="CCV554" s="178"/>
      <c r="CCW554" s="178"/>
      <c r="CCX554" s="178"/>
      <c r="CCY554" s="178"/>
      <c r="CCZ554" s="178"/>
      <c r="CDA554" s="178"/>
      <c r="CDB554" s="178"/>
      <c r="CDC554" s="178"/>
      <c r="CDD554" s="178"/>
      <c r="CDE554" s="178"/>
      <c r="CDF554" s="178"/>
      <c r="CDG554" s="178"/>
      <c r="CDH554" s="178"/>
      <c r="CDI554" s="178"/>
      <c r="CDJ554" s="178"/>
      <c r="CDK554" s="178"/>
      <c r="CDL554" s="178"/>
      <c r="CDM554" s="178"/>
      <c r="CDN554" s="178"/>
      <c r="CDO554" s="178"/>
      <c r="CDP554" s="178"/>
      <c r="CDQ554" s="178"/>
      <c r="CDR554" s="178"/>
      <c r="CDS554" s="178"/>
      <c r="CDT554" s="178"/>
      <c r="CDU554" s="178"/>
      <c r="CDV554" s="178"/>
      <c r="CDW554" s="178"/>
      <c r="CDX554" s="178"/>
      <c r="CDY554" s="178"/>
      <c r="CDZ554" s="178"/>
      <c r="CEA554" s="178"/>
      <c r="CEB554" s="178"/>
      <c r="CEC554" s="178"/>
      <c r="CED554" s="178"/>
      <c r="CEE554" s="178"/>
      <c r="CEF554" s="178"/>
      <c r="CEG554" s="178"/>
      <c r="CEH554" s="178"/>
      <c r="CEI554" s="178"/>
      <c r="CEJ554" s="178"/>
      <c r="CEK554" s="178"/>
      <c r="CEL554" s="178"/>
      <c r="CEM554" s="178"/>
      <c r="CEN554" s="178"/>
      <c r="CEO554" s="178"/>
      <c r="CEP554" s="178"/>
      <c r="CEQ554" s="178"/>
      <c r="CER554" s="178"/>
      <c r="CES554" s="178"/>
      <c r="CET554" s="178"/>
      <c r="CEU554" s="178"/>
      <c r="CEV554" s="178"/>
      <c r="CEW554" s="178"/>
      <c r="CEX554" s="178"/>
      <c r="CEY554" s="178"/>
      <c r="CEZ554" s="178"/>
      <c r="CFA554" s="178"/>
      <c r="CFB554" s="178"/>
      <c r="CFC554" s="178"/>
      <c r="CFD554" s="178"/>
      <c r="CFE554" s="178"/>
      <c r="CFF554" s="178"/>
      <c r="CFG554" s="178"/>
      <c r="CFH554" s="178"/>
      <c r="CFI554" s="178"/>
      <c r="CFJ554" s="178"/>
      <c r="CFK554" s="178"/>
      <c r="CFL554" s="178"/>
      <c r="CFM554" s="178"/>
      <c r="CFN554" s="178"/>
      <c r="CFO554" s="178"/>
      <c r="CFP554" s="178"/>
      <c r="CFQ554" s="178"/>
      <c r="CFR554" s="178"/>
      <c r="CFS554" s="178"/>
      <c r="CFT554" s="178"/>
      <c r="CFU554" s="178"/>
      <c r="CFV554" s="178"/>
      <c r="CFW554" s="178"/>
      <c r="CFX554" s="178"/>
      <c r="CFY554" s="178"/>
      <c r="CFZ554" s="178"/>
      <c r="CGA554" s="178"/>
      <c r="CGB554" s="178"/>
      <c r="CGC554" s="178"/>
      <c r="CGD554" s="178"/>
      <c r="CGE554" s="178"/>
      <c r="CGF554" s="178"/>
      <c r="CGG554" s="178"/>
      <c r="CGH554" s="178"/>
      <c r="CGI554" s="178"/>
      <c r="CGJ554" s="178"/>
      <c r="CGK554" s="178"/>
      <c r="CGL554" s="178"/>
      <c r="CGM554" s="178"/>
      <c r="CGN554" s="178"/>
      <c r="CGO554" s="178"/>
      <c r="CGP554" s="178"/>
      <c r="CGQ554" s="178"/>
      <c r="CGR554" s="178"/>
      <c r="CGS554" s="178"/>
      <c r="CGT554" s="178"/>
      <c r="CGU554" s="178"/>
      <c r="CGV554" s="178"/>
      <c r="CGW554" s="178"/>
      <c r="CGX554" s="178"/>
      <c r="CGY554" s="178"/>
      <c r="CGZ554" s="178"/>
      <c r="CHA554" s="178"/>
      <c r="CHB554" s="178"/>
      <c r="CHC554" s="178"/>
      <c r="CHD554" s="178"/>
      <c r="CHE554" s="178"/>
      <c r="CHF554" s="178"/>
      <c r="CHG554" s="178"/>
      <c r="CHH554" s="178"/>
      <c r="CHI554" s="178"/>
      <c r="CHJ554" s="178"/>
      <c r="CHK554" s="178"/>
      <c r="CHL554" s="178"/>
      <c r="CHM554" s="178"/>
      <c r="CHN554" s="178"/>
      <c r="CHO554" s="178"/>
      <c r="CHP554" s="178"/>
      <c r="CHQ554" s="178"/>
      <c r="CHR554" s="178"/>
      <c r="CHS554" s="178"/>
      <c r="CHT554" s="178"/>
      <c r="CHU554" s="178"/>
      <c r="CHV554" s="178"/>
      <c r="CHW554" s="178"/>
      <c r="CHX554" s="178"/>
      <c r="CHY554" s="178"/>
      <c r="CHZ554" s="178"/>
      <c r="CIA554" s="178"/>
      <c r="CIB554" s="178"/>
      <c r="CIC554" s="178"/>
      <c r="CID554" s="178"/>
      <c r="CIE554" s="178"/>
      <c r="CIF554" s="178"/>
      <c r="CIG554" s="178"/>
      <c r="CIH554" s="178"/>
      <c r="CII554" s="178"/>
      <c r="CIJ554" s="178"/>
      <c r="CIK554" s="178"/>
      <c r="CIL554" s="178"/>
      <c r="CIM554" s="178"/>
      <c r="CIN554" s="178"/>
      <c r="CIO554" s="178"/>
      <c r="CIP554" s="178"/>
      <c r="CIQ554" s="178"/>
      <c r="CIR554" s="178"/>
      <c r="CIS554" s="178"/>
      <c r="CIT554" s="178"/>
      <c r="CIU554" s="178"/>
      <c r="CIV554" s="178"/>
      <c r="CIW554" s="178"/>
      <c r="CIX554" s="178"/>
      <c r="CIY554" s="178"/>
      <c r="CIZ554" s="178"/>
      <c r="CJA554" s="178"/>
      <c r="CJB554" s="178"/>
      <c r="CJC554" s="178"/>
      <c r="CJD554" s="178"/>
      <c r="CJE554" s="178"/>
      <c r="CJF554" s="178"/>
      <c r="CJG554" s="178"/>
      <c r="CJH554" s="178"/>
      <c r="CJI554" s="178"/>
      <c r="CJJ554" s="178"/>
      <c r="CJK554" s="178"/>
      <c r="CJL554" s="178"/>
      <c r="CJM554" s="178"/>
      <c r="CJN554" s="178"/>
      <c r="CJO554" s="178"/>
      <c r="CJP554" s="178"/>
      <c r="CJQ554" s="178"/>
      <c r="CJR554" s="178"/>
      <c r="CJS554" s="178"/>
      <c r="CJT554" s="178"/>
      <c r="CJU554" s="178"/>
      <c r="CJV554" s="178"/>
      <c r="CJW554" s="178"/>
      <c r="CJX554" s="178"/>
      <c r="CJY554" s="178"/>
      <c r="CJZ554" s="178"/>
      <c r="CKA554" s="178"/>
      <c r="CKB554" s="178"/>
      <c r="CKC554" s="178"/>
      <c r="CKD554" s="178"/>
      <c r="CKE554" s="178"/>
      <c r="CKF554" s="178"/>
      <c r="CKG554" s="178"/>
      <c r="CKH554" s="178"/>
      <c r="CKI554" s="178"/>
      <c r="CKJ554" s="178"/>
      <c r="CKK554" s="178"/>
      <c r="CKL554" s="178"/>
      <c r="CKM554" s="178"/>
      <c r="CKN554" s="178"/>
      <c r="CKO554" s="178"/>
      <c r="CKP554" s="178"/>
      <c r="CKQ554" s="178"/>
      <c r="CKR554" s="178"/>
      <c r="CKS554" s="178"/>
      <c r="CKT554" s="178"/>
      <c r="CKU554" s="178"/>
      <c r="CKV554" s="178"/>
      <c r="CKW554" s="178"/>
      <c r="CKX554" s="178"/>
      <c r="CKY554" s="178"/>
      <c r="CKZ554" s="178"/>
      <c r="CLA554" s="178"/>
      <c r="CLB554" s="178"/>
      <c r="CLC554" s="178"/>
      <c r="CLD554" s="178"/>
      <c r="CLE554" s="178"/>
      <c r="CLF554" s="178"/>
      <c r="CLG554" s="178"/>
      <c r="CLH554" s="178"/>
      <c r="CLI554" s="178"/>
      <c r="CLJ554" s="178"/>
      <c r="CLK554" s="178"/>
      <c r="CLL554" s="178"/>
      <c r="CLM554" s="178"/>
      <c r="CLN554" s="178"/>
      <c r="CLO554" s="178"/>
      <c r="CLP554" s="178"/>
      <c r="CLQ554" s="178"/>
      <c r="CLR554" s="178"/>
      <c r="CLS554" s="178"/>
      <c r="CLT554" s="178"/>
      <c r="CLU554" s="178"/>
      <c r="CLV554" s="178"/>
      <c r="CLW554" s="178"/>
      <c r="CLX554" s="178"/>
      <c r="CLY554" s="178"/>
      <c r="CLZ554" s="178"/>
      <c r="CMA554" s="178"/>
      <c r="CMB554" s="178"/>
      <c r="CMC554" s="178"/>
      <c r="CMD554" s="178"/>
      <c r="CME554" s="178"/>
      <c r="CMF554" s="178"/>
      <c r="CMG554" s="178"/>
      <c r="CMH554" s="178"/>
      <c r="CMI554" s="178"/>
      <c r="CMJ554" s="178"/>
      <c r="CMK554" s="178"/>
      <c r="CML554" s="178"/>
      <c r="CMM554" s="178"/>
      <c r="CMN554" s="178"/>
      <c r="CMO554" s="178"/>
      <c r="CMP554" s="178"/>
      <c r="CMQ554" s="178"/>
      <c r="CMR554" s="178"/>
      <c r="CMS554" s="178"/>
      <c r="CMT554" s="178"/>
      <c r="CMU554" s="178"/>
      <c r="CMV554" s="178"/>
      <c r="CMW554" s="178"/>
      <c r="CMX554" s="178"/>
      <c r="CMY554" s="178"/>
      <c r="CMZ554" s="178"/>
      <c r="CNA554" s="178"/>
      <c r="CNB554" s="178"/>
      <c r="CNC554" s="178"/>
      <c r="CND554" s="178"/>
      <c r="CNE554" s="178"/>
      <c r="CNF554" s="178"/>
      <c r="CNG554" s="178"/>
      <c r="CNH554" s="178"/>
      <c r="CNI554" s="178"/>
      <c r="CNJ554" s="178"/>
      <c r="CNK554" s="178"/>
      <c r="CNL554" s="178"/>
      <c r="CNM554" s="178"/>
      <c r="CNN554" s="178"/>
      <c r="CNO554" s="178"/>
      <c r="CNP554" s="178"/>
      <c r="CNQ554" s="178"/>
      <c r="CNR554" s="178"/>
      <c r="CNS554" s="178"/>
      <c r="CNT554" s="178"/>
      <c r="CNU554" s="178"/>
      <c r="CNV554" s="178"/>
      <c r="CNW554" s="178"/>
      <c r="CNX554" s="178"/>
      <c r="CNY554" s="178"/>
      <c r="CNZ554" s="178"/>
      <c r="COA554" s="178"/>
      <c r="COB554" s="178"/>
      <c r="COC554" s="178"/>
      <c r="COD554" s="178"/>
      <c r="COE554" s="178"/>
      <c r="COF554" s="178"/>
      <c r="COG554" s="178"/>
      <c r="COH554" s="178"/>
      <c r="COI554" s="178"/>
      <c r="COJ554" s="178"/>
      <c r="COK554" s="178"/>
      <c r="COL554" s="178"/>
      <c r="COM554" s="178"/>
      <c r="CON554" s="178"/>
      <c r="COO554" s="178"/>
      <c r="COP554" s="178"/>
      <c r="COQ554" s="178"/>
      <c r="COR554" s="178"/>
      <c r="COS554" s="178"/>
      <c r="COT554" s="178"/>
      <c r="COU554" s="178"/>
      <c r="COV554" s="178"/>
      <c r="COW554" s="178"/>
      <c r="COX554" s="178"/>
      <c r="COY554" s="178"/>
      <c r="COZ554" s="178"/>
      <c r="CPA554" s="178"/>
      <c r="CPB554" s="178"/>
      <c r="CPC554" s="178"/>
      <c r="CPD554" s="178"/>
      <c r="CPE554" s="178"/>
      <c r="CPF554" s="178"/>
      <c r="CPG554" s="178"/>
      <c r="CPH554" s="178"/>
      <c r="CPI554" s="178"/>
      <c r="CPJ554" s="178"/>
      <c r="CPK554" s="178"/>
      <c r="CPL554" s="178"/>
      <c r="CPM554" s="178"/>
      <c r="CPN554" s="178"/>
      <c r="CPO554" s="178"/>
      <c r="CPP554" s="178"/>
      <c r="CPQ554" s="178"/>
      <c r="CPR554" s="178"/>
      <c r="CPS554" s="178"/>
      <c r="CPT554" s="178"/>
      <c r="CPU554" s="178"/>
      <c r="CPV554" s="178"/>
      <c r="CPW554" s="178"/>
      <c r="CPX554" s="178"/>
      <c r="CPY554" s="178"/>
      <c r="CPZ554" s="178"/>
      <c r="CQA554" s="178"/>
      <c r="CQB554" s="178"/>
      <c r="CQC554" s="178"/>
      <c r="CQD554" s="178"/>
      <c r="CQE554" s="178"/>
      <c r="CQF554" s="178"/>
      <c r="CQG554" s="178"/>
      <c r="CQH554" s="178"/>
      <c r="CQI554" s="178"/>
      <c r="CQJ554" s="178"/>
      <c r="CQK554" s="178"/>
      <c r="CQL554" s="178"/>
      <c r="CQM554" s="178"/>
      <c r="CQN554" s="178"/>
      <c r="CQO554" s="178"/>
      <c r="CQP554" s="178"/>
      <c r="CQQ554" s="178"/>
      <c r="CQR554" s="178"/>
      <c r="CQS554" s="178"/>
      <c r="CQT554" s="178"/>
      <c r="CQU554" s="178"/>
      <c r="CQV554" s="178"/>
      <c r="CQW554" s="178"/>
      <c r="CQX554" s="178"/>
      <c r="CQY554" s="178"/>
      <c r="CQZ554" s="178"/>
      <c r="CRA554" s="178"/>
      <c r="CRB554" s="178"/>
      <c r="CRC554" s="178"/>
      <c r="CRD554" s="178"/>
      <c r="CRE554" s="178"/>
      <c r="CRF554" s="178"/>
      <c r="CRG554" s="178"/>
      <c r="CRH554" s="178"/>
      <c r="CRI554" s="178"/>
      <c r="CRJ554" s="178"/>
      <c r="CRK554" s="178"/>
      <c r="CRL554" s="178"/>
      <c r="CRM554" s="178"/>
      <c r="CRN554" s="178"/>
      <c r="CRO554" s="178"/>
      <c r="CRP554" s="178"/>
      <c r="CRQ554" s="178"/>
      <c r="CRR554" s="178"/>
      <c r="CRS554" s="178"/>
      <c r="CRT554" s="178"/>
      <c r="CRU554" s="178"/>
      <c r="CRV554" s="178"/>
      <c r="CRW554" s="178"/>
      <c r="CRX554" s="178"/>
      <c r="CRY554" s="178"/>
      <c r="CRZ554" s="178"/>
      <c r="CSA554" s="178"/>
      <c r="CSB554" s="178"/>
      <c r="CSC554" s="178"/>
      <c r="CSD554" s="178"/>
      <c r="CSE554" s="178"/>
      <c r="CSF554" s="178"/>
      <c r="CSG554" s="178"/>
      <c r="CSH554" s="178"/>
      <c r="CSI554" s="178"/>
      <c r="CSJ554" s="178"/>
      <c r="CSK554" s="178"/>
      <c r="CSL554" s="178"/>
      <c r="CSM554" s="178"/>
      <c r="CSN554" s="178"/>
      <c r="CSO554" s="178"/>
      <c r="CSP554" s="178"/>
      <c r="CSQ554" s="178"/>
      <c r="CSR554" s="178"/>
      <c r="CSS554" s="178"/>
      <c r="CST554" s="178"/>
      <c r="CSU554" s="178"/>
      <c r="CSV554" s="178"/>
      <c r="CSW554" s="178"/>
      <c r="CSX554" s="178"/>
      <c r="CSY554" s="178"/>
      <c r="CSZ554" s="178"/>
      <c r="CTA554" s="178"/>
      <c r="CTB554" s="178"/>
      <c r="CTC554" s="178"/>
      <c r="CTD554" s="178"/>
      <c r="CTE554" s="178"/>
      <c r="CTF554" s="178"/>
      <c r="CTG554" s="178"/>
      <c r="CTH554" s="178"/>
      <c r="CTI554" s="178"/>
      <c r="CTJ554" s="178"/>
      <c r="CTK554" s="178"/>
      <c r="CTL554" s="178"/>
      <c r="CTM554" s="178"/>
      <c r="CTN554" s="178"/>
      <c r="CTO554" s="178"/>
      <c r="CTP554" s="178"/>
      <c r="CTQ554" s="178"/>
      <c r="CTR554" s="178"/>
      <c r="CTS554" s="178"/>
      <c r="CTT554" s="178"/>
      <c r="CTU554" s="178"/>
      <c r="CTV554" s="178"/>
      <c r="CTW554" s="178"/>
      <c r="CTX554" s="178"/>
      <c r="CTY554" s="178"/>
      <c r="CTZ554" s="178"/>
      <c r="CUA554" s="178"/>
      <c r="CUB554" s="178"/>
      <c r="CUC554" s="178"/>
      <c r="CUD554" s="178"/>
      <c r="CUE554" s="178"/>
      <c r="CUF554" s="178"/>
      <c r="CUG554" s="178"/>
      <c r="CUH554" s="178"/>
      <c r="CUI554" s="178"/>
      <c r="CUJ554" s="178"/>
      <c r="CUK554" s="178"/>
      <c r="CUL554" s="178"/>
      <c r="CUM554" s="178"/>
      <c r="CUN554" s="178"/>
      <c r="CUO554" s="178"/>
      <c r="CUP554" s="178"/>
      <c r="CUQ554" s="178"/>
      <c r="CUR554" s="178"/>
      <c r="CUS554" s="178"/>
      <c r="CUT554" s="178"/>
      <c r="CUU554" s="178"/>
      <c r="CUV554" s="178"/>
      <c r="CUW554" s="178"/>
      <c r="CUX554" s="178"/>
      <c r="CUY554" s="178"/>
      <c r="CUZ554" s="178"/>
      <c r="CVA554" s="178"/>
      <c r="CVB554" s="178"/>
      <c r="CVC554" s="178"/>
      <c r="CVD554" s="178"/>
      <c r="CVE554" s="178"/>
      <c r="CVF554" s="178"/>
      <c r="CVG554" s="178"/>
      <c r="CVH554" s="178"/>
      <c r="CVI554" s="178"/>
      <c r="CVJ554" s="178"/>
      <c r="CVK554" s="178"/>
      <c r="CVL554" s="178"/>
      <c r="CVM554" s="178"/>
      <c r="CVN554" s="178"/>
      <c r="CVO554" s="178"/>
      <c r="CVP554" s="178"/>
      <c r="CVQ554" s="178"/>
      <c r="CVR554" s="178"/>
      <c r="CVS554" s="178"/>
      <c r="CVT554" s="178"/>
      <c r="CVU554" s="178"/>
      <c r="CVV554" s="178"/>
      <c r="CVW554" s="178"/>
      <c r="CVX554" s="178"/>
      <c r="CVY554" s="178"/>
      <c r="CVZ554" s="178"/>
      <c r="CWA554" s="178"/>
      <c r="CWB554" s="178"/>
      <c r="CWC554" s="178"/>
      <c r="CWD554" s="178"/>
      <c r="CWE554" s="178"/>
      <c r="CWF554" s="178"/>
      <c r="CWG554" s="178"/>
      <c r="CWH554" s="178"/>
      <c r="CWI554" s="178"/>
      <c r="CWJ554" s="178"/>
      <c r="CWK554" s="178"/>
      <c r="CWL554" s="178"/>
      <c r="CWM554" s="178"/>
      <c r="CWN554" s="178"/>
      <c r="CWO554" s="178"/>
      <c r="CWP554" s="178"/>
      <c r="CWQ554" s="178"/>
      <c r="CWR554" s="178"/>
      <c r="CWS554" s="178"/>
      <c r="CWT554" s="178"/>
      <c r="CWU554" s="178"/>
      <c r="CWV554" s="178"/>
      <c r="CWW554" s="178"/>
      <c r="CWX554" s="178"/>
      <c r="CWY554" s="178"/>
      <c r="CWZ554" s="178"/>
      <c r="CXA554" s="178"/>
      <c r="CXB554" s="178"/>
      <c r="CXC554" s="178"/>
      <c r="CXD554" s="178"/>
      <c r="CXE554" s="178"/>
      <c r="CXF554" s="178"/>
      <c r="CXG554" s="178"/>
      <c r="CXH554" s="178"/>
      <c r="CXI554" s="178"/>
      <c r="CXJ554" s="178"/>
      <c r="CXK554" s="178"/>
      <c r="CXL554" s="178"/>
      <c r="CXM554" s="178"/>
      <c r="CXN554" s="178"/>
      <c r="CXO554" s="178"/>
      <c r="CXP554" s="178"/>
      <c r="CXQ554" s="178"/>
      <c r="CXR554" s="178"/>
      <c r="CXS554" s="178"/>
      <c r="CXT554" s="178"/>
      <c r="CXU554" s="178"/>
      <c r="CXV554" s="178"/>
      <c r="CXW554" s="178"/>
      <c r="CXX554" s="178"/>
      <c r="CXY554" s="178"/>
      <c r="CXZ554" s="178"/>
      <c r="CYA554" s="178"/>
      <c r="CYB554" s="178"/>
      <c r="CYC554" s="178"/>
      <c r="CYD554" s="178"/>
      <c r="CYE554" s="178"/>
      <c r="CYF554" s="178"/>
      <c r="CYG554" s="178"/>
      <c r="CYH554" s="178"/>
      <c r="CYI554" s="178"/>
      <c r="CYJ554" s="178"/>
      <c r="CYK554" s="178"/>
      <c r="CYL554" s="178"/>
      <c r="CYM554" s="178"/>
      <c r="CYN554" s="178"/>
      <c r="CYO554" s="178"/>
      <c r="CYP554" s="178"/>
      <c r="CYQ554" s="178"/>
      <c r="CYR554" s="178"/>
      <c r="CYS554" s="178"/>
      <c r="CYT554" s="178"/>
      <c r="CYU554" s="178"/>
      <c r="CYV554" s="178"/>
      <c r="CYW554" s="178"/>
      <c r="CYX554" s="178"/>
      <c r="CYY554" s="178"/>
      <c r="CYZ554" s="178"/>
      <c r="CZA554" s="178"/>
      <c r="CZB554" s="178"/>
      <c r="CZC554" s="178"/>
      <c r="CZD554" s="178"/>
      <c r="CZE554" s="178"/>
      <c r="CZF554" s="178"/>
      <c r="CZG554" s="178"/>
      <c r="CZH554" s="178"/>
      <c r="CZI554" s="178"/>
      <c r="CZJ554" s="178"/>
      <c r="CZK554" s="178"/>
      <c r="CZL554" s="178"/>
      <c r="CZM554" s="178"/>
      <c r="CZN554" s="178"/>
      <c r="CZO554" s="178"/>
      <c r="CZP554" s="178"/>
      <c r="CZQ554" s="178"/>
      <c r="CZR554" s="178"/>
      <c r="CZS554" s="178"/>
      <c r="CZT554" s="178"/>
      <c r="CZU554" s="178"/>
      <c r="CZV554" s="178"/>
      <c r="CZW554" s="178"/>
      <c r="CZX554" s="178"/>
      <c r="CZY554" s="178"/>
      <c r="CZZ554" s="178"/>
      <c r="DAA554" s="178"/>
      <c r="DAB554" s="178"/>
      <c r="DAC554" s="178"/>
      <c r="DAD554" s="178"/>
      <c r="DAE554" s="178"/>
      <c r="DAF554" s="178"/>
      <c r="DAG554" s="178"/>
      <c r="DAH554" s="178"/>
      <c r="DAI554" s="178"/>
      <c r="DAJ554" s="178"/>
      <c r="DAK554" s="178"/>
      <c r="DAL554" s="178"/>
      <c r="DAM554" s="178"/>
      <c r="DAN554" s="178"/>
      <c r="DAO554" s="178"/>
      <c r="DAP554" s="178"/>
      <c r="DAQ554" s="178"/>
      <c r="DAR554" s="178"/>
      <c r="DAS554" s="178"/>
      <c r="DAT554" s="178"/>
      <c r="DAU554" s="178"/>
      <c r="DAV554" s="178"/>
      <c r="DAW554" s="178"/>
      <c r="DAX554" s="178"/>
      <c r="DAY554" s="178"/>
      <c r="DAZ554" s="178"/>
      <c r="DBA554" s="178"/>
      <c r="DBB554" s="178"/>
      <c r="DBC554" s="178"/>
      <c r="DBD554" s="178"/>
      <c r="DBE554" s="178"/>
      <c r="DBF554" s="178"/>
      <c r="DBG554" s="178"/>
      <c r="DBH554" s="178"/>
      <c r="DBI554" s="178"/>
      <c r="DBJ554" s="178"/>
      <c r="DBK554" s="178"/>
      <c r="DBL554" s="178"/>
      <c r="DBM554" s="178"/>
      <c r="DBN554" s="178"/>
      <c r="DBO554" s="178"/>
      <c r="DBP554" s="178"/>
      <c r="DBQ554" s="178"/>
      <c r="DBR554" s="178"/>
      <c r="DBS554" s="178"/>
      <c r="DBT554" s="178"/>
      <c r="DBU554" s="178"/>
      <c r="DBV554" s="178"/>
      <c r="DBW554" s="178"/>
      <c r="DBX554" s="178"/>
      <c r="DBY554" s="178"/>
      <c r="DBZ554" s="178"/>
      <c r="DCA554" s="178"/>
      <c r="DCB554" s="178"/>
      <c r="DCC554" s="178"/>
      <c r="DCD554" s="178"/>
      <c r="DCE554" s="178"/>
      <c r="DCF554" s="178"/>
      <c r="DCG554" s="178"/>
      <c r="DCH554" s="178"/>
      <c r="DCI554" s="178"/>
      <c r="DCJ554" s="178"/>
      <c r="DCK554" s="178"/>
      <c r="DCL554" s="178"/>
      <c r="DCM554" s="178"/>
      <c r="DCN554" s="178"/>
      <c r="DCO554" s="178"/>
      <c r="DCP554" s="178"/>
      <c r="DCQ554" s="178"/>
      <c r="DCR554" s="178"/>
      <c r="DCS554" s="178"/>
      <c r="DCT554" s="178"/>
      <c r="DCU554" s="178"/>
      <c r="DCV554" s="178"/>
      <c r="DCW554" s="178"/>
      <c r="DCX554" s="178"/>
      <c r="DCY554" s="178"/>
      <c r="DCZ554" s="178"/>
      <c r="DDA554" s="178"/>
      <c r="DDB554" s="178"/>
      <c r="DDC554" s="178"/>
      <c r="DDD554" s="178"/>
      <c r="DDE554" s="178"/>
      <c r="DDF554" s="178"/>
      <c r="DDG554" s="178"/>
      <c r="DDH554" s="178"/>
      <c r="DDI554" s="178"/>
      <c r="DDJ554" s="178"/>
      <c r="DDK554" s="178"/>
      <c r="DDL554" s="178"/>
      <c r="DDM554" s="178"/>
      <c r="DDN554" s="178"/>
      <c r="DDO554" s="178"/>
      <c r="DDP554" s="178"/>
      <c r="DDQ554" s="178"/>
      <c r="DDR554" s="178"/>
      <c r="DDS554" s="178"/>
      <c r="DDT554" s="178"/>
      <c r="DDU554" s="178"/>
      <c r="DDV554" s="178"/>
      <c r="DDW554" s="178"/>
      <c r="DDX554" s="178"/>
      <c r="DDY554" s="178"/>
      <c r="DDZ554" s="178"/>
      <c r="DEA554" s="178"/>
      <c r="DEB554" s="178"/>
      <c r="DEC554" s="178"/>
      <c r="DED554" s="178"/>
      <c r="DEE554" s="178"/>
      <c r="DEF554" s="178"/>
      <c r="DEG554" s="178"/>
      <c r="DEH554" s="178"/>
      <c r="DEI554" s="178"/>
      <c r="DEJ554" s="178"/>
      <c r="DEK554" s="178"/>
      <c r="DEL554" s="178"/>
      <c r="DEM554" s="178"/>
      <c r="DEN554" s="178"/>
      <c r="DEO554" s="178"/>
      <c r="DEP554" s="178"/>
      <c r="DEQ554" s="178"/>
      <c r="DER554" s="178"/>
      <c r="DES554" s="178"/>
      <c r="DET554" s="178"/>
      <c r="DEU554" s="178"/>
      <c r="DEV554" s="178"/>
      <c r="DEW554" s="178"/>
      <c r="DEX554" s="178"/>
      <c r="DEY554" s="178"/>
      <c r="DEZ554" s="178"/>
      <c r="DFA554" s="178"/>
      <c r="DFB554" s="178"/>
      <c r="DFC554" s="178"/>
      <c r="DFD554" s="178"/>
      <c r="DFE554" s="178"/>
      <c r="DFF554" s="178"/>
      <c r="DFG554" s="178"/>
      <c r="DFH554" s="178"/>
      <c r="DFI554" s="178"/>
      <c r="DFJ554" s="178"/>
      <c r="DFK554" s="178"/>
      <c r="DFL554" s="178"/>
      <c r="DFM554" s="178"/>
      <c r="DFN554" s="178"/>
      <c r="DFO554" s="178"/>
      <c r="DFP554" s="178"/>
      <c r="DFQ554" s="178"/>
      <c r="DFR554" s="178"/>
      <c r="DFS554" s="178"/>
      <c r="DFT554" s="178"/>
      <c r="DFU554" s="178"/>
      <c r="DFV554" s="178"/>
      <c r="DFW554" s="178"/>
      <c r="DFX554" s="178"/>
      <c r="DFY554" s="178"/>
      <c r="DFZ554" s="178"/>
      <c r="DGA554" s="178"/>
      <c r="DGB554" s="178"/>
      <c r="DGC554" s="178"/>
      <c r="DGD554" s="178"/>
      <c r="DGE554" s="178"/>
      <c r="DGF554" s="178"/>
      <c r="DGG554" s="178"/>
      <c r="DGH554" s="178"/>
      <c r="DGI554" s="178"/>
      <c r="DGJ554" s="178"/>
      <c r="DGK554" s="178"/>
      <c r="DGL554" s="178"/>
      <c r="DGM554" s="178"/>
      <c r="DGN554" s="178"/>
      <c r="DGO554" s="178"/>
      <c r="DGP554" s="178"/>
      <c r="DGQ554" s="178"/>
      <c r="DGR554" s="178"/>
      <c r="DGS554" s="178"/>
      <c r="DGT554" s="178"/>
      <c r="DGU554" s="178"/>
      <c r="DGV554" s="178"/>
      <c r="DGW554" s="178"/>
      <c r="DGX554" s="178"/>
      <c r="DGY554" s="178"/>
      <c r="DGZ554" s="178"/>
      <c r="DHA554" s="178"/>
      <c r="DHB554" s="178"/>
      <c r="DHC554" s="178"/>
      <c r="DHD554" s="178"/>
      <c r="DHE554" s="178"/>
      <c r="DHF554" s="178"/>
      <c r="DHG554" s="178"/>
      <c r="DHH554" s="178"/>
      <c r="DHI554" s="178"/>
      <c r="DHJ554" s="178"/>
      <c r="DHK554" s="178"/>
      <c r="DHL554" s="178"/>
      <c r="DHM554" s="178"/>
      <c r="DHN554" s="178"/>
      <c r="DHO554" s="178"/>
      <c r="DHP554" s="178"/>
      <c r="DHQ554" s="178"/>
      <c r="DHR554" s="178"/>
      <c r="DHS554" s="178"/>
      <c r="DHT554" s="178"/>
      <c r="DHU554" s="178"/>
      <c r="DHV554" s="178"/>
      <c r="DHW554" s="178"/>
      <c r="DHX554" s="178"/>
      <c r="DHY554" s="178"/>
      <c r="DHZ554" s="178"/>
      <c r="DIA554" s="178"/>
      <c r="DIB554" s="178"/>
      <c r="DIC554" s="178"/>
      <c r="DID554" s="178"/>
      <c r="DIE554" s="178"/>
      <c r="DIF554" s="178"/>
      <c r="DIG554" s="178"/>
      <c r="DIH554" s="178"/>
      <c r="DII554" s="178"/>
      <c r="DIJ554" s="178"/>
      <c r="DIK554" s="178"/>
      <c r="DIL554" s="178"/>
      <c r="DIM554" s="178"/>
      <c r="DIN554" s="178"/>
      <c r="DIO554" s="178"/>
      <c r="DIP554" s="178"/>
      <c r="DIQ554" s="178"/>
      <c r="DIR554" s="178"/>
      <c r="DIS554" s="178"/>
      <c r="DIT554" s="178"/>
      <c r="DIU554" s="178"/>
      <c r="DIV554" s="178"/>
      <c r="DIW554" s="178"/>
      <c r="DIX554" s="178"/>
      <c r="DIY554" s="178"/>
      <c r="DIZ554" s="178"/>
      <c r="DJA554" s="178"/>
      <c r="DJB554" s="178"/>
      <c r="DJC554" s="178"/>
      <c r="DJD554" s="178"/>
      <c r="DJE554" s="178"/>
      <c r="DJF554" s="178"/>
      <c r="DJG554" s="178"/>
      <c r="DJH554" s="178"/>
      <c r="DJI554" s="178"/>
      <c r="DJJ554" s="178"/>
      <c r="DJK554" s="178"/>
      <c r="DJL554" s="178"/>
      <c r="DJM554" s="178"/>
      <c r="DJN554" s="178"/>
      <c r="DJO554" s="178"/>
      <c r="DJP554" s="178"/>
      <c r="DJQ554" s="178"/>
      <c r="DJR554" s="178"/>
      <c r="DJS554" s="178"/>
      <c r="DJT554" s="178"/>
      <c r="DJU554" s="178"/>
      <c r="DJV554" s="178"/>
      <c r="DJW554" s="178"/>
      <c r="DJX554" s="178"/>
      <c r="DJY554" s="178"/>
      <c r="DJZ554" s="178"/>
      <c r="DKA554" s="178"/>
      <c r="DKB554" s="178"/>
      <c r="DKC554" s="178"/>
      <c r="DKD554" s="178"/>
      <c r="DKE554" s="178"/>
      <c r="DKF554" s="178"/>
      <c r="DKG554" s="178"/>
      <c r="DKH554" s="178"/>
      <c r="DKI554" s="178"/>
      <c r="DKJ554" s="178"/>
      <c r="DKK554" s="178"/>
      <c r="DKL554" s="178"/>
      <c r="DKM554" s="178"/>
      <c r="DKN554" s="178"/>
      <c r="DKO554" s="178"/>
      <c r="DKP554" s="178"/>
      <c r="DKQ554" s="178"/>
      <c r="DKR554" s="178"/>
      <c r="DKS554" s="178"/>
      <c r="DKT554" s="178"/>
      <c r="DKU554" s="178"/>
      <c r="DKV554" s="178"/>
      <c r="DKW554" s="178"/>
      <c r="DKX554" s="178"/>
      <c r="DKY554" s="178"/>
      <c r="DKZ554" s="178"/>
      <c r="DLA554" s="178"/>
      <c r="DLB554" s="178"/>
      <c r="DLC554" s="178"/>
      <c r="DLD554" s="178"/>
      <c r="DLE554" s="178"/>
      <c r="DLF554" s="178"/>
      <c r="DLG554" s="178"/>
      <c r="DLH554" s="178"/>
      <c r="DLI554" s="178"/>
      <c r="DLJ554" s="178"/>
      <c r="DLK554" s="178"/>
      <c r="DLL554" s="178"/>
      <c r="DLM554" s="178"/>
      <c r="DLN554" s="178"/>
      <c r="DLO554" s="178"/>
      <c r="DLP554" s="178"/>
      <c r="DLQ554" s="178"/>
      <c r="DLR554" s="178"/>
      <c r="DLS554" s="178"/>
      <c r="DLT554" s="178"/>
      <c r="DLU554" s="178"/>
      <c r="DLV554" s="178"/>
      <c r="DLW554" s="178"/>
      <c r="DLX554" s="178"/>
      <c r="DLY554" s="178"/>
      <c r="DLZ554" s="178"/>
      <c r="DMA554" s="178"/>
      <c r="DMB554" s="178"/>
      <c r="DMC554" s="178"/>
      <c r="DMD554" s="178"/>
      <c r="DME554" s="178"/>
      <c r="DMF554" s="178"/>
      <c r="DMG554" s="178"/>
      <c r="DMH554" s="178"/>
      <c r="DMI554" s="178"/>
      <c r="DMJ554" s="178"/>
      <c r="DMK554" s="178"/>
      <c r="DML554" s="178"/>
      <c r="DMM554" s="178"/>
      <c r="DMN554" s="178"/>
      <c r="DMO554" s="178"/>
      <c r="DMP554" s="178"/>
      <c r="DMQ554" s="178"/>
      <c r="DMR554" s="178"/>
      <c r="DMS554" s="178"/>
      <c r="DMT554" s="178"/>
      <c r="DMU554" s="178"/>
      <c r="DMV554" s="178"/>
      <c r="DMW554" s="178"/>
      <c r="DMX554" s="178"/>
      <c r="DMY554" s="178"/>
      <c r="DMZ554" s="178"/>
      <c r="DNA554" s="178"/>
      <c r="DNB554" s="178"/>
      <c r="DNC554" s="178"/>
      <c r="DND554" s="178"/>
      <c r="DNE554" s="178"/>
      <c r="DNF554" s="178"/>
      <c r="DNG554" s="178"/>
      <c r="DNH554" s="178"/>
      <c r="DNI554" s="178"/>
      <c r="DNJ554" s="178"/>
      <c r="DNK554" s="178"/>
      <c r="DNL554" s="178"/>
      <c r="DNM554" s="178"/>
      <c r="DNN554" s="178"/>
      <c r="DNO554" s="178"/>
      <c r="DNP554" s="178"/>
      <c r="DNQ554" s="178"/>
      <c r="DNR554" s="178"/>
      <c r="DNS554" s="178"/>
      <c r="DNT554" s="178"/>
      <c r="DNU554" s="178"/>
      <c r="DNV554" s="178"/>
      <c r="DNW554" s="178"/>
      <c r="DNX554" s="178"/>
      <c r="DNY554" s="178"/>
      <c r="DNZ554" s="178"/>
      <c r="DOA554" s="178"/>
      <c r="DOB554" s="178"/>
      <c r="DOC554" s="178"/>
      <c r="DOD554" s="178"/>
      <c r="DOE554" s="178"/>
      <c r="DOF554" s="178"/>
      <c r="DOG554" s="178"/>
      <c r="DOH554" s="178"/>
      <c r="DOI554" s="178"/>
      <c r="DOJ554" s="178"/>
      <c r="DOK554" s="178"/>
      <c r="DOL554" s="178"/>
      <c r="DOM554" s="178"/>
      <c r="DON554" s="178"/>
      <c r="DOO554" s="178"/>
      <c r="DOP554" s="178"/>
      <c r="DOQ554" s="178"/>
      <c r="DOR554" s="178"/>
      <c r="DOS554" s="178"/>
      <c r="DOT554" s="178"/>
      <c r="DOU554" s="178"/>
      <c r="DOV554" s="178"/>
      <c r="DOW554" s="178"/>
      <c r="DOX554" s="178"/>
      <c r="DOY554" s="178"/>
      <c r="DOZ554" s="178"/>
      <c r="DPA554" s="178"/>
      <c r="DPB554" s="178"/>
      <c r="DPC554" s="178"/>
      <c r="DPD554" s="178"/>
      <c r="DPE554" s="178"/>
      <c r="DPF554" s="178"/>
      <c r="DPG554" s="178"/>
      <c r="DPH554" s="178"/>
      <c r="DPI554" s="178"/>
      <c r="DPJ554" s="178"/>
      <c r="DPK554" s="178"/>
      <c r="DPL554" s="178"/>
      <c r="DPM554" s="178"/>
      <c r="DPN554" s="178"/>
      <c r="DPO554" s="178"/>
      <c r="DPP554" s="178"/>
      <c r="DPQ554" s="178"/>
      <c r="DPR554" s="178"/>
      <c r="DPS554" s="178"/>
      <c r="DPT554" s="178"/>
      <c r="DPU554" s="178"/>
      <c r="DPV554" s="178"/>
      <c r="DPW554" s="178"/>
      <c r="DPX554" s="178"/>
      <c r="DPY554" s="178"/>
      <c r="DPZ554" s="178"/>
      <c r="DQA554" s="178"/>
      <c r="DQB554" s="178"/>
      <c r="DQC554" s="178"/>
      <c r="DQD554" s="178"/>
      <c r="DQE554" s="178"/>
      <c r="DQF554" s="178"/>
      <c r="DQG554" s="178"/>
      <c r="DQH554" s="178"/>
      <c r="DQI554" s="178"/>
      <c r="DQJ554" s="178"/>
      <c r="DQK554" s="178"/>
      <c r="DQL554" s="178"/>
      <c r="DQM554" s="178"/>
      <c r="DQN554" s="178"/>
      <c r="DQO554" s="178"/>
      <c r="DQP554" s="178"/>
      <c r="DQQ554" s="178"/>
      <c r="DQR554" s="178"/>
      <c r="DQS554" s="178"/>
      <c r="DQT554" s="178"/>
      <c r="DQU554" s="178"/>
      <c r="DQV554" s="178"/>
      <c r="DQW554" s="178"/>
      <c r="DQX554" s="178"/>
      <c r="DQY554" s="178"/>
      <c r="DQZ554" s="178"/>
      <c r="DRA554" s="178"/>
      <c r="DRB554" s="178"/>
      <c r="DRC554" s="178"/>
      <c r="DRD554" s="178"/>
      <c r="DRE554" s="178"/>
      <c r="DRF554" s="178"/>
      <c r="DRG554" s="178"/>
      <c r="DRH554" s="178"/>
      <c r="DRI554" s="178"/>
      <c r="DRJ554" s="178"/>
      <c r="DRK554" s="178"/>
      <c r="DRL554" s="178"/>
      <c r="DRM554" s="178"/>
      <c r="DRN554" s="178"/>
      <c r="DRO554" s="178"/>
      <c r="DRP554" s="178"/>
      <c r="DRQ554" s="178"/>
      <c r="DRR554" s="178"/>
      <c r="DRS554" s="178"/>
      <c r="DRT554" s="178"/>
      <c r="DRU554" s="178"/>
      <c r="DRV554" s="178"/>
      <c r="DRW554" s="178"/>
      <c r="DRX554" s="178"/>
      <c r="DRY554" s="178"/>
      <c r="DRZ554" s="178"/>
      <c r="DSA554" s="178"/>
      <c r="DSB554" s="178"/>
      <c r="DSC554" s="178"/>
      <c r="DSD554" s="178"/>
      <c r="DSE554" s="178"/>
      <c r="DSF554" s="178"/>
      <c r="DSG554" s="178"/>
      <c r="DSH554" s="178"/>
      <c r="DSI554" s="178"/>
      <c r="DSJ554" s="178"/>
      <c r="DSK554" s="178"/>
      <c r="DSL554" s="178"/>
      <c r="DSM554" s="178"/>
      <c r="DSN554" s="178"/>
      <c r="DSO554" s="178"/>
      <c r="DSP554" s="178"/>
      <c r="DSQ554" s="178"/>
      <c r="DSR554" s="178"/>
      <c r="DSS554" s="178"/>
      <c r="DST554" s="178"/>
      <c r="DSU554" s="178"/>
      <c r="DSV554" s="178"/>
      <c r="DSW554" s="178"/>
      <c r="DSX554" s="178"/>
      <c r="DSY554" s="178"/>
      <c r="DSZ554" s="178"/>
      <c r="DTA554" s="178"/>
      <c r="DTB554" s="178"/>
      <c r="DTC554" s="178"/>
      <c r="DTD554" s="178"/>
      <c r="DTE554" s="178"/>
      <c r="DTF554" s="178"/>
      <c r="DTG554" s="178"/>
      <c r="DTH554" s="178"/>
      <c r="DTI554" s="178"/>
      <c r="DTJ554" s="178"/>
      <c r="DTK554" s="178"/>
      <c r="DTL554" s="178"/>
      <c r="DTM554" s="178"/>
      <c r="DTN554" s="178"/>
      <c r="DTO554" s="178"/>
      <c r="DTP554" s="178"/>
      <c r="DTQ554" s="178"/>
      <c r="DTR554" s="178"/>
      <c r="DTS554" s="178"/>
      <c r="DTT554" s="178"/>
      <c r="DTU554" s="178"/>
      <c r="DTV554" s="178"/>
      <c r="DTW554" s="178"/>
      <c r="DTX554" s="178"/>
      <c r="DTY554" s="178"/>
      <c r="DTZ554" s="178"/>
      <c r="DUA554" s="178"/>
      <c r="DUB554" s="178"/>
      <c r="DUC554" s="178"/>
      <c r="DUD554" s="178"/>
      <c r="DUE554" s="178"/>
      <c r="DUF554" s="178"/>
      <c r="DUG554" s="178"/>
      <c r="DUH554" s="178"/>
      <c r="DUI554" s="178"/>
      <c r="DUJ554" s="178"/>
      <c r="DUK554" s="178"/>
      <c r="DUL554" s="178"/>
      <c r="DUM554" s="178"/>
      <c r="DUN554" s="178"/>
      <c r="DUO554" s="178"/>
      <c r="DUP554" s="178"/>
      <c r="DUQ554" s="178"/>
      <c r="DUR554" s="178"/>
      <c r="DUS554" s="178"/>
      <c r="DUT554" s="178"/>
      <c r="DUU554" s="178"/>
      <c r="DUV554" s="178"/>
      <c r="DUW554" s="178"/>
      <c r="DUX554" s="178"/>
      <c r="DUY554" s="178"/>
      <c r="DUZ554" s="178"/>
      <c r="DVA554" s="178"/>
      <c r="DVB554" s="178"/>
      <c r="DVC554" s="178"/>
      <c r="DVD554" s="178"/>
      <c r="DVE554" s="178"/>
      <c r="DVF554" s="178"/>
      <c r="DVG554" s="178"/>
      <c r="DVH554" s="178"/>
      <c r="DVI554" s="178"/>
      <c r="DVJ554" s="178"/>
      <c r="DVK554" s="178"/>
      <c r="DVL554" s="178"/>
      <c r="DVM554" s="178"/>
      <c r="DVN554" s="178"/>
      <c r="DVO554" s="178"/>
      <c r="DVP554" s="178"/>
      <c r="DVQ554" s="178"/>
      <c r="DVR554" s="178"/>
      <c r="DVS554" s="178"/>
      <c r="DVT554" s="178"/>
      <c r="DVU554" s="178"/>
      <c r="DVV554" s="178"/>
      <c r="DVW554" s="178"/>
      <c r="DVX554" s="178"/>
      <c r="DVY554" s="178"/>
      <c r="DVZ554" s="178"/>
      <c r="DWA554" s="178"/>
      <c r="DWB554" s="178"/>
      <c r="DWC554" s="178"/>
      <c r="DWD554" s="178"/>
      <c r="DWE554" s="178"/>
      <c r="DWF554" s="178"/>
      <c r="DWG554" s="178"/>
      <c r="DWH554" s="178"/>
      <c r="DWI554" s="178"/>
      <c r="DWJ554" s="178"/>
      <c r="DWK554" s="178"/>
      <c r="DWL554" s="178"/>
      <c r="DWM554" s="178"/>
      <c r="DWN554" s="178"/>
      <c r="DWO554" s="178"/>
      <c r="DWP554" s="178"/>
      <c r="DWQ554" s="178"/>
      <c r="DWR554" s="178"/>
      <c r="DWS554" s="178"/>
      <c r="DWT554" s="178"/>
      <c r="DWU554" s="178"/>
      <c r="DWV554" s="178"/>
      <c r="DWW554" s="178"/>
      <c r="DWX554" s="178"/>
      <c r="DWY554" s="178"/>
      <c r="DWZ554" s="178"/>
      <c r="DXA554" s="178"/>
      <c r="DXB554" s="178"/>
      <c r="DXC554" s="178"/>
      <c r="DXD554" s="178"/>
      <c r="DXE554" s="178"/>
      <c r="DXF554" s="178"/>
      <c r="DXG554" s="178"/>
      <c r="DXH554" s="178"/>
      <c r="DXI554" s="178"/>
      <c r="DXJ554" s="178"/>
      <c r="DXK554" s="178"/>
      <c r="DXL554" s="178"/>
      <c r="DXM554" s="178"/>
      <c r="DXN554" s="178"/>
      <c r="DXO554" s="178"/>
      <c r="DXP554" s="178"/>
      <c r="DXQ554" s="178"/>
      <c r="DXR554" s="178"/>
      <c r="DXS554" s="178"/>
      <c r="DXT554" s="178"/>
      <c r="DXU554" s="178"/>
      <c r="DXV554" s="178"/>
      <c r="DXW554" s="178"/>
      <c r="DXX554" s="178"/>
      <c r="DXY554" s="178"/>
      <c r="DXZ554" s="178"/>
      <c r="DYA554" s="178"/>
      <c r="DYB554" s="178"/>
      <c r="DYC554" s="178"/>
      <c r="DYD554" s="178"/>
      <c r="DYE554" s="178"/>
      <c r="DYF554" s="178"/>
      <c r="DYG554" s="178"/>
      <c r="DYH554" s="178"/>
      <c r="DYI554" s="178"/>
      <c r="DYJ554" s="178"/>
      <c r="DYK554" s="178"/>
      <c r="DYL554" s="178"/>
      <c r="DYM554" s="178"/>
      <c r="DYN554" s="178"/>
      <c r="DYO554" s="178"/>
      <c r="DYP554" s="178"/>
      <c r="DYQ554" s="178"/>
      <c r="DYR554" s="178"/>
      <c r="DYS554" s="178"/>
      <c r="DYT554" s="178"/>
      <c r="DYU554" s="178"/>
      <c r="DYV554" s="178"/>
      <c r="DYW554" s="178"/>
      <c r="DYX554" s="178"/>
      <c r="DYY554" s="178"/>
      <c r="DYZ554" s="178"/>
      <c r="DZA554" s="178"/>
      <c r="DZB554" s="178"/>
      <c r="DZC554" s="178"/>
      <c r="DZD554" s="178"/>
      <c r="DZE554" s="178"/>
      <c r="DZF554" s="178"/>
      <c r="DZG554" s="178"/>
      <c r="DZH554" s="178"/>
      <c r="DZI554" s="178"/>
      <c r="DZJ554" s="178"/>
      <c r="DZK554" s="178"/>
      <c r="DZL554" s="178"/>
      <c r="DZM554" s="178"/>
      <c r="DZN554" s="178"/>
      <c r="DZO554" s="178"/>
      <c r="DZP554" s="178"/>
      <c r="DZQ554" s="178"/>
      <c r="DZR554" s="178"/>
      <c r="DZS554" s="178"/>
      <c r="DZT554" s="178"/>
      <c r="DZU554" s="178"/>
      <c r="DZV554" s="178"/>
      <c r="DZW554" s="178"/>
      <c r="DZX554" s="178"/>
      <c r="DZY554" s="178"/>
      <c r="DZZ554" s="178"/>
      <c r="EAA554" s="178"/>
      <c r="EAB554" s="178"/>
      <c r="EAC554" s="178"/>
      <c r="EAD554" s="178"/>
      <c r="EAE554" s="178"/>
      <c r="EAF554" s="178"/>
      <c r="EAG554" s="178"/>
      <c r="EAH554" s="178"/>
      <c r="EAI554" s="178"/>
      <c r="EAJ554" s="178"/>
      <c r="EAK554" s="178"/>
      <c r="EAL554" s="178"/>
      <c r="EAM554" s="178"/>
      <c r="EAN554" s="178"/>
      <c r="EAO554" s="178"/>
      <c r="EAP554" s="178"/>
      <c r="EAQ554" s="178"/>
      <c r="EAR554" s="178"/>
      <c r="EAS554" s="178"/>
      <c r="EAT554" s="178"/>
      <c r="EAU554" s="178"/>
      <c r="EAV554" s="178"/>
      <c r="EAW554" s="178"/>
      <c r="EAX554" s="178"/>
      <c r="EAY554" s="178"/>
      <c r="EAZ554" s="178"/>
      <c r="EBA554" s="178"/>
      <c r="EBB554" s="178"/>
      <c r="EBC554" s="178"/>
      <c r="EBD554" s="178"/>
      <c r="EBE554" s="178"/>
      <c r="EBF554" s="178"/>
      <c r="EBG554" s="178"/>
      <c r="EBH554" s="178"/>
      <c r="EBI554" s="178"/>
      <c r="EBJ554" s="178"/>
      <c r="EBK554" s="178"/>
      <c r="EBL554" s="178"/>
      <c r="EBM554" s="178"/>
      <c r="EBN554" s="178"/>
      <c r="EBO554" s="178"/>
      <c r="EBP554" s="178"/>
      <c r="EBQ554" s="178"/>
      <c r="EBR554" s="178"/>
      <c r="EBS554" s="178"/>
      <c r="EBT554" s="178"/>
      <c r="EBU554" s="178"/>
      <c r="EBV554" s="178"/>
      <c r="EBW554" s="178"/>
      <c r="EBX554" s="178"/>
      <c r="EBY554" s="178"/>
      <c r="EBZ554" s="178"/>
      <c r="ECA554" s="178"/>
      <c r="ECB554" s="178"/>
      <c r="ECC554" s="178"/>
      <c r="ECD554" s="178"/>
      <c r="ECE554" s="178"/>
      <c r="ECF554" s="178"/>
      <c r="ECG554" s="178"/>
      <c r="ECH554" s="178"/>
      <c r="ECI554" s="178"/>
      <c r="ECJ554" s="178"/>
      <c r="ECK554" s="178"/>
      <c r="ECL554" s="178"/>
      <c r="ECM554" s="178"/>
      <c r="ECN554" s="178"/>
      <c r="ECO554" s="178"/>
      <c r="ECP554" s="178"/>
      <c r="ECQ554" s="178"/>
      <c r="ECR554" s="178"/>
      <c r="ECS554" s="178"/>
      <c r="ECT554" s="178"/>
      <c r="ECU554" s="178"/>
      <c r="ECV554" s="178"/>
      <c r="ECW554" s="178"/>
      <c r="ECX554" s="178"/>
      <c r="ECY554" s="178"/>
      <c r="ECZ554" s="178"/>
      <c r="EDA554" s="178"/>
      <c r="EDB554" s="178"/>
      <c r="EDC554" s="178"/>
      <c r="EDD554" s="178"/>
      <c r="EDE554" s="178"/>
      <c r="EDF554" s="178"/>
      <c r="EDG554" s="178"/>
      <c r="EDH554" s="178"/>
      <c r="EDI554" s="178"/>
      <c r="EDJ554" s="178"/>
      <c r="EDK554" s="178"/>
      <c r="EDL554" s="178"/>
      <c r="EDM554" s="178"/>
      <c r="EDN554" s="178"/>
      <c r="EDO554" s="178"/>
      <c r="EDP554" s="178"/>
      <c r="EDQ554" s="178"/>
      <c r="EDR554" s="178"/>
      <c r="EDS554" s="178"/>
      <c r="EDT554" s="178"/>
      <c r="EDU554" s="178"/>
      <c r="EDV554" s="178"/>
      <c r="EDW554" s="178"/>
      <c r="EDX554" s="178"/>
      <c r="EDY554" s="178"/>
      <c r="EDZ554" s="178"/>
      <c r="EEA554" s="178"/>
      <c r="EEB554" s="178"/>
      <c r="EEC554" s="178"/>
      <c r="EED554" s="178"/>
      <c r="EEE554" s="178"/>
      <c r="EEF554" s="178"/>
      <c r="EEG554" s="178"/>
      <c r="EEH554" s="178"/>
      <c r="EEI554" s="178"/>
      <c r="EEJ554" s="178"/>
      <c r="EEK554" s="178"/>
      <c r="EEL554" s="178"/>
      <c r="EEM554" s="178"/>
      <c r="EEN554" s="178"/>
      <c r="EEO554" s="178"/>
      <c r="EEP554" s="178"/>
      <c r="EEQ554" s="178"/>
      <c r="EER554" s="178"/>
      <c r="EES554" s="178"/>
      <c r="EET554" s="178"/>
      <c r="EEU554" s="178"/>
      <c r="EEV554" s="178"/>
      <c r="EEW554" s="178"/>
      <c r="EEX554" s="178"/>
      <c r="EEY554" s="178"/>
      <c r="EEZ554" s="178"/>
      <c r="EFA554" s="178"/>
      <c r="EFB554" s="178"/>
      <c r="EFC554" s="178"/>
      <c r="EFD554" s="178"/>
      <c r="EFE554" s="178"/>
      <c r="EFF554" s="178"/>
      <c r="EFG554" s="178"/>
      <c r="EFH554" s="178"/>
      <c r="EFI554" s="178"/>
      <c r="EFJ554" s="178"/>
      <c r="EFK554" s="178"/>
      <c r="EFL554" s="178"/>
      <c r="EFM554" s="178"/>
      <c r="EFN554" s="178"/>
      <c r="EFO554" s="178"/>
      <c r="EFP554" s="178"/>
      <c r="EFQ554" s="178"/>
      <c r="EFR554" s="178"/>
      <c r="EFS554" s="178"/>
      <c r="EFT554" s="178"/>
      <c r="EFU554" s="178"/>
      <c r="EFV554" s="178"/>
      <c r="EFW554" s="178"/>
      <c r="EFX554" s="178"/>
      <c r="EFY554" s="178"/>
      <c r="EFZ554" s="178"/>
      <c r="EGA554" s="178"/>
      <c r="EGB554" s="178"/>
      <c r="EGC554" s="178"/>
      <c r="EGD554" s="178"/>
      <c r="EGE554" s="178"/>
      <c r="EGF554" s="178"/>
      <c r="EGG554" s="178"/>
      <c r="EGH554" s="178"/>
      <c r="EGI554" s="178"/>
      <c r="EGJ554" s="178"/>
      <c r="EGK554" s="178"/>
      <c r="EGL554" s="178"/>
      <c r="EGM554" s="178"/>
      <c r="EGN554" s="178"/>
      <c r="EGO554" s="178"/>
      <c r="EGP554" s="178"/>
      <c r="EGQ554" s="178"/>
      <c r="EGR554" s="178"/>
      <c r="EGS554" s="178"/>
      <c r="EGT554" s="178"/>
      <c r="EGU554" s="178"/>
      <c r="EGV554" s="178"/>
      <c r="EGW554" s="178"/>
      <c r="EGX554" s="178"/>
      <c r="EGY554" s="178"/>
      <c r="EGZ554" s="178"/>
      <c r="EHA554" s="178"/>
      <c r="EHB554" s="178"/>
      <c r="EHC554" s="178"/>
      <c r="EHD554" s="178"/>
      <c r="EHE554" s="178"/>
      <c r="EHF554" s="178"/>
      <c r="EHG554" s="178"/>
      <c r="EHH554" s="178"/>
      <c r="EHI554" s="178"/>
      <c r="EHJ554" s="178"/>
      <c r="EHK554" s="178"/>
      <c r="EHL554" s="178"/>
      <c r="EHM554" s="178"/>
      <c r="EHN554" s="178"/>
      <c r="EHO554" s="178"/>
      <c r="EHP554" s="178"/>
      <c r="EHQ554" s="178"/>
      <c r="EHR554" s="178"/>
      <c r="EHS554" s="178"/>
      <c r="EHT554" s="178"/>
      <c r="EHU554" s="178"/>
      <c r="EHV554" s="178"/>
      <c r="EHW554" s="178"/>
      <c r="EHX554" s="178"/>
      <c r="EHY554" s="178"/>
      <c r="EHZ554" s="178"/>
      <c r="EIA554" s="178"/>
      <c r="EIB554" s="178"/>
      <c r="EIC554" s="178"/>
      <c r="EID554" s="178"/>
      <c r="EIE554" s="178"/>
      <c r="EIF554" s="178"/>
      <c r="EIG554" s="178"/>
      <c r="EIH554" s="178"/>
      <c r="EII554" s="178"/>
      <c r="EIJ554" s="178"/>
      <c r="EIK554" s="178"/>
      <c r="EIL554" s="178"/>
      <c r="EIM554" s="178"/>
      <c r="EIN554" s="178"/>
      <c r="EIO554" s="178"/>
      <c r="EIP554" s="178"/>
      <c r="EIQ554" s="178"/>
      <c r="EIR554" s="178"/>
      <c r="EIS554" s="178"/>
      <c r="EIT554" s="178"/>
      <c r="EIU554" s="178"/>
      <c r="EIV554" s="178"/>
      <c r="EIW554" s="178"/>
      <c r="EIX554" s="178"/>
      <c r="EIY554" s="178"/>
      <c r="EIZ554" s="178"/>
      <c r="EJA554" s="178"/>
      <c r="EJB554" s="178"/>
      <c r="EJC554" s="178"/>
      <c r="EJD554" s="178"/>
      <c r="EJE554" s="178"/>
      <c r="EJF554" s="178"/>
      <c r="EJG554" s="178"/>
      <c r="EJH554" s="178"/>
      <c r="EJI554" s="178"/>
      <c r="EJJ554" s="178"/>
      <c r="EJK554" s="178"/>
      <c r="EJL554" s="178"/>
      <c r="EJM554" s="178"/>
      <c r="EJN554" s="178"/>
      <c r="EJO554" s="178"/>
      <c r="EJP554" s="178"/>
      <c r="EJQ554" s="178"/>
      <c r="EJR554" s="178"/>
      <c r="EJS554" s="178"/>
      <c r="EJT554" s="178"/>
      <c r="EJU554" s="178"/>
      <c r="EJV554" s="178"/>
      <c r="EJW554" s="178"/>
      <c r="EJX554" s="178"/>
      <c r="EJY554" s="178"/>
      <c r="EJZ554" s="178"/>
      <c r="EKA554" s="178"/>
      <c r="EKB554" s="178"/>
      <c r="EKC554" s="178"/>
      <c r="EKD554" s="178"/>
      <c r="EKE554" s="178"/>
      <c r="EKF554" s="178"/>
      <c r="EKG554" s="178"/>
      <c r="EKH554" s="178"/>
      <c r="EKI554" s="178"/>
      <c r="EKJ554" s="178"/>
      <c r="EKK554" s="178"/>
      <c r="EKL554" s="178"/>
      <c r="EKM554" s="178"/>
      <c r="EKN554" s="178"/>
      <c r="EKO554" s="178"/>
      <c r="EKP554" s="178"/>
      <c r="EKQ554" s="178"/>
      <c r="EKR554" s="178"/>
      <c r="EKS554" s="178"/>
      <c r="EKT554" s="178"/>
      <c r="EKU554" s="178"/>
      <c r="EKV554" s="178"/>
      <c r="EKW554" s="178"/>
      <c r="EKX554" s="178"/>
      <c r="EKY554" s="178"/>
      <c r="EKZ554" s="178"/>
      <c r="ELA554" s="178"/>
      <c r="ELB554" s="178"/>
      <c r="ELC554" s="178"/>
      <c r="ELD554" s="178"/>
      <c r="ELE554" s="178"/>
      <c r="ELF554" s="178"/>
      <c r="ELG554" s="178"/>
      <c r="ELH554" s="178"/>
      <c r="ELI554" s="178"/>
      <c r="ELJ554" s="178"/>
      <c r="ELK554" s="178"/>
      <c r="ELL554" s="178"/>
      <c r="ELM554" s="178"/>
      <c r="ELN554" s="178"/>
      <c r="ELO554" s="178"/>
      <c r="ELP554" s="178"/>
      <c r="ELQ554" s="178"/>
      <c r="ELR554" s="178"/>
      <c r="ELS554" s="178"/>
      <c r="ELT554" s="178"/>
      <c r="ELU554" s="178"/>
      <c r="ELV554" s="178"/>
      <c r="ELW554" s="178"/>
      <c r="ELX554" s="178"/>
      <c r="ELY554" s="178"/>
      <c r="ELZ554" s="178"/>
      <c r="EMA554" s="178"/>
      <c r="EMB554" s="178"/>
      <c r="EMC554" s="178"/>
      <c r="EMD554" s="178"/>
      <c r="EME554" s="178"/>
      <c r="EMF554" s="178"/>
      <c r="EMG554" s="178"/>
      <c r="EMH554" s="178"/>
      <c r="EMI554" s="178"/>
      <c r="EMJ554" s="178"/>
      <c r="EMK554" s="178"/>
      <c r="EML554" s="178"/>
      <c r="EMM554" s="178"/>
      <c r="EMN554" s="178"/>
      <c r="EMO554" s="178"/>
      <c r="EMP554" s="178"/>
      <c r="EMQ554" s="178"/>
      <c r="EMR554" s="178"/>
      <c r="EMS554" s="178"/>
      <c r="EMT554" s="178"/>
      <c r="EMU554" s="178"/>
      <c r="EMV554" s="178"/>
      <c r="EMW554" s="178"/>
      <c r="EMX554" s="178"/>
      <c r="EMY554" s="178"/>
      <c r="EMZ554" s="178"/>
      <c r="ENA554" s="178"/>
      <c r="ENB554" s="178"/>
      <c r="ENC554" s="178"/>
      <c r="END554" s="178"/>
      <c r="ENE554" s="178"/>
      <c r="ENF554" s="178"/>
      <c r="ENG554" s="178"/>
      <c r="ENH554" s="178"/>
      <c r="ENI554" s="178"/>
      <c r="ENJ554" s="178"/>
      <c r="ENK554" s="178"/>
      <c r="ENL554" s="178"/>
      <c r="ENM554" s="178"/>
      <c r="ENN554" s="178"/>
      <c r="ENO554" s="178"/>
      <c r="ENP554" s="178"/>
      <c r="ENQ554" s="178"/>
      <c r="ENR554" s="178"/>
      <c r="ENS554" s="178"/>
      <c r="ENT554" s="178"/>
      <c r="ENU554" s="178"/>
      <c r="ENV554" s="178"/>
      <c r="ENW554" s="178"/>
      <c r="ENX554" s="178"/>
      <c r="ENY554" s="178"/>
      <c r="ENZ554" s="178"/>
      <c r="EOA554" s="178"/>
      <c r="EOB554" s="178"/>
      <c r="EOC554" s="178"/>
      <c r="EOD554" s="178"/>
      <c r="EOE554" s="178"/>
      <c r="EOF554" s="178"/>
      <c r="EOG554" s="178"/>
      <c r="EOH554" s="178"/>
      <c r="EOI554" s="178"/>
      <c r="EOJ554" s="178"/>
      <c r="EOK554" s="178"/>
      <c r="EOL554" s="178"/>
      <c r="EOM554" s="178"/>
      <c r="EON554" s="178"/>
      <c r="EOO554" s="178"/>
      <c r="EOP554" s="178"/>
      <c r="EOQ554" s="178"/>
      <c r="EOR554" s="178"/>
      <c r="EOS554" s="178"/>
      <c r="EOT554" s="178"/>
      <c r="EOU554" s="178"/>
      <c r="EOV554" s="178"/>
      <c r="EOW554" s="178"/>
      <c r="EOX554" s="178"/>
      <c r="EOY554" s="178"/>
      <c r="EOZ554" s="178"/>
      <c r="EPA554" s="178"/>
      <c r="EPB554" s="178"/>
      <c r="EPC554" s="178"/>
      <c r="EPD554" s="178"/>
      <c r="EPE554" s="178"/>
      <c r="EPF554" s="178"/>
      <c r="EPG554" s="178"/>
      <c r="EPH554" s="178"/>
      <c r="EPI554" s="178"/>
      <c r="EPJ554" s="178"/>
      <c r="EPK554" s="178"/>
      <c r="EPL554" s="178"/>
      <c r="EPM554" s="178"/>
      <c r="EPN554" s="178"/>
      <c r="EPO554" s="178"/>
      <c r="EPP554" s="178"/>
      <c r="EPQ554" s="178"/>
      <c r="EPR554" s="178"/>
      <c r="EPS554" s="178"/>
      <c r="EPT554" s="178"/>
      <c r="EPU554" s="178"/>
      <c r="EPV554" s="178"/>
      <c r="EPW554" s="178"/>
      <c r="EPX554" s="178"/>
      <c r="EPY554" s="178"/>
      <c r="EPZ554" s="178"/>
      <c r="EQA554" s="178"/>
      <c r="EQB554" s="178"/>
      <c r="EQC554" s="178"/>
      <c r="EQD554" s="178"/>
      <c r="EQE554" s="178"/>
      <c r="EQF554" s="178"/>
      <c r="EQG554" s="178"/>
      <c r="EQH554" s="178"/>
      <c r="EQI554" s="178"/>
      <c r="EQJ554" s="178"/>
      <c r="EQK554" s="178"/>
      <c r="EQL554" s="178"/>
      <c r="EQM554" s="178"/>
      <c r="EQN554" s="178"/>
      <c r="EQO554" s="178"/>
      <c r="EQP554" s="178"/>
      <c r="EQQ554" s="178"/>
      <c r="EQR554" s="178"/>
      <c r="EQS554" s="178"/>
      <c r="EQT554" s="178"/>
      <c r="EQU554" s="178"/>
      <c r="EQV554" s="178"/>
      <c r="EQW554" s="178"/>
      <c r="EQX554" s="178"/>
      <c r="EQY554" s="178"/>
      <c r="EQZ554" s="178"/>
      <c r="ERA554" s="178"/>
      <c r="ERB554" s="178"/>
      <c r="ERC554" s="178"/>
      <c r="ERD554" s="178"/>
      <c r="ERE554" s="178"/>
      <c r="ERF554" s="178"/>
      <c r="ERG554" s="178"/>
      <c r="ERH554" s="178"/>
      <c r="ERI554" s="178"/>
      <c r="ERJ554" s="178"/>
      <c r="ERK554" s="178"/>
      <c r="ERL554" s="178"/>
      <c r="ERM554" s="178"/>
      <c r="ERN554" s="178"/>
      <c r="ERO554" s="178"/>
      <c r="ERP554" s="178"/>
      <c r="ERQ554" s="178"/>
      <c r="ERR554" s="178"/>
      <c r="ERS554" s="178"/>
      <c r="ERT554" s="178"/>
      <c r="ERU554" s="178"/>
      <c r="ERV554" s="178"/>
      <c r="ERW554" s="178"/>
      <c r="ERX554" s="178"/>
      <c r="ERY554" s="178"/>
      <c r="ERZ554" s="178"/>
      <c r="ESA554" s="178"/>
      <c r="ESB554" s="178"/>
      <c r="ESC554" s="178"/>
      <c r="ESD554" s="178"/>
      <c r="ESE554" s="178"/>
      <c r="ESF554" s="178"/>
      <c r="ESG554" s="178"/>
      <c r="ESH554" s="178"/>
      <c r="ESI554" s="178"/>
      <c r="ESJ554" s="178"/>
      <c r="ESK554" s="178"/>
      <c r="ESL554" s="178"/>
      <c r="ESM554" s="178"/>
      <c r="ESN554" s="178"/>
      <c r="ESO554" s="178"/>
      <c r="ESP554" s="178"/>
      <c r="ESQ554" s="178"/>
      <c r="ESR554" s="178"/>
      <c r="ESS554" s="178"/>
      <c r="EST554" s="178"/>
      <c r="ESU554" s="178"/>
      <c r="ESV554" s="178"/>
      <c r="ESW554" s="178"/>
      <c r="ESX554" s="178"/>
      <c r="ESY554" s="178"/>
      <c r="ESZ554" s="178"/>
      <c r="ETA554" s="178"/>
      <c r="ETB554" s="178"/>
      <c r="ETC554" s="178"/>
      <c r="ETD554" s="178"/>
      <c r="ETE554" s="178"/>
      <c r="ETF554" s="178"/>
      <c r="ETG554" s="178"/>
      <c r="ETH554" s="178"/>
      <c r="ETI554" s="178"/>
      <c r="ETJ554" s="178"/>
      <c r="ETK554" s="178"/>
      <c r="ETL554" s="178"/>
      <c r="ETM554" s="178"/>
      <c r="ETN554" s="178"/>
      <c r="ETO554" s="178"/>
      <c r="ETP554" s="178"/>
      <c r="ETQ554" s="178"/>
      <c r="ETR554" s="178"/>
      <c r="ETS554" s="178"/>
      <c r="ETT554" s="178"/>
      <c r="ETU554" s="178"/>
      <c r="ETV554" s="178"/>
      <c r="ETW554" s="178"/>
      <c r="ETX554" s="178"/>
      <c r="ETY554" s="178"/>
      <c r="ETZ554" s="178"/>
      <c r="EUA554" s="178"/>
      <c r="EUB554" s="178"/>
      <c r="EUC554" s="178"/>
      <c r="EUD554" s="178"/>
      <c r="EUE554" s="178"/>
      <c r="EUF554" s="178"/>
      <c r="EUG554" s="178"/>
      <c r="EUH554" s="178"/>
      <c r="EUI554" s="178"/>
      <c r="EUJ554" s="178"/>
      <c r="EUK554" s="178"/>
      <c r="EUL554" s="178"/>
      <c r="EUM554" s="178"/>
      <c r="EUN554" s="178"/>
      <c r="EUO554" s="178"/>
      <c r="EUP554" s="178"/>
      <c r="EUQ554" s="178"/>
      <c r="EUR554" s="178"/>
      <c r="EUS554" s="178"/>
      <c r="EUT554" s="178"/>
      <c r="EUU554" s="178"/>
      <c r="EUV554" s="178"/>
      <c r="EUW554" s="178"/>
      <c r="EUX554" s="178"/>
      <c r="EUY554" s="178"/>
      <c r="EUZ554" s="178"/>
      <c r="EVA554" s="178"/>
      <c r="EVB554" s="178"/>
      <c r="EVC554" s="178"/>
      <c r="EVD554" s="178"/>
      <c r="EVE554" s="178"/>
      <c r="EVF554" s="178"/>
      <c r="EVG554" s="178"/>
      <c r="EVH554" s="178"/>
      <c r="EVI554" s="178"/>
      <c r="EVJ554" s="178"/>
      <c r="EVK554" s="178"/>
      <c r="EVL554" s="178"/>
      <c r="EVM554" s="178"/>
      <c r="EVN554" s="178"/>
      <c r="EVO554" s="178"/>
      <c r="EVP554" s="178"/>
      <c r="EVQ554" s="178"/>
      <c r="EVR554" s="178"/>
      <c r="EVS554" s="178"/>
      <c r="EVT554" s="178"/>
      <c r="EVU554" s="178"/>
      <c r="EVV554" s="178"/>
      <c r="EVW554" s="178"/>
      <c r="EVX554" s="178"/>
      <c r="EVY554" s="178"/>
      <c r="EVZ554" s="178"/>
      <c r="EWA554" s="178"/>
      <c r="EWB554" s="178"/>
      <c r="EWC554" s="178"/>
      <c r="EWD554" s="178"/>
      <c r="EWE554" s="178"/>
      <c r="EWF554" s="178"/>
      <c r="EWG554" s="178"/>
      <c r="EWH554" s="178"/>
      <c r="EWI554" s="178"/>
      <c r="EWJ554" s="178"/>
      <c r="EWK554" s="178"/>
      <c r="EWL554" s="178"/>
      <c r="EWM554" s="178"/>
      <c r="EWN554" s="178"/>
      <c r="EWO554" s="178"/>
      <c r="EWP554" s="178"/>
      <c r="EWQ554" s="178"/>
      <c r="EWR554" s="178"/>
      <c r="EWS554" s="178"/>
      <c r="EWT554" s="178"/>
      <c r="EWU554" s="178"/>
      <c r="EWV554" s="178"/>
      <c r="EWW554" s="178"/>
      <c r="EWX554" s="178"/>
      <c r="EWY554" s="178"/>
      <c r="EWZ554" s="178"/>
      <c r="EXA554" s="178"/>
      <c r="EXB554" s="178"/>
      <c r="EXC554" s="178"/>
      <c r="EXD554" s="178"/>
      <c r="EXE554" s="178"/>
      <c r="EXF554" s="178"/>
      <c r="EXG554" s="178"/>
      <c r="EXH554" s="178"/>
      <c r="EXI554" s="178"/>
      <c r="EXJ554" s="178"/>
      <c r="EXK554" s="178"/>
      <c r="EXL554" s="178"/>
      <c r="EXM554" s="178"/>
      <c r="EXN554" s="178"/>
      <c r="EXO554" s="178"/>
      <c r="EXP554" s="178"/>
      <c r="EXQ554" s="178"/>
      <c r="EXR554" s="178"/>
      <c r="EXS554" s="178"/>
      <c r="EXT554" s="178"/>
      <c r="EXU554" s="178"/>
      <c r="EXV554" s="178"/>
      <c r="EXW554" s="178"/>
      <c r="EXX554" s="178"/>
      <c r="EXY554" s="178"/>
      <c r="EXZ554" s="178"/>
      <c r="EYA554" s="178"/>
      <c r="EYB554" s="178"/>
      <c r="EYC554" s="178"/>
      <c r="EYD554" s="178"/>
      <c r="EYE554" s="178"/>
      <c r="EYF554" s="178"/>
      <c r="EYG554" s="178"/>
      <c r="EYH554" s="178"/>
      <c r="EYI554" s="178"/>
      <c r="EYJ554" s="178"/>
      <c r="EYK554" s="178"/>
      <c r="EYL554" s="178"/>
      <c r="EYM554" s="178"/>
      <c r="EYN554" s="178"/>
      <c r="EYO554" s="178"/>
      <c r="EYP554" s="178"/>
      <c r="EYQ554" s="178"/>
      <c r="EYR554" s="178"/>
      <c r="EYS554" s="178"/>
      <c r="EYT554" s="178"/>
      <c r="EYU554" s="178"/>
      <c r="EYV554" s="178"/>
      <c r="EYW554" s="178"/>
      <c r="EYX554" s="178"/>
      <c r="EYY554" s="178"/>
      <c r="EYZ554" s="178"/>
      <c r="EZA554" s="178"/>
      <c r="EZB554" s="178"/>
      <c r="EZC554" s="178"/>
      <c r="EZD554" s="178"/>
      <c r="EZE554" s="178"/>
      <c r="EZF554" s="178"/>
      <c r="EZG554" s="178"/>
      <c r="EZH554" s="178"/>
      <c r="EZI554" s="178"/>
      <c r="EZJ554" s="178"/>
      <c r="EZK554" s="178"/>
      <c r="EZL554" s="178"/>
      <c r="EZM554" s="178"/>
      <c r="EZN554" s="178"/>
      <c r="EZO554" s="178"/>
      <c r="EZP554" s="178"/>
      <c r="EZQ554" s="178"/>
      <c r="EZR554" s="178"/>
      <c r="EZS554" s="178"/>
      <c r="EZT554" s="178"/>
      <c r="EZU554" s="178"/>
      <c r="EZV554" s="178"/>
      <c r="EZW554" s="178"/>
      <c r="EZX554" s="178"/>
      <c r="EZY554" s="178"/>
      <c r="EZZ554" s="178"/>
      <c r="FAA554" s="178"/>
      <c r="FAB554" s="178"/>
      <c r="FAC554" s="178"/>
      <c r="FAD554" s="178"/>
      <c r="FAE554" s="178"/>
      <c r="FAF554" s="178"/>
      <c r="FAG554" s="178"/>
      <c r="FAH554" s="178"/>
      <c r="FAI554" s="178"/>
      <c r="FAJ554" s="178"/>
      <c r="FAK554" s="178"/>
      <c r="FAL554" s="178"/>
      <c r="FAM554" s="178"/>
      <c r="FAN554" s="178"/>
      <c r="FAO554" s="178"/>
      <c r="FAP554" s="178"/>
      <c r="FAQ554" s="178"/>
      <c r="FAR554" s="178"/>
      <c r="FAS554" s="178"/>
      <c r="FAT554" s="178"/>
      <c r="FAU554" s="178"/>
      <c r="FAV554" s="178"/>
      <c r="FAW554" s="178"/>
      <c r="FAX554" s="178"/>
      <c r="FAY554" s="178"/>
      <c r="FAZ554" s="178"/>
      <c r="FBA554" s="178"/>
      <c r="FBB554" s="178"/>
      <c r="FBC554" s="178"/>
      <c r="FBD554" s="178"/>
      <c r="FBE554" s="178"/>
      <c r="FBF554" s="178"/>
      <c r="FBG554" s="178"/>
      <c r="FBH554" s="178"/>
      <c r="FBI554" s="178"/>
      <c r="FBJ554" s="178"/>
      <c r="FBK554" s="178"/>
      <c r="FBL554" s="178"/>
      <c r="FBM554" s="178"/>
      <c r="FBN554" s="178"/>
      <c r="FBO554" s="178"/>
      <c r="FBP554" s="178"/>
      <c r="FBQ554" s="178"/>
      <c r="FBR554" s="178"/>
      <c r="FBS554" s="178"/>
      <c r="FBT554" s="178"/>
      <c r="FBU554" s="178"/>
      <c r="FBV554" s="178"/>
      <c r="FBW554" s="178"/>
      <c r="FBX554" s="178"/>
      <c r="FBY554" s="178"/>
      <c r="FBZ554" s="178"/>
      <c r="FCA554" s="178"/>
      <c r="FCB554" s="178"/>
      <c r="FCC554" s="178"/>
      <c r="FCD554" s="178"/>
      <c r="FCE554" s="178"/>
      <c r="FCF554" s="178"/>
      <c r="FCG554" s="178"/>
      <c r="FCH554" s="178"/>
      <c r="FCI554" s="178"/>
      <c r="FCJ554" s="178"/>
      <c r="FCK554" s="178"/>
      <c r="FCL554" s="178"/>
      <c r="FCM554" s="178"/>
      <c r="FCN554" s="178"/>
      <c r="FCO554" s="178"/>
      <c r="FCP554" s="178"/>
      <c r="FCQ554" s="178"/>
      <c r="FCR554" s="178"/>
      <c r="FCS554" s="178"/>
      <c r="FCT554" s="178"/>
      <c r="FCU554" s="178"/>
      <c r="FCV554" s="178"/>
      <c r="FCW554" s="178"/>
      <c r="FCX554" s="178"/>
      <c r="FCY554" s="178"/>
      <c r="FCZ554" s="178"/>
      <c r="FDA554" s="178"/>
      <c r="FDB554" s="178"/>
      <c r="FDC554" s="178"/>
      <c r="FDD554" s="178"/>
      <c r="FDE554" s="178"/>
      <c r="FDF554" s="178"/>
      <c r="FDG554" s="178"/>
      <c r="FDH554" s="178"/>
      <c r="FDI554" s="178"/>
      <c r="FDJ554" s="178"/>
      <c r="FDK554" s="178"/>
      <c r="FDL554" s="178"/>
      <c r="FDM554" s="178"/>
      <c r="FDN554" s="178"/>
      <c r="FDO554" s="178"/>
      <c r="FDP554" s="178"/>
      <c r="FDQ554" s="178"/>
      <c r="FDR554" s="178"/>
      <c r="FDS554" s="178"/>
      <c r="FDT554" s="178"/>
      <c r="FDU554" s="178"/>
      <c r="FDV554" s="178"/>
      <c r="FDW554" s="178"/>
      <c r="FDX554" s="178"/>
      <c r="FDY554" s="178"/>
      <c r="FDZ554" s="178"/>
      <c r="FEA554" s="178"/>
      <c r="FEB554" s="178"/>
      <c r="FEC554" s="178"/>
      <c r="FED554" s="178"/>
      <c r="FEE554" s="178"/>
      <c r="FEF554" s="178"/>
      <c r="FEG554" s="178"/>
      <c r="FEH554" s="178"/>
      <c r="FEI554" s="178"/>
      <c r="FEJ554" s="178"/>
      <c r="FEK554" s="178"/>
      <c r="FEL554" s="178"/>
      <c r="FEM554" s="178"/>
      <c r="FEN554" s="178"/>
      <c r="FEO554" s="178"/>
      <c r="FEP554" s="178"/>
      <c r="FEQ554" s="178"/>
      <c r="FER554" s="178"/>
      <c r="FES554" s="178"/>
      <c r="FET554" s="178"/>
      <c r="FEU554" s="178"/>
      <c r="FEV554" s="178"/>
      <c r="FEW554" s="178"/>
      <c r="FEX554" s="178"/>
      <c r="FEY554" s="178"/>
      <c r="FEZ554" s="178"/>
      <c r="FFA554" s="178"/>
      <c r="FFB554" s="178"/>
      <c r="FFC554" s="178"/>
      <c r="FFD554" s="178"/>
      <c r="FFE554" s="178"/>
      <c r="FFF554" s="178"/>
      <c r="FFG554" s="178"/>
      <c r="FFH554" s="178"/>
      <c r="FFI554" s="178"/>
      <c r="FFJ554" s="178"/>
      <c r="FFK554" s="178"/>
      <c r="FFL554" s="178"/>
      <c r="FFM554" s="178"/>
      <c r="FFN554" s="178"/>
      <c r="FFO554" s="178"/>
      <c r="FFP554" s="178"/>
      <c r="FFQ554" s="178"/>
      <c r="FFR554" s="178"/>
      <c r="FFS554" s="178"/>
      <c r="FFT554" s="178"/>
      <c r="FFU554" s="178"/>
      <c r="FFV554" s="178"/>
      <c r="FFW554" s="178"/>
      <c r="FFX554" s="178"/>
      <c r="FFY554" s="178"/>
      <c r="FFZ554" s="178"/>
      <c r="FGA554" s="178"/>
      <c r="FGB554" s="178"/>
      <c r="FGC554" s="178"/>
      <c r="FGD554" s="178"/>
      <c r="FGE554" s="178"/>
      <c r="FGF554" s="178"/>
      <c r="FGG554" s="178"/>
      <c r="FGH554" s="178"/>
      <c r="FGI554" s="178"/>
      <c r="FGJ554" s="178"/>
      <c r="FGK554" s="178"/>
      <c r="FGL554" s="178"/>
      <c r="FGM554" s="178"/>
      <c r="FGN554" s="178"/>
      <c r="FGO554" s="178"/>
      <c r="FGP554" s="178"/>
      <c r="FGQ554" s="178"/>
      <c r="FGR554" s="178"/>
      <c r="FGS554" s="178"/>
      <c r="FGT554" s="178"/>
      <c r="FGU554" s="178"/>
      <c r="FGV554" s="178"/>
      <c r="FGW554" s="178"/>
      <c r="FGX554" s="178"/>
      <c r="FGY554" s="178"/>
      <c r="FGZ554" s="178"/>
      <c r="FHA554" s="178"/>
      <c r="FHB554" s="178"/>
      <c r="FHC554" s="178"/>
      <c r="FHD554" s="178"/>
      <c r="FHE554" s="178"/>
      <c r="FHF554" s="178"/>
      <c r="FHG554" s="178"/>
      <c r="FHH554" s="178"/>
      <c r="FHI554" s="178"/>
      <c r="FHJ554" s="178"/>
      <c r="FHK554" s="178"/>
      <c r="FHL554" s="178"/>
      <c r="FHM554" s="178"/>
      <c r="FHN554" s="178"/>
      <c r="FHO554" s="178"/>
      <c r="FHP554" s="178"/>
      <c r="FHQ554" s="178"/>
      <c r="FHR554" s="178"/>
      <c r="FHS554" s="178"/>
      <c r="FHT554" s="178"/>
      <c r="FHU554" s="178"/>
      <c r="FHV554" s="178"/>
      <c r="FHW554" s="178"/>
      <c r="FHX554" s="178"/>
      <c r="FHY554" s="178"/>
      <c r="FHZ554" s="178"/>
      <c r="FIA554" s="178"/>
      <c r="FIB554" s="178"/>
      <c r="FIC554" s="178"/>
      <c r="FID554" s="178"/>
      <c r="FIE554" s="178"/>
      <c r="FIF554" s="178"/>
      <c r="FIG554" s="178"/>
      <c r="FIH554" s="178"/>
      <c r="FII554" s="178"/>
      <c r="FIJ554" s="178"/>
      <c r="FIK554" s="178"/>
      <c r="FIL554" s="178"/>
      <c r="FIM554" s="178"/>
      <c r="FIN554" s="178"/>
      <c r="FIO554" s="178"/>
      <c r="FIP554" s="178"/>
      <c r="FIQ554" s="178"/>
      <c r="FIR554" s="178"/>
      <c r="FIS554" s="178"/>
      <c r="FIT554" s="178"/>
      <c r="FIU554" s="178"/>
      <c r="FIV554" s="178"/>
      <c r="FIW554" s="178"/>
      <c r="FIX554" s="178"/>
      <c r="FIY554" s="178"/>
      <c r="FIZ554" s="178"/>
      <c r="FJA554" s="178"/>
      <c r="FJB554" s="178"/>
      <c r="FJC554" s="178"/>
      <c r="FJD554" s="178"/>
      <c r="FJE554" s="178"/>
      <c r="FJF554" s="178"/>
      <c r="FJG554" s="178"/>
      <c r="FJH554" s="178"/>
      <c r="FJI554" s="178"/>
      <c r="FJJ554" s="178"/>
      <c r="FJK554" s="178"/>
      <c r="FJL554" s="178"/>
      <c r="FJM554" s="178"/>
      <c r="FJN554" s="178"/>
      <c r="FJO554" s="178"/>
      <c r="FJP554" s="178"/>
      <c r="FJQ554" s="178"/>
      <c r="FJR554" s="178"/>
      <c r="FJS554" s="178"/>
      <c r="FJT554" s="178"/>
      <c r="FJU554" s="178"/>
      <c r="FJV554" s="178"/>
      <c r="FJW554" s="178"/>
      <c r="FJX554" s="178"/>
      <c r="FJY554" s="178"/>
      <c r="FJZ554" s="178"/>
      <c r="FKA554" s="178"/>
      <c r="FKB554" s="178"/>
      <c r="FKC554" s="178"/>
      <c r="FKD554" s="178"/>
      <c r="FKE554" s="178"/>
      <c r="FKF554" s="178"/>
      <c r="FKG554" s="178"/>
      <c r="FKH554" s="178"/>
      <c r="FKI554" s="178"/>
      <c r="FKJ554" s="178"/>
      <c r="FKK554" s="178"/>
      <c r="FKL554" s="178"/>
      <c r="FKM554" s="178"/>
      <c r="FKN554" s="178"/>
      <c r="FKO554" s="178"/>
      <c r="FKP554" s="178"/>
      <c r="FKQ554" s="178"/>
      <c r="FKR554" s="178"/>
      <c r="FKS554" s="178"/>
      <c r="FKT554" s="178"/>
      <c r="FKU554" s="178"/>
      <c r="FKV554" s="178"/>
      <c r="FKW554" s="178"/>
      <c r="FKX554" s="178"/>
      <c r="FKY554" s="178"/>
      <c r="FKZ554" s="178"/>
      <c r="FLA554" s="178"/>
      <c r="FLB554" s="178"/>
      <c r="FLC554" s="178"/>
      <c r="FLD554" s="178"/>
      <c r="FLE554" s="178"/>
      <c r="FLF554" s="178"/>
      <c r="FLG554" s="178"/>
      <c r="FLH554" s="178"/>
      <c r="FLI554" s="178"/>
      <c r="FLJ554" s="178"/>
      <c r="FLK554" s="178"/>
      <c r="FLL554" s="178"/>
      <c r="FLM554" s="178"/>
      <c r="FLN554" s="178"/>
      <c r="FLO554" s="178"/>
      <c r="FLP554" s="178"/>
      <c r="FLQ554" s="178"/>
      <c r="FLR554" s="178"/>
      <c r="FLS554" s="178"/>
      <c r="FLT554" s="178"/>
      <c r="FLU554" s="178"/>
      <c r="FLV554" s="178"/>
      <c r="FLW554" s="178"/>
      <c r="FLX554" s="178"/>
      <c r="FLY554" s="178"/>
      <c r="FLZ554" s="178"/>
      <c r="FMA554" s="178"/>
      <c r="FMB554" s="178"/>
      <c r="FMC554" s="178"/>
      <c r="FMD554" s="178"/>
      <c r="FME554" s="178"/>
      <c r="FMF554" s="178"/>
      <c r="FMG554" s="178"/>
      <c r="FMH554" s="178"/>
      <c r="FMI554" s="178"/>
      <c r="FMJ554" s="178"/>
      <c r="FMK554" s="178"/>
      <c r="FML554" s="178"/>
      <c r="FMM554" s="178"/>
      <c r="FMN554" s="178"/>
      <c r="FMO554" s="178"/>
      <c r="FMP554" s="178"/>
      <c r="FMQ554" s="178"/>
      <c r="FMR554" s="178"/>
      <c r="FMS554" s="178"/>
      <c r="FMT554" s="178"/>
      <c r="FMU554" s="178"/>
      <c r="FMV554" s="178"/>
      <c r="FMW554" s="178"/>
      <c r="FMX554" s="178"/>
      <c r="FMY554" s="178"/>
      <c r="FMZ554" s="178"/>
      <c r="FNA554" s="178"/>
      <c r="FNB554" s="178"/>
      <c r="FNC554" s="178"/>
      <c r="FND554" s="178"/>
      <c r="FNE554" s="178"/>
      <c r="FNF554" s="178"/>
      <c r="FNG554" s="178"/>
      <c r="FNH554" s="178"/>
      <c r="FNI554" s="178"/>
      <c r="FNJ554" s="178"/>
      <c r="FNK554" s="178"/>
      <c r="FNL554" s="178"/>
      <c r="FNM554" s="178"/>
      <c r="FNN554" s="178"/>
      <c r="FNO554" s="178"/>
      <c r="FNP554" s="178"/>
      <c r="FNQ554" s="178"/>
      <c r="FNR554" s="178"/>
      <c r="FNS554" s="178"/>
      <c r="FNT554" s="178"/>
      <c r="FNU554" s="178"/>
      <c r="FNV554" s="178"/>
      <c r="FNW554" s="178"/>
      <c r="FNX554" s="178"/>
      <c r="FNY554" s="178"/>
      <c r="FNZ554" s="178"/>
      <c r="FOA554" s="178"/>
      <c r="FOB554" s="178"/>
      <c r="FOC554" s="178"/>
      <c r="FOD554" s="178"/>
      <c r="FOE554" s="178"/>
      <c r="FOF554" s="178"/>
      <c r="FOG554" s="178"/>
      <c r="FOH554" s="178"/>
      <c r="FOI554" s="178"/>
      <c r="FOJ554" s="178"/>
      <c r="FOK554" s="178"/>
      <c r="FOL554" s="178"/>
      <c r="FOM554" s="178"/>
      <c r="FON554" s="178"/>
      <c r="FOO554" s="178"/>
      <c r="FOP554" s="178"/>
      <c r="FOQ554" s="178"/>
      <c r="FOR554" s="178"/>
      <c r="FOS554" s="178"/>
      <c r="FOT554" s="178"/>
      <c r="FOU554" s="178"/>
      <c r="FOV554" s="178"/>
      <c r="FOW554" s="178"/>
      <c r="FOX554" s="178"/>
      <c r="FOY554" s="178"/>
      <c r="FOZ554" s="178"/>
      <c r="FPA554" s="178"/>
      <c r="FPB554" s="178"/>
      <c r="FPC554" s="178"/>
      <c r="FPD554" s="178"/>
      <c r="FPE554" s="178"/>
      <c r="FPF554" s="178"/>
      <c r="FPG554" s="178"/>
      <c r="FPH554" s="178"/>
      <c r="FPI554" s="178"/>
      <c r="FPJ554" s="178"/>
      <c r="FPK554" s="178"/>
      <c r="FPL554" s="178"/>
      <c r="FPM554" s="178"/>
      <c r="FPN554" s="178"/>
      <c r="FPO554" s="178"/>
      <c r="FPP554" s="178"/>
      <c r="FPQ554" s="178"/>
      <c r="FPR554" s="178"/>
      <c r="FPS554" s="178"/>
      <c r="FPT554" s="178"/>
      <c r="FPU554" s="178"/>
      <c r="FPV554" s="178"/>
      <c r="FPW554" s="178"/>
      <c r="FPX554" s="178"/>
      <c r="FPY554" s="178"/>
      <c r="FPZ554" s="178"/>
      <c r="FQA554" s="178"/>
      <c r="FQB554" s="178"/>
      <c r="FQC554" s="178"/>
      <c r="FQD554" s="178"/>
      <c r="FQE554" s="178"/>
      <c r="FQF554" s="178"/>
      <c r="FQG554" s="178"/>
      <c r="FQH554" s="178"/>
      <c r="FQI554" s="178"/>
      <c r="FQJ554" s="178"/>
      <c r="FQK554" s="178"/>
      <c r="FQL554" s="178"/>
      <c r="FQM554" s="178"/>
      <c r="FQN554" s="178"/>
      <c r="FQO554" s="178"/>
      <c r="FQP554" s="178"/>
      <c r="FQQ554" s="178"/>
      <c r="FQR554" s="178"/>
      <c r="FQS554" s="178"/>
      <c r="FQT554" s="178"/>
      <c r="FQU554" s="178"/>
      <c r="FQV554" s="178"/>
      <c r="FQW554" s="178"/>
      <c r="FQX554" s="178"/>
      <c r="FQY554" s="178"/>
      <c r="FQZ554" s="178"/>
      <c r="FRA554" s="178"/>
      <c r="FRB554" s="178"/>
      <c r="FRC554" s="178"/>
      <c r="FRD554" s="178"/>
      <c r="FRE554" s="178"/>
      <c r="FRF554" s="178"/>
      <c r="FRG554" s="178"/>
      <c r="FRH554" s="178"/>
      <c r="FRI554" s="178"/>
      <c r="FRJ554" s="178"/>
      <c r="FRK554" s="178"/>
      <c r="FRL554" s="178"/>
      <c r="FRM554" s="178"/>
      <c r="FRN554" s="178"/>
      <c r="FRO554" s="178"/>
      <c r="FRP554" s="178"/>
      <c r="FRQ554" s="178"/>
      <c r="FRR554" s="178"/>
      <c r="FRS554" s="178"/>
      <c r="FRT554" s="178"/>
      <c r="FRU554" s="178"/>
      <c r="FRV554" s="178"/>
      <c r="FRW554" s="178"/>
      <c r="FRX554" s="178"/>
      <c r="FRY554" s="178"/>
      <c r="FRZ554" s="178"/>
      <c r="FSA554" s="178"/>
      <c r="FSB554" s="178"/>
      <c r="FSC554" s="178"/>
      <c r="FSD554" s="178"/>
      <c r="FSE554" s="178"/>
      <c r="FSF554" s="178"/>
      <c r="FSG554" s="178"/>
      <c r="FSH554" s="178"/>
      <c r="FSI554" s="178"/>
      <c r="FSJ554" s="178"/>
      <c r="FSK554" s="178"/>
      <c r="FSL554" s="178"/>
      <c r="FSM554" s="178"/>
      <c r="FSN554" s="178"/>
      <c r="FSO554" s="178"/>
      <c r="FSP554" s="178"/>
      <c r="FSQ554" s="178"/>
      <c r="FSR554" s="178"/>
      <c r="FSS554" s="178"/>
      <c r="FST554" s="178"/>
      <c r="FSU554" s="178"/>
      <c r="FSV554" s="178"/>
      <c r="FSW554" s="178"/>
      <c r="FSX554" s="178"/>
      <c r="FSY554" s="178"/>
      <c r="FSZ554" s="178"/>
      <c r="FTA554" s="178"/>
      <c r="FTB554" s="178"/>
      <c r="FTC554" s="178"/>
      <c r="FTD554" s="178"/>
      <c r="FTE554" s="178"/>
      <c r="FTF554" s="178"/>
      <c r="FTG554" s="178"/>
      <c r="FTH554" s="178"/>
      <c r="FTI554" s="178"/>
      <c r="FTJ554" s="178"/>
      <c r="FTK554" s="178"/>
      <c r="FTL554" s="178"/>
      <c r="FTM554" s="178"/>
      <c r="FTN554" s="178"/>
      <c r="FTO554" s="178"/>
      <c r="FTP554" s="178"/>
      <c r="FTQ554" s="178"/>
      <c r="FTR554" s="178"/>
      <c r="FTS554" s="178"/>
      <c r="FTT554" s="178"/>
      <c r="FTU554" s="178"/>
      <c r="FTV554" s="178"/>
      <c r="FTW554" s="178"/>
      <c r="FTX554" s="178"/>
      <c r="FTY554" s="178"/>
      <c r="FTZ554" s="178"/>
      <c r="FUA554" s="178"/>
      <c r="FUB554" s="178"/>
      <c r="FUC554" s="178"/>
      <c r="FUD554" s="178"/>
      <c r="FUE554" s="178"/>
      <c r="FUF554" s="178"/>
      <c r="FUG554" s="178"/>
      <c r="FUH554" s="178"/>
      <c r="FUI554" s="178"/>
      <c r="FUJ554" s="178"/>
      <c r="FUK554" s="178"/>
      <c r="FUL554" s="178"/>
      <c r="FUM554" s="178"/>
      <c r="FUN554" s="178"/>
      <c r="FUO554" s="178"/>
      <c r="FUP554" s="178"/>
      <c r="FUQ554" s="178"/>
      <c r="FUR554" s="178"/>
      <c r="FUS554" s="178"/>
      <c r="FUT554" s="178"/>
      <c r="FUU554" s="178"/>
      <c r="FUV554" s="178"/>
      <c r="FUW554" s="178"/>
      <c r="FUX554" s="178"/>
      <c r="FUY554" s="178"/>
      <c r="FUZ554" s="178"/>
      <c r="FVA554" s="178"/>
      <c r="FVB554" s="178"/>
      <c r="FVC554" s="178"/>
      <c r="FVD554" s="178"/>
      <c r="FVE554" s="178"/>
      <c r="FVF554" s="178"/>
      <c r="FVG554" s="178"/>
      <c r="FVH554" s="178"/>
      <c r="FVI554" s="178"/>
      <c r="FVJ554" s="178"/>
      <c r="FVK554" s="178"/>
      <c r="FVL554" s="178"/>
      <c r="FVM554" s="178"/>
      <c r="FVN554" s="178"/>
      <c r="FVO554" s="178"/>
      <c r="FVP554" s="178"/>
      <c r="FVQ554" s="178"/>
      <c r="FVR554" s="178"/>
      <c r="FVS554" s="178"/>
      <c r="FVT554" s="178"/>
      <c r="FVU554" s="178"/>
      <c r="FVV554" s="178"/>
      <c r="FVW554" s="178"/>
      <c r="FVX554" s="178"/>
      <c r="FVY554" s="178"/>
      <c r="FVZ554" s="178"/>
      <c r="FWA554" s="178"/>
      <c r="FWB554" s="178"/>
      <c r="FWC554" s="178"/>
      <c r="FWD554" s="178"/>
      <c r="FWE554" s="178"/>
      <c r="FWF554" s="178"/>
      <c r="FWG554" s="178"/>
      <c r="FWH554" s="178"/>
      <c r="FWI554" s="178"/>
      <c r="FWJ554" s="178"/>
      <c r="FWK554" s="178"/>
      <c r="FWL554" s="178"/>
      <c r="FWM554" s="178"/>
      <c r="FWN554" s="178"/>
      <c r="FWO554" s="178"/>
      <c r="FWP554" s="178"/>
      <c r="FWQ554" s="178"/>
      <c r="FWR554" s="178"/>
      <c r="FWS554" s="178"/>
      <c r="FWT554" s="178"/>
      <c r="FWU554" s="178"/>
      <c r="FWV554" s="178"/>
      <c r="FWW554" s="178"/>
      <c r="FWX554" s="178"/>
      <c r="FWY554" s="178"/>
      <c r="FWZ554" s="178"/>
      <c r="FXA554" s="178"/>
      <c r="FXB554" s="178"/>
      <c r="FXC554" s="178"/>
      <c r="FXD554" s="178"/>
      <c r="FXE554" s="178"/>
      <c r="FXF554" s="178"/>
      <c r="FXG554" s="178"/>
      <c r="FXH554" s="178"/>
      <c r="FXI554" s="178"/>
      <c r="FXJ554" s="178"/>
      <c r="FXK554" s="178"/>
      <c r="FXL554" s="178"/>
      <c r="FXM554" s="178"/>
      <c r="FXN554" s="178"/>
      <c r="FXO554" s="178"/>
      <c r="FXP554" s="178"/>
      <c r="FXQ554" s="178"/>
      <c r="FXR554" s="178"/>
      <c r="FXS554" s="178"/>
      <c r="FXT554" s="178"/>
      <c r="FXU554" s="178"/>
      <c r="FXV554" s="178"/>
      <c r="FXW554" s="178"/>
      <c r="FXX554" s="178"/>
      <c r="FXY554" s="178"/>
      <c r="FXZ554" s="178"/>
      <c r="FYA554" s="178"/>
      <c r="FYB554" s="178"/>
      <c r="FYC554" s="178"/>
      <c r="FYD554" s="178"/>
      <c r="FYE554" s="178"/>
      <c r="FYF554" s="178"/>
      <c r="FYG554" s="178"/>
      <c r="FYH554" s="178"/>
      <c r="FYI554" s="178"/>
      <c r="FYJ554" s="178"/>
      <c r="FYK554" s="178"/>
      <c r="FYL554" s="178"/>
      <c r="FYM554" s="178"/>
      <c r="FYN554" s="178"/>
      <c r="FYO554" s="178"/>
      <c r="FYP554" s="178"/>
      <c r="FYQ554" s="178"/>
      <c r="FYR554" s="178"/>
      <c r="FYS554" s="178"/>
      <c r="FYT554" s="178"/>
      <c r="FYU554" s="178"/>
      <c r="FYV554" s="178"/>
      <c r="FYW554" s="178"/>
      <c r="FYX554" s="178"/>
      <c r="FYY554" s="178"/>
      <c r="FYZ554" s="178"/>
      <c r="FZA554" s="178"/>
      <c r="FZB554" s="178"/>
      <c r="FZC554" s="178"/>
      <c r="FZD554" s="178"/>
      <c r="FZE554" s="178"/>
      <c r="FZF554" s="178"/>
      <c r="FZG554" s="178"/>
      <c r="FZH554" s="178"/>
      <c r="FZI554" s="178"/>
      <c r="FZJ554" s="178"/>
      <c r="FZK554" s="178"/>
      <c r="FZL554" s="178"/>
      <c r="FZM554" s="178"/>
      <c r="FZN554" s="178"/>
      <c r="FZO554" s="178"/>
      <c r="FZP554" s="178"/>
      <c r="FZQ554" s="178"/>
      <c r="FZR554" s="178"/>
      <c r="FZS554" s="178"/>
      <c r="FZT554" s="178"/>
      <c r="FZU554" s="178"/>
      <c r="FZV554" s="178"/>
      <c r="FZW554" s="178"/>
      <c r="FZX554" s="178"/>
      <c r="FZY554" s="178"/>
      <c r="FZZ554" s="178"/>
      <c r="GAA554" s="178"/>
      <c r="GAB554" s="178"/>
      <c r="GAC554" s="178"/>
      <c r="GAD554" s="178"/>
      <c r="GAE554" s="178"/>
      <c r="GAF554" s="178"/>
      <c r="GAG554" s="178"/>
      <c r="GAH554" s="178"/>
      <c r="GAI554" s="178"/>
      <c r="GAJ554" s="178"/>
      <c r="GAK554" s="178"/>
      <c r="GAL554" s="178"/>
      <c r="GAM554" s="178"/>
      <c r="GAN554" s="178"/>
      <c r="GAO554" s="178"/>
      <c r="GAP554" s="178"/>
      <c r="GAQ554" s="178"/>
      <c r="GAR554" s="178"/>
      <c r="GAS554" s="178"/>
      <c r="GAT554" s="178"/>
      <c r="GAU554" s="178"/>
      <c r="GAV554" s="178"/>
      <c r="GAW554" s="178"/>
      <c r="GAX554" s="178"/>
      <c r="GAY554" s="178"/>
      <c r="GAZ554" s="178"/>
      <c r="GBA554" s="178"/>
      <c r="GBB554" s="178"/>
      <c r="GBC554" s="178"/>
      <c r="GBD554" s="178"/>
      <c r="GBE554" s="178"/>
      <c r="GBF554" s="178"/>
      <c r="GBG554" s="178"/>
      <c r="GBH554" s="178"/>
      <c r="GBI554" s="178"/>
      <c r="GBJ554" s="178"/>
      <c r="GBK554" s="178"/>
      <c r="GBL554" s="178"/>
      <c r="GBM554" s="178"/>
      <c r="GBN554" s="178"/>
      <c r="GBO554" s="178"/>
      <c r="GBP554" s="178"/>
      <c r="GBQ554" s="178"/>
      <c r="GBR554" s="178"/>
      <c r="GBS554" s="178"/>
      <c r="GBT554" s="178"/>
      <c r="GBU554" s="178"/>
      <c r="GBV554" s="178"/>
      <c r="GBW554" s="178"/>
      <c r="GBX554" s="178"/>
      <c r="GBY554" s="178"/>
      <c r="GBZ554" s="178"/>
      <c r="GCA554" s="178"/>
      <c r="GCB554" s="178"/>
      <c r="GCC554" s="178"/>
      <c r="GCD554" s="178"/>
      <c r="GCE554" s="178"/>
      <c r="GCF554" s="178"/>
      <c r="GCG554" s="178"/>
      <c r="GCH554" s="178"/>
      <c r="GCI554" s="178"/>
      <c r="GCJ554" s="178"/>
      <c r="GCK554" s="178"/>
      <c r="GCL554" s="178"/>
      <c r="GCM554" s="178"/>
      <c r="GCN554" s="178"/>
      <c r="GCO554" s="178"/>
      <c r="GCP554" s="178"/>
      <c r="GCQ554" s="178"/>
      <c r="GCR554" s="178"/>
      <c r="GCS554" s="178"/>
      <c r="GCT554" s="178"/>
      <c r="GCU554" s="178"/>
      <c r="GCV554" s="178"/>
      <c r="GCW554" s="178"/>
      <c r="GCX554" s="178"/>
      <c r="GCY554" s="178"/>
      <c r="GCZ554" s="178"/>
      <c r="GDA554" s="178"/>
      <c r="GDB554" s="178"/>
      <c r="GDC554" s="178"/>
      <c r="GDD554" s="178"/>
      <c r="GDE554" s="178"/>
      <c r="GDF554" s="178"/>
      <c r="GDG554" s="178"/>
      <c r="GDH554" s="178"/>
      <c r="GDI554" s="178"/>
      <c r="GDJ554" s="178"/>
      <c r="GDK554" s="178"/>
      <c r="GDL554" s="178"/>
      <c r="GDM554" s="178"/>
      <c r="GDN554" s="178"/>
      <c r="GDO554" s="178"/>
      <c r="GDP554" s="178"/>
      <c r="GDQ554" s="178"/>
      <c r="GDR554" s="178"/>
      <c r="GDS554" s="178"/>
      <c r="GDT554" s="178"/>
      <c r="GDU554" s="178"/>
      <c r="GDV554" s="178"/>
      <c r="GDW554" s="178"/>
      <c r="GDX554" s="178"/>
      <c r="GDY554" s="178"/>
      <c r="GDZ554" s="178"/>
      <c r="GEA554" s="178"/>
      <c r="GEB554" s="178"/>
      <c r="GEC554" s="178"/>
      <c r="GED554" s="178"/>
      <c r="GEE554" s="178"/>
      <c r="GEF554" s="178"/>
      <c r="GEG554" s="178"/>
      <c r="GEH554" s="178"/>
      <c r="GEI554" s="178"/>
      <c r="GEJ554" s="178"/>
      <c r="GEK554" s="178"/>
      <c r="GEL554" s="178"/>
      <c r="GEM554" s="178"/>
      <c r="GEN554" s="178"/>
      <c r="GEO554" s="178"/>
      <c r="GEP554" s="178"/>
      <c r="GEQ554" s="178"/>
      <c r="GER554" s="178"/>
      <c r="GES554" s="178"/>
      <c r="GET554" s="178"/>
      <c r="GEU554" s="178"/>
      <c r="GEV554" s="178"/>
      <c r="GEW554" s="178"/>
      <c r="GEX554" s="178"/>
      <c r="GEY554" s="178"/>
      <c r="GEZ554" s="178"/>
      <c r="GFA554" s="178"/>
      <c r="GFB554" s="178"/>
      <c r="GFC554" s="178"/>
      <c r="GFD554" s="178"/>
      <c r="GFE554" s="178"/>
      <c r="GFF554" s="178"/>
      <c r="GFG554" s="178"/>
      <c r="GFH554" s="178"/>
      <c r="GFI554" s="178"/>
      <c r="GFJ554" s="178"/>
      <c r="GFK554" s="178"/>
      <c r="GFL554" s="178"/>
      <c r="GFM554" s="178"/>
      <c r="GFN554" s="178"/>
      <c r="GFO554" s="178"/>
      <c r="GFP554" s="178"/>
      <c r="GFQ554" s="178"/>
      <c r="GFR554" s="178"/>
      <c r="GFS554" s="178"/>
      <c r="GFT554" s="178"/>
      <c r="GFU554" s="178"/>
      <c r="GFV554" s="178"/>
      <c r="GFW554" s="178"/>
      <c r="GFX554" s="178"/>
      <c r="GFY554" s="178"/>
      <c r="GFZ554" s="178"/>
      <c r="GGA554" s="178"/>
      <c r="GGB554" s="178"/>
      <c r="GGC554" s="178"/>
      <c r="GGD554" s="178"/>
      <c r="GGE554" s="178"/>
      <c r="GGF554" s="178"/>
      <c r="GGG554" s="178"/>
      <c r="GGH554" s="178"/>
      <c r="GGI554" s="178"/>
      <c r="GGJ554" s="178"/>
      <c r="GGK554" s="178"/>
      <c r="GGL554" s="178"/>
      <c r="GGM554" s="178"/>
      <c r="GGN554" s="178"/>
      <c r="GGO554" s="178"/>
      <c r="GGP554" s="178"/>
      <c r="GGQ554" s="178"/>
      <c r="GGR554" s="178"/>
      <c r="GGS554" s="178"/>
      <c r="GGT554" s="178"/>
      <c r="GGU554" s="178"/>
      <c r="GGV554" s="178"/>
      <c r="GGW554" s="178"/>
      <c r="GGX554" s="178"/>
      <c r="GGY554" s="178"/>
      <c r="GGZ554" s="178"/>
      <c r="GHA554" s="178"/>
      <c r="GHB554" s="178"/>
      <c r="GHC554" s="178"/>
      <c r="GHD554" s="178"/>
      <c r="GHE554" s="178"/>
      <c r="GHF554" s="178"/>
      <c r="GHG554" s="178"/>
      <c r="GHH554" s="178"/>
      <c r="GHI554" s="178"/>
      <c r="GHJ554" s="178"/>
      <c r="GHK554" s="178"/>
      <c r="GHL554" s="178"/>
      <c r="GHM554" s="178"/>
      <c r="GHN554" s="178"/>
      <c r="GHO554" s="178"/>
      <c r="GHP554" s="178"/>
      <c r="GHQ554" s="178"/>
      <c r="GHR554" s="178"/>
      <c r="GHS554" s="178"/>
      <c r="GHT554" s="178"/>
      <c r="GHU554" s="178"/>
      <c r="GHV554" s="178"/>
      <c r="GHW554" s="178"/>
      <c r="GHX554" s="178"/>
      <c r="GHY554" s="178"/>
      <c r="GHZ554" s="178"/>
      <c r="GIA554" s="178"/>
      <c r="GIB554" s="178"/>
      <c r="GIC554" s="178"/>
      <c r="GID554" s="178"/>
      <c r="GIE554" s="178"/>
      <c r="GIF554" s="178"/>
      <c r="GIG554" s="178"/>
      <c r="GIH554" s="178"/>
      <c r="GII554" s="178"/>
      <c r="GIJ554" s="178"/>
      <c r="GIK554" s="178"/>
      <c r="GIL554" s="178"/>
      <c r="GIM554" s="178"/>
      <c r="GIN554" s="178"/>
      <c r="GIO554" s="178"/>
      <c r="GIP554" s="178"/>
      <c r="GIQ554" s="178"/>
      <c r="GIR554" s="178"/>
      <c r="GIS554" s="178"/>
      <c r="GIT554" s="178"/>
      <c r="GIU554" s="178"/>
      <c r="GIV554" s="178"/>
      <c r="GIW554" s="178"/>
      <c r="GIX554" s="178"/>
      <c r="GIY554" s="178"/>
      <c r="GIZ554" s="178"/>
      <c r="GJA554" s="178"/>
      <c r="GJB554" s="178"/>
      <c r="GJC554" s="178"/>
      <c r="GJD554" s="178"/>
      <c r="GJE554" s="178"/>
      <c r="GJF554" s="178"/>
      <c r="GJG554" s="178"/>
      <c r="GJH554" s="178"/>
      <c r="GJI554" s="178"/>
      <c r="GJJ554" s="178"/>
      <c r="GJK554" s="178"/>
      <c r="GJL554" s="178"/>
      <c r="GJM554" s="178"/>
      <c r="GJN554" s="178"/>
      <c r="GJO554" s="178"/>
      <c r="GJP554" s="178"/>
      <c r="GJQ554" s="178"/>
      <c r="GJR554" s="178"/>
      <c r="GJS554" s="178"/>
      <c r="GJT554" s="178"/>
      <c r="GJU554" s="178"/>
      <c r="GJV554" s="178"/>
      <c r="GJW554" s="178"/>
      <c r="GJX554" s="178"/>
      <c r="GJY554" s="178"/>
      <c r="GJZ554" s="178"/>
      <c r="GKA554" s="178"/>
      <c r="GKB554" s="178"/>
      <c r="GKC554" s="178"/>
      <c r="GKD554" s="178"/>
      <c r="GKE554" s="178"/>
      <c r="GKF554" s="178"/>
      <c r="GKG554" s="178"/>
      <c r="GKH554" s="178"/>
      <c r="GKI554" s="178"/>
      <c r="GKJ554" s="178"/>
      <c r="GKK554" s="178"/>
      <c r="GKL554" s="178"/>
      <c r="GKM554" s="178"/>
      <c r="GKN554" s="178"/>
      <c r="GKO554" s="178"/>
      <c r="GKP554" s="178"/>
      <c r="GKQ554" s="178"/>
      <c r="GKR554" s="178"/>
      <c r="GKS554" s="178"/>
      <c r="GKT554" s="178"/>
      <c r="GKU554" s="178"/>
      <c r="GKV554" s="178"/>
      <c r="GKW554" s="178"/>
      <c r="GKX554" s="178"/>
      <c r="GKY554" s="178"/>
      <c r="GKZ554" s="178"/>
      <c r="GLA554" s="178"/>
      <c r="GLB554" s="178"/>
      <c r="GLC554" s="178"/>
      <c r="GLD554" s="178"/>
      <c r="GLE554" s="178"/>
      <c r="GLF554" s="178"/>
      <c r="GLG554" s="178"/>
      <c r="GLH554" s="178"/>
      <c r="GLI554" s="178"/>
      <c r="GLJ554" s="178"/>
      <c r="GLK554" s="178"/>
      <c r="GLL554" s="178"/>
      <c r="GLM554" s="178"/>
      <c r="GLN554" s="178"/>
      <c r="GLO554" s="178"/>
      <c r="GLP554" s="178"/>
      <c r="GLQ554" s="178"/>
      <c r="GLR554" s="178"/>
      <c r="GLS554" s="178"/>
      <c r="GLT554" s="178"/>
      <c r="GLU554" s="178"/>
      <c r="GLV554" s="178"/>
      <c r="GLW554" s="178"/>
      <c r="GLX554" s="178"/>
      <c r="GLY554" s="178"/>
      <c r="GLZ554" s="178"/>
      <c r="GMA554" s="178"/>
      <c r="GMB554" s="178"/>
      <c r="GMC554" s="178"/>
      <c r="GMD554" s="178"/>
      <c r="GME554" s="178"/>
      <c r="GMF554" s="178"/>
      <c r="GMG554" s="178"/>
      <c r="GMH554" s="178"/>
      <c r="GMI554" s="178"/>
      <c r="GMJ554" s="178"/>
      <c r="GMK554" s="178"/>
      <c r="GML554" s="178"/>
      <c r="GMM554" s="178"/>
      <c r="GMN554" s="178"/>
      <c r="GMO554" s="178"/>
      <c r="GMP554" s="178"/>
      <c r="GMQ554" s="178"/>
      <c r="GMR554" s="178"/>
      <c r="GMS554" s="178"/>
      <c r="GMT554" s="178"/>
      <c r="GMU554" s="178"/>
      <c r="GMV554" s="178"/>
      <c r="GMW554" s="178"/>
      <c r="GMX554" s="178"/>
      <c r="GMY554" s="178"/>
      <c r="GMZ554" s="178"/>
      <c r="GNA554" s="178"/>
      <c r="GNB554" s="178"/>
      <c r="GNC554" s="178"/>
      <c r="GND554" s="178"/>
      <c r="GNE554" s="178"/>
      <c r="GNF554" s="178"/>
      <c r="GNG554" s="178"/>
      <c r="GNH554" s="178"/>
      <c r="GNI554" s="178"/>
      <c r="GNJ554" s="178"/>
      <c r="GNK554" s="178"/>
      <c r="GNL554" s="178"/>
      <c r="GNM554" s="178"/>
      <c r="GNN554" s="178"/>
      <c r="GNO554" s="178"/>
      <c r="GNP554" s="178"/>
      <c r="GNQ554" s="178"/>
      <c r="GNR554" s="178"/>
      <c r="GNS554" s="178"/>
      <c r="GNT554" s="178"/>
      <c r="GNU554" s="178"/>
      <c r="GNV554" s="178"/>
      <c r="GNW554" s="178"/>
      <c r="GNX554" s="178"/>
      <c r="GNY554" s="178"/>
      <c r="GNZ554" s="178"/>
      <c r="GOA554" s="178"/>
      <c r="GOB554" s="178"/>
      <c r="GOC554" s="178"/>
      <c r="GOD554" s="178"/>
      <c r="GOE554" s="178"/>
      <c r="GOF554" s="178"/>
      <c r="GOG554" s="178"/>
      <c r="GOH554" s="178"/>
      <c r="GOI554" s="178"/>
      <c r="GOJ554" s="178"/>
      <c r="GOK554" s="178"/>
      <c r="GOL554" s="178"/>
      <c r="GOM554" s="178"/>
      <c r="GON554" s="178"/>
      <c r="GOO554" s="178"/>
      <c r="GOP554" s="178"/>
      <c r="GOQ554" s="178"/>
      <c r="GOR554" s="178"/>
      <c r="GOS554" s="178"/>
      <c r="GOT554" s="178"/>
      <c r="GOU554" s="178"/>
      <c r="GOV554" s="178"/>
      <c r="GOW554" s="178"/>
      <c r="GOX554" s="178"/>
      <c r="GOY554" s="178"/>
      <c r="GOZ554" s="178"/>
      <c r="GPA554" s="178"/>
      <c r="GPB554" s="178"/>
      <c r="GPC554" s="178"/>
      <c r="GPD554" s="178"/>
      <c r="GPE554" s="178"/>
      <c r="GPF554" s="178"/>
      <c r="GPG554" s="178"/>
      <c r="GPH554" s="178"/>
      <c r="GPI554" s="178"/>
      <c r="GPJ554" s="178"/>
      <c r="GPK554" s="178"/>
      <c r="GPL554" s="178"/>
      <c r="GPM554" s="178"/>
      <c r="GPN554" s="178"/>
      <c r="GPO554" s="178"/>
      <c r="GPP554" s="178"/>
      <c r="GPQ554" s="178"/>
      <c r="GPR554" s="178"/>
      <c r="GPS554" s="178"/>
      <c r="GPT554" s="178"/>
      <c r="GPU554" s="178"/>
      <c r="GPV554" s="178"/>
      <c r="GPW554" s="178"/>
      <c r="GPX554" s="178"/>
      <c r="GPY554" s="178"/>
      <c r="GPZ554" s="178"/>
      <c r="GQA554" s="178"/>
      <c r="GQB554" s="178"/>
      <c r="GQC554" s="178"/>
      <c r="GQD554" s="178"/>
      <c r="GQE554" s="178"/>
      <c r="GQF554" s="178"/>
      <c r="GQG554" s="178"/>
      <c r="GQH554" s="178"/>
      <c r="GQI554" s="178"/>
      <c r="GQJ554" s="178"/>
      <c r="GQK554" s="178"/>
      <c r="GQL554" s="178"/>
      <c r="GQM554" s="178"/>
      <c r="GQN554" s="178"/>
      <c r="GQO554" s="178"/>
      <c r="GQP554" s="178"/>
      <c r="GQQ554" s="178"/>
      <c r="GQR554" s="178"/>
      <c r="GQS554" s="178"/>
      <c r="GQT554" s="178"/>
      <c r="GQU554" s="178"/>
      <c r="GQV554" s="178"/>
      <c r="GQW554" s="178"/>
      <c r="GQX554" s="178"/>
      <c r="GQY554" s="178"/>
      <c r="GQZ554" s="178"/>
      <c r="GRA554" s="178"/>
      <c r="GRB554" s="178"/>
      <c r="GRC554" s="178"/>
      <c r="GRD554" s="178"/>
      <c r="GRE554" s="178"/>
      <c r="GRF554" s="178"/>
      <c r="GRG554" s="178"/>
      <c r="GRH554" s="178"/>
      <c r="GRI554" s="178"/>
      <c r="GRJ554" s="178"/>
      <c r="GRK554" s="178"/>
      <c r="GRL554" s="178"/>
      <c r="GRM554" s="178"/>
      <c r="GRN554" s="178"/>
      <c r="GRO554" s="178"/>
      <c r="GRP554" s="178"/>
      <c r="GRQ554" s="178"/>
      <c r="GRR554" s="178"/>
      <c r="GRS554" s="178"/>
      <c r="GRT554" s="178"/>
      <c r="GRU554" s="178"/>
      <c r="GRV554" s="178"/>
      <c r="GRW554" s="178"/>
      <c r="GRX554" s="178"/>
      <c r="GRY554" s="178"/>
      <c r="GRZ554" s="178"/>
      <c r="GSA554" s="178"/>
      <c r="GSB554" s="178"/>
      <c r="GSC554" s="178"/>
      <c r="GSD554" s="178"/>
      <c r="GSE554" s="178"/>
      <c r="GSF554" s="178"/>
      <c r="GSG554" s="178"/>
      <c r="GSH554" s="178"/>
      <c r="GSI554" s="178"/>
      <c r="GSJ554" s="178"/>
      <c r="GSK554" s="178"/>
      <c r="GSL554" s="178"/>
      <c r="GSM554" s="178"/>
      <c r="GSN554" s="178"/>
      <c r="GSO554" s="178"/>
      <c r="GSP554" s="178"/>
      <c r="GSQ554" s="178"/>
      <c r="GSR554" s="178"/>
      <c r="GSS554" s="178"/>
      <c r="GST554" s="178"/>
      <c r="GSU554" s="178"/>
      <c r="GSV554" s="178"/>
      <c r="GSW554" s="178"/>
      <c r="GSX554" s="178"/>
      <c r="GSY554" s="178"/>
      <c r="GSZ554" s="178"/>
      <c r="GTA554" s="178"/>
      <c r="GTB554" s="178"/>
      <c r="GTC554" s="178"/>
      <c r="GTD554" s="178"/>
      <c r="GTE554" s="178"/>
      <c r="GTF554" s="178"/>
      <c r="GTG554" s="178"/>
      <c r="GTH554" s="178"/>
      <c r="GTI554" s="178"/>
      <c r="GTJ554" s="178"/>
      <c r="GTK554" s="178"/>
      <c r="GTL554" s="178"/>
      <c r="GTM554" s="178"/>
      <c r="GTN554" s="178"/>
      <c r="GTO554" s="178"/>
      <c r="GTP554" s="178"/>
      <c r="GTQ554" s="178"/>
      <c r="GTR554" s="178"/>
      <c r="GTS554" s="178"/>
      <c r="GTT554" s="178"/>
      <c r="GTU554" s="178"/>
      <c r="GTV554" s="178"/>
      <c r="GTW554" s="178"/>
      <c r="GTX554" s="178"/>
      <c r="GTY554" s="178"/>
      <c r="GTZ554" s="178"/>
      <c r="GUA554" s="178"/>
      <c r="GUB554" s="178"/>
      <c r="GUC554" s="178"/>
      <c r="GUD554" s="178"/>
      <c r="GUE554" s="178"/>
      <c r="GUF554" s="178"/>
      <c r="GUG554" s="178"/>
      <c r="GUH554" s="178"/>
      <c r="GUI554" s="178"/>
      <c r="GUJ554" s="178"/>
      <c r="GUK554" s="178"/>
      <c r="GUL554" s="178"/>
      <c r="GUM554" s="178"/>
      <c r="GUN554" s="178"/>
      <c r="GUO554" s="178"/>
      <c r="GUP554" s="178"/>
      <c r="GUQ554" s="178"/>
      <c r="GUR554" s="178"/>
      <c r="GUS554" s="178"/>
      <c r="GUT554" s="178"/>
      <c r="GUU554" s="178"/>
      <c r="GUV554" s="178"/>
      <c r="GUW554" s="178"/>
      <c r="GUX554" s="178"/>
      <c r="GUY554" s="178"/>
      <c r="GUZ554" s="178"/>
      <c r="GVA554" s="178"/>
      <c r="GVB554" s="178"/>
      <c r="GVC554" s="178"/>
      <c r="GVD554" s="178"/>
      <c r="GVE554" s="178"/>
      <c r="GVF554" s="178"/>
      <c r="GVG554" s="178"/>
      <c r="GVH554" s="178"/>
      <c r="GVI554" s="178"/>
      <c r="GVJ554" s="178"/>
      <c r="GVK554" s="178"/>
      <c r="GVL554" s="178"/>
      <c r="GVM554" s="178"/>
      <c r="GVN554" s="178"/>
      <c r="GVO554" s="178"/>
      <c r="GVP554" s="178"/>
      <c r="GVQ554" s="178"/>
      <c r="GVR554" s="178"/>
      <c r="GVS554" s="178"/>
      <c r="GVT554" s="178"/>
      <c r="GVU554" s="178"/>
      <c r="GVV554" s="178"/>
      <c r="GVW554" s="178"/>
      <c r="GVX554" s="178"/>
      <c r="GVY554" s="178"/>
      <c r="GVZ554" s="178"/>
      <c r="GWA554" s="178"/>
      <c r="GWB554" s="178"/>
      <c r="GWC554" s="178"/>
      <c r="GWD554" s="178"/>
      <c r="GWE554" s="178"/>
      <c r="GWF554" s="178"/>
      <c r="GWG554" s="178"/>
      <c r="GWH554" s="178"/>
      <c r="GWI554" s="178"/>
      <c r="GWJ554" s="178"/>
      <c r="GWK554" s="178"/>
      <c r="GWL554" s="178"/>
      <c r="GWM554" s="178"/>
      <c r="GWN554" s="178"/>
      <c r="GWO554" s="178"/>
      <c r="GWP554" s="178"/>
      <c r="GWQ554" s="178"/>
      <c r="GWR554" s="178"/>
      <c r="GWS554" s="178"/>
      <c r="GWT554" s="178"/>
      <c r="GWU554" s="178"/>
      <c r="GWV554" s="178"/>
      <c r="GWW554" s="178"/>
      <c r="GWX554" s="178"/>
      <c r="GWY554" s="178"/>
      <c r="GWZ554" s="178"/>
      <c r="GXA554" s="178"/>
      <c r="GXB554" s="178"/>
      <c r="GXC554" s="178"/>
      <c r="GXD554" s="178"/>
      <c r="GXE554" s="178"/>
      <c r="GXF554" s="178"/>
      <c r="GXG554" s="178"/>
      <c r="GXH554" s="178"/>
      <c r="GXI554" s="178"/>
      <c r="GXJ554" s="178"/>
      <c r="GXK554" s="178"/>
      <c r="GXL554" s="178"/>
      <c r="GXM554" s="178"/>
      <c r="GXN554" s="178"/>
      <c r="GXO554" s="178"/>
      <c r="GXP554" s="178"/>
      <c r="GXQ554" s="178"/>
      <c r="GXR554" s="178"/>
      <c r="GXS554" s="178"/>
      <c r="GXT554" s="178"/>
      <c r="GXU554" s="178"/>
      <c r="GXV554" s="178"/>
      <c r="GXW554" s="178"/>
      <c r="GXX554" s="178"/>
      <c r="GXY554" s="178"/>
      <c r="GXZ554" s="178"/>
      <c r="GYA554" s="178"/>
      <c r="GYB554" s="178"/>
      <c r="GYC554" s="178"/>
      <c r="GYD554" s="178"/>
      <c r="GYE554" s="178"/>
      <c r="GYF554" s="178"/>
      <c r="GYG554" s="178"/>
      <c r="GYH554" s="178"/>
      <c r="GYI554" s="178"/>
      <c r="GYJ554" s="178"/>
      <c r="GYK554" s="178"/>
      <c r="GYL554" s="178"/>
      <c r="GYM554" s="178"/>
      <c r="GYN554" s="178"/>
      <c r="GYO554" s="178"/>
      <c r="GYP554" s="178"/>
      <c r="GYQ554" s="178"/>
      <c r="GYR554" s="178"/>
      <c r="GYS554" s="178"/>
      <c r="GYT554" s="178"/>
      <c r="GYU554" s="178"/>
      <c r="GYV554" s="178"/>
      <c r="GYW554" s="178"/>
      <c r="GYX554" s="178"/>
      <c r="GYY554" s="178"/>
      <c r="GYZ554" s="178"/>
      <c r="GZA554" s="178"/>
      <c r="GZB554" s="178"/>
      <c r="GZC554" s="178"/>
      <c r="GZD554" s="178"/>
      <c r="GZE554" s="178"/>
      <c r="GZF554" s="178"/>
      <c r="GZG554" s="178"/>
      <c r="GZH554" s="178"/>
      <c r="GZI554" s="178"/>
      <c r="GZJ554" s="178"/>
      <c r="GZK554" s="178"/>
      <c r="GZL554" s="178"/>
      <c r="GZM554" s="178"/>
      <c r="GZN554" s="178"/>
      <c r="GZO554" s="178"/>
      <c r="GZP554" s="178"/>
      <c r="GZQ554" s="178"/>
      <c r="GZR554" s="178"/>
      <c r="GZS554" s="178"/>
      <c r="GZT554" s="178"/>
      <c r="GZU554" s="178"/>
      <c r="GZV554" s="178"/>
      <c r="GZW554" s="178"/>
      <c r="GZX554" s="178"/>
      <c r="GZY554" s="178"/>
      <c r="GZZ554" s="178"/>
      <c r="HAA554" s="178"/>
      <c r="HAB554" s="178"/>
      <c r="HAC554" s="178"/>
      <c r="HAD554" s="178"/>
      <c r="HAE554" s="178"/>
      <c r="HAF554" s="178"/>
      <c r="HAG554" s="178"/>
      <c r="HAH554" s="178"/>
      <c r="HAI554" s="178"/>
      <c r="HAJ554" s="178"/>
      <c r="HAK554" s="178"/>
      <c r="HAL554" s="178"/>
      <c r="HAM554" s="178"/>
      <c r="HAN554" s="178"/>
      <c r="HAO554" s="178"/>
      <c r="HAP554" s="178"/>
      <c r="HAQ554" s="178"/>
      <c r="HAR554" s="178"/>
      <c r="HAS554" s="178"/>
      <c r="HAT554" s="178"/>
      <c r="HAU554" s="178"/>
      <c r="HAV554" s="178"/>
      <c r="HAW554" s="178"/>
      <c r="HAX554" s="178"/>
      <c r="HAY554" s="178"/>
      <c r="HAZ554" s="178"/>
      <c r="HBA554" s="178"/>
      <c r="HBB554" s="178"/>
      <c r="HBC554" s="178"/>
      <c r="HBD554" s="178"/>
      <c r="HBE554" s="178"/>
      <c r="HBF554" s="178"/>
      <c r="HBG554" s="178"/>
      <c r="HBH554" s="178"/>
      <c r="HBI554" s="178"/>
      <c r="HBJ554" s="178"/>
      <c r="HBK554" s="178"/>
      <c r="HBL554" s="178"/>
      <c r="HBM554" s="178"/>
      <c r="HBN554" s="178"/>
      <c r="HBO554" s="178"/>
      <c r="HBP554" s="178"/>
      <c r="HBQ554" s="178"/>
      <c r="HBR554" s="178"/>
      <c r="HBS554" s="178"/>
      <c r="HBT554" s="178"/>
      <c r="HBU554" s="178"/>
      <c r="HBV554" s="178"/>
      <c r="HBW554" s="178"/>
      <c r="HBX554" s="178"/>
      <c r="HBY554" s="178"/>
      <c r="HBZ554" s="178"/>
      <c r="HCA554" s="178"/>
      <c r="HCB554" s="178"/>
      <c r="HCC554" s="178"/>
      <c r="HCD554" s="178"/>
      <c r="HCE554" s="178"/>
      <c r="HCF554" s="178"/>
      <c r="HCG554" s="178"/>
      <c r="HCH554" s="178"/>
      <c r="HCI554" s="178"/>
      <c r="HCJ554" s="178"/>
      <c r="HCK554" s="178"/>
      <c r="HCL554" s="178"/>
      <c r="HCM554" s="178"/>
      <c r="HCN554" s="178"/>
      <c r="HCO554" s="178"/>
      <c r="HCP554" s="178"/>
      <c r="HCQ554" s="178"/>
      <c r="HCR554" s="178"/>
      <c r="HCS554" s="178"/>
      <c r="HCT554" s="178"/>
      <c r="HCU554" s="178"/>
      <c r="HCV554" s="178"/>
      <c r="HCW554" s="178"/>
      <c r="HCX554" s="178"/>
      <c r="HCY554" s="178"/>
      <c r="HCZ554" s="178"/>
      <c r="HDA554" s="178"/>
      <c r="HDB554" s="178"/>
      <c r="HDC554" s="178"/>
      <c r="HDD554" s="178"/>
      <c r="HDE554" s="178"/>
      <c r="HDF554" s="178"/>
      <c r="HDG554" s="178"/>
      <c r="HDH554" s="178"/>
      <c r="HDI554" s="178"/>
      <c r="HDJ554" s="178"/>
      <c r="HDK554" s="178"/>
      <c r="HDL554" s="178"/>
      <c r="HDM554" s="178"/>
      <c r="HDN554" s="178"/>
      <c r="HDO554" s="178"/>
      <c r="HDP554" s="178"/>
      <c r="HDQ554" s="178"/>
      <c r="HDR554" s="178"/>
      <c r="HDS554" s="178"/>
      <c r="HDT554" s="178"/>
      <c r="HDU554" s="178"/>
      <c r="HDV554" s="178"/>
      <c r="HDW554" s="178"/>
      <c r="HDX554" s="178"/>
      <c r="HDY554" s="178"/>
      <c r="HDZ554" s="178"/>
      <c r="HEA554" s="178"/>
      <c r="HEB554" s="178"/>
      <c r="HEC554" s="178"/>
      <c r="HED554" s="178"/>
      <c r="HEE554" s="178"/>
      <c r="HEF554" s="178"/>
      <c r="HEG554" s="178"/>
      <c r="HEH554" s="178"/>
      <c r="HEI554" s="178"/>
      <c r="HEJ554" s="178"/>
      <c r="HEK554" s="178"/>
      <c r="HEL554" s="178"/>
      <c r="HEM554" s="178"/>
      <c r="HEN554" s="178"/>
      <c r="HEO554" s="178"/>
      <c r="HEP554" s="178"/>
      <c r="HEQ554" s="178"/>
      <c r="HER554" s="178"/>
      <c r="HES554" s="178"/>
      <c r="HET554" s="178"/>
      <c r="HEU554" s="178"/>
      <c r="HEV554" s="178"/>
      <c r="HEW554" s="178"/>
      <c r="HEX554" s="178"/>
      <c r="HEY554" s="178"/>
      <c r="HEZ554" s="178"/>
      <c r="HFA554" s="178"/>
      <c r="HFB554" s="178"/>
      <c r="HFC554" s="178"/>
      <c r="HFD554" s="178"/>
      <c r="HFE554" s="178"/>
      <c r="HFF554" s="178"/>
      <c r="HFG554" s="178"/>
      <c r="HFH554" s="178"/>
      <c r="HFI554" s="178"/>
      <c r="HFJ554" s="178"/>
      <c r="HFK554" s="178"/>
      <c r="HFL554" s="178"/>
      <c r="HFM554" s="178"/>
      <c r="HFN554" s="178"/>
      <c r="HFO554" s="178"/>
      <c r="HFP554" s="178"/>
      <c r="HFQ554" s="178"/>
      <c r="HFR554" s="178"/>
      <c r="HFS554" s="178"/>
      <c r="HFT554" s="178"/>
      <c r="HFU554" s="178"/>
      <c r="HFV554" s="178"/>
      <c r="HFW554" s="178"/>
      <c r="HFX554" s="178"/>
      <c r="HFY554" s="178"/>
      <c r="HFZ554" s="178"/>
      <c r="HGA554" s="178"/>
      <c r="HGB554" s="178"/>
      <c r="HGC554" s="178"/>
      <c r="HGD554" s="178"/>
      <c r="HGE554" s="178"/>
      <c r="HGF554" s="178"/>
      <c r="HGG554" s="178"/>
      <c r="HGH554" s="178"/>
      <c r="HGI554" s="178"/>
      <c r="HGJ554" s="178"/>
      <c r="HGK554" s="178"/>
      <c r="HGL554" s="178"/>
      <c r="HGM554" s="178"/>
      <c r="HGN554" s="178"/>
      <c r="HGO554" s="178"/>
      <c r="HGP554" s="178"/>
      <c r="HGQ554" s="178"/>
      <c r="HGR554" s="178"/>
      <c r="HGS554" s="178"/>
      <c r="HGT554" s="178"/>
      <c r="HGU554" s="178"/>
      <c r="HGV554" s="178"/>
      <c r="HGW554" s="178"/>
      <c r="HGX554" s="178"/>
      <c r="HGY554" s="178"/>
      <c r="HGZ554" s="178"/>
      <c r="HHA554" s="178"/>
      <c r="HHB554" s="178"/>
      <c r="HHC554" s="178"/>
      <c r="HHD554" s="178"/>
      <c r="HHE554" s="178"/>
      <c r="HHF554" s="178"/>
      <c r="HHG554" s="178"/>
      <c r="HHH554" s="178"/>
      <c r="HHI554" s="178"/>
      <c r="HHJ554" s="178"/>
      <c r="HHK554" s="178"/>
      <c r="HHL554" s="178"/>
      <c r="HHM554" s="178"/>
      <c r="HHN554" s="178"/>
      <c r="HHO554" s="178"/>
      <c r="HHP554" s="178"/>
      <c r="HHQ554" s="178"/>
      <c r="HHR554" s="178"/>
      <c r="HHS554" s="178"/>
      <c r="HHT554" s="178"/>
      <c r="HHU554" s="178"/>
      <c r="HHV554" s="178"/>
      <c r="HHW554" s="178"/>
      <c r="HHX554" s="178"/>
      <c r="HHY554" s="178"/>
      <c r="HHZ554" s="178"/>
      <c r="HIA554" s="178"/>
      <c r="HIB554" s="178"/>
      <c r="HIC554" s="178"/>
      <c r="HID554" s="178"/>
      <c r="HIE554" s="178"/>
      <c r="HIF554" s="178"/>
      <c r="HIG554" s="178"/>
      <c r="HIH554" s="178"/>
      <c r="HII554" s="178"/>
      <c r="HIJ554" s="178"/>
      <c r="HIK554" s="178"/>
      <c r="HIL554" s="178"/>
      <c r="HIM554" s="178"/>
      <c r="HIN554" s="178"/>
      <c r="HIO554" s="178"/>
      <c r="HIP554" s="178"/>
      <c r="HIQ554" s="178"/>
      <c r="HIR554" s="178"/>
      <c r="HIS554" s="178"/>
      <c r="HIT554" s="178"/>
      <c r="HIU554" s="178"/>
      <c r="HIV554" s="178"/>
      <c r="HIW554" s="178"/>
      <c r="HIX554" s="178"/>
      <c r="HIY554" s="178"/>
      <c r="HIZ554" s="178"/>
      <c r="HJA554" s="178"/>
      <c r="HJB554" s="178"/>
      <c r="HJC554" s="178"/>
      <c r="HJD554" s="178"/>
      <c r="HJE554" s="178"/>
      <c r="HJF554" s="178"/>
      <c r="HJG554" s="178"/>
      <c r="HJH554" s="178"/>
      <c r="HJI554" s="178"/>
      <c r="HJJ554" s="178"/>
      <c r="HJK554" s="178"/>
      <c r="HJL554" s="178"/>
      <c r="HJM554" s="178"/>
      <c r="HJN554" s="178"/>
      <c r="HJO554" s="178"/>
      <c r="HJP554" s="178"/>
      <c r="HJQ554" s="178"/>
      <c r="HJR554" s="178"/>
      <c r="HJS554" s="178"/>
      <c r="HJT554" s="178"/>
      <c r="HJU554" s="178"/>
      <c r="HJV554" s="178"/>
      <c r="HJW554" s="178"/>
      <c r="HJX554" s="178"/>
      <c r="HJY554" s="178"/>
      <c r="HJZ554" s="178"/>
      <c r="HKA554" s="178"/>
      <c r="HKB554" s="178"/>
      <c r="HKC554" s="178"/>
      <c r="HKD554" s="178"/>
      <c r="HKE554" s="178"/>
      <c r="HKF554" s="178"/>
      <c r="HKG554" s="178"/>
      <c r="HKH554" s="178"/>
      <c r="HKI554" s="178"/>
      <c r="HKJ554" s="178"/>
      <c r="HKK554" s="178"/>
      <c r="HKL554" s="178"/>
      <c r="HKM554" s="178"/>
      <c r="HKN554" s="178"/>
      <c r="HKO554" s="178"/>
      <c r="HKP554" s="178"/>
      <c r="HKQ554" s="178"/>
      <c r="HKR554" s="178"/>
      <c r="HKS554" s="178"/>
      <c r="HKT554" s="178"/>
      <c r="HKU554" s="178"/>
      <c r="HKV554" s="178"/>
      <c r="HKW554" s="178"/>
      <c r="HKX554" s="178"/>
      <c r="HKY554" s="178"/>
      <c r="HKZ554" s="178"/>
      <c r="HLA554" s="178"/>
      <c r="HLB554" s="178"/>
      <c r="HLC554" s="178"/>
      <c r="HLD554" s="178"/>
      <c r="HLE554" s="178"/>
      <c r="HLF554" s="178"/>
      <c r="HLG554" s="178"/>
      <c r="HLH554" s="178"/>
      <c r="HLI554" s="178"/>
      <c r="HLJ554" s="178"/>
      <c r="HLK554" s="178"/>
      <c r="HLL554" s="178"/>
      <c r="HLM554" s="178"/>
      <c r="HLN554" s="178"/>
      <c r="HLO554" s="178"/>
      <c r="HLP554" s="178"/>
      <c r="HLQ554" s="178"/>
      <c r="HLR554" s="178"/>
      <c r="HLS554" s="178"/>
      <c r="HLT554" s="178"/>
      <c r="HLU554" s="178"/>
      <c r="HLV554" s="178"/>
      <c r="HLW554" s="178"/>
      <c r="HLX554" s="178"/>
      <c r="HLY554" s="178"/>
      <c r="HLZ554" s="178"/>
      <c r="HMA554" s="178"/>
      <c r="HMB554" s="178"/>
      <c r="HMC554" s="178"/>
      <c r="HMD554" s="178"/>
      <c r="HME554" s="178"/>
      <c r="HMF554" s="178"/>
      <c r="HMG554" s="178"/>
      <c r="HMH554" s="178"/>
      <c r="HMI554" s="178"/>
      <c r="HMJ554" s="178"/>
      <c r="HMK554" s="178"/>
      <c r="HML554" s="178"/>
      <c r="HMM554" s="178"/>
      <c r="HMN554" s="178"/>
      <c r="HMO554" s="178"/>
      <c r="HMP554" s="178"/>
      <c r="HMQ554" s="178"/>
      <c r="HMR554" s="178"/>
      <c r="HMS554" s="178"/>
      <c r="HMT554" s="178"/>
      <c r="HMU554" s="178"/>
      <c r="HMV554" s="178"/>
      <c r="HMW554" s="178"/>
      <c r="HMX554" s="178"/>
      <c r="HMY554" s="178"/>
      <c r="HMZ554" s="178"/>
      <c r="HNA554" s="178"/>
      <c r="HNB554" s="178"/>
      <c r="HNC554" s="178"/>
      <c r="HND554" s="178"/>
      <c r="HNE554" s="178"/>
      <c r="HNF554" s="178"/>
      <c r="HNG554" s="178"/>
      <c r="HNH554" s="178"/>
      <c r="HNI554" s="178"/>
      <c r="HNJ554" s="178"/>
      <c r="HNK554" s="178"/>
      <c r="HNL554" s="178"/>
      <c r="HNM554" s="178"/>
      <c r="HNN554" s="178"/>
      <c r="HNO554" s="178"/>
      <c r="HNP554" s="178"/>
      <c r="HNQ554" s="178"/>
      <c r="HNR554" s="178"/>
      <c r="HNS554" s="178"/>
      <c r="HNT554" s="178"/>
      <c r="HNU554" s="178"/>
      <c r="HNV554" s="178"/>
      <c r="HNW554" s="178"/>
      <c r="HNX554" s="178"/>
      <c r="HNY554" s="178"/>
      <c r="HNZ554" s="178"/>
      <c r="HOA554" s="178"/>
      <c r="HOB554" s="178"/>
      <c r="HOC554" s="178"/>
      <c r="HOD554" s="178"/>
      <c r="HOE554" s="178"/>
      <c r="HOF554" s="178"/>
      <c r="HOG554" s="178"/>
      <c r="HOH554" s="178"/>
      <c r="HOI554" s="178"/>
      <c r="HOJ554" s="178"/>
      <c r="HOK554" s="178"/>
      <c r="HOL554" s="178"/>
      <c r="HOM554" s="178"/>
      <c r="HON554" s="178"/>
      <c r="HOO554" s="178"/>
      <c r="HOP554" s="178"/>
      <c r="HOQ554" s="178"/>
      <c r="HOR554" s="178"/>
      <c r="HOS554" s="178"/>
      <c r="HOT554" s="178"/>
      <c r="HOU554" s="178"/>
      <c r="HOV554" s="178"/>
      <c r="HOW554" s="178"/>
      <c r="HOX554" s="178"/>
      <c r="HOY554" s="178"/>
      <c r="HOZ554" s="178"/>
      <c r="HPA554" s="178"/>
      <c r="HPB554" s="178"/>
      <c r="HPC554" s="178"/>
      <c r="HPD554" s="178"/>
      <c r="HPE554" s="178"/>
      <c r="HPF554" s="178"/>
      <c r="HPG554" s="178"/>
      <c r="HPH554" s="178"/>
      <c r="HPI554" s="178"/>
      <c r="HPJ554" s="178"/>
      <c r="HPK554" s="178"/>
      <c r="HPL554" s="178"/>
      <c r="HPM554" s="178"/>
      <c r="HPN554" s="178"/>
      <c r="HPO554" s="178"/>
      <c r="HPP554" s="178"/>
      <c r="HPQ554" s="178"/>
      <c r="HPR554" s="178"/>
      <c r="HPS554" s="178"/>
      <c r="HPT554" s="178"/>
      <c r="HPU554" s="178"/>
      <c r="HPV554" s="178"/>
      <c r="HPW554" s="178"/>
      <c r="HPX554" s="178"/>
      <c r="HPY554" s="178"/>
      <c r="HPZ554" s="178"/>
      <c r="HQA554" s="178"/>
      <c r="HQB554" s="178"/>
      <c r="HQC554" s="178"/>
      <c r="HQD554" s="178"/>
      <c r="HQE554" s="178"/>
      <c r="HQF554" s="178"/>
      <c r="HQG554" s="178"/>
      <c r="HQH554" s="178"/>
      <c r="HQI554" s="178"/>
      <c r="HQJ554" s="178"/>
      <c r="HQK554" s="178"/>
      <c r="HQL554" s="178"/>
      <c r="HQM554" s="178"/>
      <c r="HQN554" s="178"/>
      <c r="HQO554" s="178"/>
      <c r="HQP554" s="178"/>
      <c r="HQQ554" s="178"/>
      <c r="HQR554" s="178"/>
      <c r="HQS554" s="178"/>
      <c r="HQT554" s="178"/>
      <c r="HQU554" s="178"/>
      <c r="HQV554" s="178"/>
      <c r="HQW554" s="178"/>
      <c r="HQX554" s="178"/>
      <c r="HQY554" s="178"/>
      <c r="HQZ554" s="178"/>
      <c r="HRA554" s="178"/>
      <c r="HRB554" s="178"/>
      <c r="HRC554" s="178"/>
      <c r="HRD554" s="178"/>
      <c r="HRE554" s="178"/>
      <c r="HRF554" s="178"/>
      <c r="HRG554" s="178"/>
      <c r="HRH554" s="178"/>
      <c r="HRI554" s="178"/>
      <c r="HRJ554" s="178"/>
      <c r="HRK554" s="178"/>
      <c r="HRL554" s="178"/>
      <c r="HRM554" s="178"/>
      <c r="HRN554" s="178"/>
      <c r="HRO554" s="178"/>
      <c r="HRP554" s="178"/>
      <c r="HRQ554" s="178"/>
      <c r="HRR554" s="178"/>
      <c r="HRS554" s="178"/>
      <c r="HRT554" s="178"/>
      <c r="HRU554" s="178"/>
      <c r="HRV554" s="178"/>
      <c r="HRW554" s="178"/>
      <c r="HRX554" s="178"/>
      <c r="HRY554" s="178"/>
      <c r="HRZ554" s="178"/>
      <c r="HSA554" s="178"/>
      <c r="HSB554" s="178"/>
      <c r="HSC554" s="178"/>
      <c r="HSD554" s="178"/>
      <c r="HSE554" s="178"/>
      <c r="HSF554" s="178"/>
      <c r="HSG554" s="178"/>
      <c r="HSH554" s="178"/>
      <c r="HSI554" s="178"/>
      <c r="HSJ554" s="178"/>
      <c r="HSK554" s="178"/>
      <c r="HSL554" s="178"/>
      <c r="HSM554" s="178"/>
      <c r="HSN554" s="178"/>
      <c r="HSO554" s="178"/>
      <c r="HSP554" s="178"/>
      <c r="HSQ554" s="178"/>
      <c r="HSR554" s="178"/>
      <c r="HSS554" s="178"/>
      <c r="HST554" s="178"/>
      <c r="HSU554" s="178"/>
      <c r="HSV554" s="178"/>
      <c r="HSW554" s="178"/>
      <c r="HSX554" s="178"/>
      <c r="HSY554" s="178"/>
      <c r="HSZ554" s="178"/>
      <c r="HTA554" s="178"/>
      <c r="HTB554" s="178"/>
      <c r="HTC554" s="178"/>
      <c r="HTD554" s="178"/>
      <c r="HTE554" s="178"/>
      <c r="HTF554" s="178"/>
      <c r="HTG554" s="178"/>
      <c r="HTH554" s="178"/>
      <c r="HTI554" s="178"/>
      <c r="HTJ554" s="178"/>
      <c r="HTK554" s="178"/>
      <c r="HTL554" s="178"/>
      <c r="HTM554" s="178"/>
      <c r="HTN554" s="178"/>
      <c r="HTO554" s="178"/>
      <c r="HTP554" s="178"/>
      <c r="HTQ554" s="178"/>
      <c r="HTR554" s="178"/>
      <c r="HTS554" s="178"/>
      <c r="HTT554" s="178"/>
      <c r="HTU554" s="178"/>
      <c r="HTV554" s="178"/>
      <c r="HTW554" s="178"/>
      <c r="HTX554" s="178"/>
      <c r="HTY554" s="178"/>
      <c r="HTZ554" s="178"/>
      <c r="HUA554" s="178"/>
      <c r="HUB554" s="178"/>
      <c r="HUC554" s="178"/>
      <c r="HUD554" s="178"/>
      <c r="HUE554" s="178"/>
      <c r="HUF554" s="178"/>
      <c r="HUG554" s="178"/>
      <c r="HUH554" s="178"/>
      <c r="HUI554" s="178"/>
      <c r="HUJ554" s="178"/>
      <c r="HUK554" s="178"/>
      <c r="HUL554" s="178"/>
      <c r="HUM554" s="178"/>
      <c r="HUN554" s="178"/>
      <c r="HUO554" s="178"/>
      <c r="HUP554" s="178"/>
      <c r="HUQ554" s="178"/>
      <c r="HUR554" s="178"/>
      <c r="HUS554" s="178"/>
      <c r="HUT554" s="178"/>
      <c r="HUU554" s="178"/>
      <c r="HUV554" s="178"/>
      <c r="HUW554" s="178"/>
      <c r="HUX554" s="178"/>
      <c r="HUY554" s="178"/>
      <c r="HUZ554" s="178"/>
      <c r="HVA554" s="178"/>
      <c r="HVB554" s="178"/>
      <c r="HVC554" s="178"/>
      <c r="HVD554" s="178"/>
      <c r="HVE554" s="178"/>
      <c r="HVF554" s="178"/>
      <c r="HVG554" s="178"/>
      <c r="HVH554" s="178"/>
      <c r="HVI554" s="178"/>
      <c r="HVJ554" s="178"/>
      <c r="HVK554" s="178"/>
      <c r="HVL554" s="178"/>
      <c r="HVM554" s="178"/>
      <c r="HVN554" s="178"/>
      <c r="HVO554" s="178"/>
      <c r="HVP554" s="178"/>
      <c r="HVQ554" s="178"/>
      <c r="HVR554" s="178"/>
      <c r="HVS554" s="178"/>
      <c r="HVT554" s="178"/>
      <c r="HVU554" s="178"/>
      <c r="HVV554" s="178"/>
      <c r="HVW554" s="178"/>
      <c r="HVX554" s="178"/>
      <c r="HVY554" s="178"/>
      <c r="HVZ554" s="178"/>
      <c r="HWA554" s="178"/>
      <c r="HWB554" s="178"/>
      <c r="HWC554" s="178"/>
      <c r="HWD554" s="178"/>
      <c r="HWE554" s="178"/>
      <c r="HWF554" s="178"/>
      <c r="HWG554" s="178"/>
      <c r="HWH554" s="178"/>
      <c r="HWI554" s="178"/>
      <c r="HWJ554" s="178"/>
      <c r="HWK554" s="178"/>
      <c r="HWL554" s="178"/>
      <c r="HWM554" s="178"/>
      <c r="HWN554" s="178"/>
      <c r="HWO554" s="178"/>
      <c r="HWP554" s="178"/>
      <c r="HWQ554" s="178"/>
      <c r="HWR554" s="178"/>
      <c r="HWS554" s="178"/>
      <c r="HWT554" s="178"/>
      <c r="HWU554" s="178"/>
      <c r="HWV554" s="178"/>
      <c r="HWW554" s="178"/>
      <c r="HWX554" s="178"/>
      <c r="HWY554" s="178"/>
      <c r="HWZ554" s="178"/>
      <c r="HXA554" s="178"/>
      <c r="HXB554" s="178"/>
      <c r="HXC554" s="178"/>
      <c r="HXD554" s="178"/>
      <c r="HXE554" s="178"/>
      <c r="HXF554" s="178"/>
      <c r="HXG554" s="178"/>
      <c r="HXH554" s="178"/>
      <c r="HXI554" s="178"/>
      <c r="HXJ554" s="178"/>
      <c r="HXK554" s="178"/>
      <c r="HXL554" s="178"/>
      <c r="HXM554" s="178"/>
      <c r="HXN554" s="178"/>
      <c r="HXO554" s="178"/>
      <c r="HXP554" s="178"/>
      <c r="HXQ554" s="178"/>
      <c r="HXR554" s="178"/>
      <c r="HXS554" s="178"/>
      <c r="HXT554" s="178"/>
      <c r="HXU554" s="178"/>
      <c r="HXV554" s="178"/>
      <c r="HXW554" s="178"/>
      <c r="HXX554" s="178"/>
      <c r="HXY554" s="178"/>
      <c r="HXZ554" s="178"/>
      <c r="HYA554" s="178"/>
      <c r="HYB554" s="178"/>
      <c r="HYC554" s="178"/>
      <c r="HYD554" s="178"/>
      <c r="HYE554" s="178"/>
      <c r="HYF554" s="178"/>
      <c r="HYG554" s="178"/>
      <c r="HYH554" s="178"/>
      <c r="HYI554" s="178"/>
      <c r="HYJ554" s="178"/>
      <c r="HYK554" s="178"/>
      <c r="HYL554" s="178"/>
      <c r="HYM554" s="178"/>
      <c r="HYN554" s="178"/>
      <c r="HYO554" s="178"/>
      <c r="HYP554" s="178"/>
      <c r="HYQ554" s="178"/>
      <c r="HYR554" s="178"/>
      <c r="HYS554" s="178"/>
      <c r="HYT554" s="178"/>
      <c r="HYU554" s="178"/>
      <c r="HYV554" s="178"/>
      <c r="HYW554" s="178"/>
      <c r="HYX554" s="178"/>
      <c r="HYY554" s="178"/>
      <c r="HYZ554" s="178"/>
      <c r="HZA554" s="178"/>
      <c r="HZB554" s="178"/>
      <c r="HZC554" s="178"/>
      <c r="HZD554" s="178"/>
      <c r="HZE554" s="178"/>
      <c r="HZF554" s="178"/>
      <c r="HZG554" s="178"/>
      <c r="HZH554" s="178"/>
      <c r="HZI554" s="178"/>
      <c r="HZJ554" s="178"/>
      <c r="HZK554" s="178"/>
      <c r="HZL554" s="178"/>
      <c r="HZM554" s="178"/>
      <c r="HZN554" s="178"/>
      <c r="HZO554" s="178"/>
      <c r="HZP554" s="178"/>
      <c r="HZQ554" s="178"/>
      <c r="HZR554" s="178"/>
      <c r="HZS554" s="178"/>
      <c r="HZT554" s="178"/>
      <c r="HZU554" s="178"/>
      <c r="HZV554" s="178"/>
      <c r="HZW554" s="178"/>
      <c r="HZX554" s="178"/>
      <c r="HZY554" s="178"/>
      <c r="HZZ554" s="178"/>
      <c r="IAA554" s="178"/>
      <c r="IAB554" s="178"/>
      <c r="IAC554" s="178"/>
      <c r="IAD554" s="178"/>
      <c r="IAE554" s="178"/>
      <c r="IAF554" s="178"/>
      <c r="IAG554" s="178"/>
      <c r="IAH554" s="178"/>
      <c r="IAI554" s="178"/>
      <c r="IAJ554" s="178"/>
      <c r="IAK554" s="178"/>
      <c r="IAL554" s="178"/>
      <c r="IAM554" s="178"/>
      <c r="IAN554" s="178"/>
      <c r="IAO554" s="178"/>
      <c r="IAP554" s="178"/>
      <c r="IAQ554" s="178"/>
      <c r="IAR554" s="178"/>
      <c r="IAS554" s="178"/>
      <c r="IAT554" s="178"/>
      <c r="IAU554" s="178"/>
      <c r="IAV554" s="178"/>
      <c r="IAW554" s="178"/>
      <c r="IAX554" s="178"/>
      <c r="IAY554" s="178"/>
      <c r="IAZ554" s="178"/>
      <c r="IBA554" s="178"/>
      <c r="IBB554" s="178"/>
      <c r="IBC554" s="178"/>
      <c r="IBD554" s="178"/>
      <c r="IBE554" s="178"/>
      <c r="IBF554" s="178"/>
      <c r="IBG554" s="178"/>
      <c r="IBH554" s="178"/>
      <c r="IBI554" s="178"/>
      <c r="IBJ554" s="178"/>
      <c r="IBK554" s="178"/>
      <c r="IBL554" s="178"/>
      <c r="IBM554" s="178"/>
      <c r="IBN554" s="178"/>
      <c r="IBO554" s="178"/>
      <c r="IBP554" s="178"/>
      <c r="IBQ554" s="178"/>
      <c r="IBR554" s="178"/>
      <c r="IBS554" s="178"/>
      <c r="IBT554" s="178"/>
      <c r="IBU554" s="178"/>
      <c r="IBV554" s="178"/>
      <c r="IBW554" s="178"/>
      <c r="IBX554" s="178"/>
      <c r="IBY554" s="178"/>
      <c r="IBZ554" s="178"/>
      <c r="ICA554" s="178"/>
      <c r="ICB554" s="178"/>
      <c r="ICC554" s="178"/>
      <c r="ICD554" s="178"/>
      <c r="ICE554" s="178"/>
      <c r="ICF554" s="178"/>
      <c r="ICG554" s="178"/>
      <c r="ICH554" s="178"/>
      <c r="ICI554" s="178"/>
      <c r="ICJ554" s="178"/>
      <c r="ICK554" s="178"/>
      <c r="ICL554" s="178"/>
      <c r="ICM554" s="178"/>
      <c r="ICN554" s="178"/>
      <c r="ICO554" s="178"/>
      <c r="ICP554" s="178"/>
      <c r="ICQ554" s="178"/>
      <c r="ICR554" s="178"/>
      <c r="ICS554" s="178"/>
      <c r="ICT554" s="178"/>
      <c r="ICU554" s="178"/>
      <c r="ICV554" s="178"/>
      <c r="ICW554" s="178"/>
      <c r="ICX554" s="178"/>
      <c r="ICY554" s="178"/>
      <c r="ICZ554" s="178"/>
      <c r="IDA554" s="178"/>
      <c r="IDB554" s="178"/>
      <c r="IDC554" s="178"/>
      <c r="IDD554" s="178"/>
      <c r="IDE554" s="178"/>
      <c r="IDF554" s="178"/>
      <c r="IDG554" s="178"/>
      <c r="IDH554" s="178"/>
      <c r="IDI554" s="178"/>
      <c r="IDJ554" s="178"/>
      <c r="IDK554" s="178"/>
      <c r="IDL554" s="178"/>
      <c r="IDM554" s="178"/>
      <c r="IDN554" s="178"/>
      <c r="IDO554" s="178"/>
      <c r="IDP554" s="178"/>
      <c r="IDQ554" s="178"/>
      <c r="IDR554" s="178"/>
      <c r="IDS554" s="178"/>
      <c r="IDT554" s="178"/>
      <c r="IDU554" s="178"/>
      <c r="IDV554" s="178"/>
      <c r="IDW554" s="178"/>
      <c r="IDX554" s="178"/>
      <c r="IDY554" s="178"/>
      <c r="IDZ554" s="178"/>
      <c r="IEA554" s="178"/>
      <c r="IEB554" s="178"/>
      <c r="IEC554" s="178"/>
      <c r="IED554" s="178"/>
      <c r="IEE554" s="178"/>
      <c r="IEF554" s="178"/>
      <c r="IEG554" s="178"/>
      <c r="IEH554" s="178"/>
      <c r="IEI554" s="178"/>
      <c r="IEJ554" s="178"/>
      <c r="IEK554" s="178"/>
      <c r="IEL554" s="178"/>
      <c r="IEM554" s="178"/>
      <c r="IEN554" s="178"/>
      <c r="IEO554" s="178"/>
      <c r="IEP554" s="178"/>
      <c r="IEQ554" s="178"/>
      <c r="IER554" s="178"/>
      <c r="IES554" s="178"/>
      <c r="IET554" s="178"/>
      <c r="IEU554" s="178"/>
      <c r="IEV554" s="178"/>
      <c r="IEW554" s="178"/>
      <c r="IEX554" s="178"/>
      <c r="IEY554" s="178"/>
      <c r="IEZ554" s="178"/>
      <c r="IFA554" s="178"/>
      <c r="IFB554" s="178"/>
      <c r="IFC554" s="178"/>
      <c r="IFD554" s="178"/>
      <c r="IFE554" s="178"/>
      <c r="IFF554" s="178"/>
      <c r="IFG554" s="178"/>
      <c r="IFH554" s="178"/>
      <c r="IFI554" s="178"/>
      <c r="IFJ554" s="178"/>
      <c r="IFK554" s="178"/>
      <c r="IFL554" s="178"/>
      <c r="IFM554" s="178"/>
      <c r="IFN554" s="178"/>
      <c r="IFO554" s="178"/>
      <c r="IFP554" s="178"/>
      <c r="IFQ554" s="178"/>
      <c r="IFR554" s="178"/>
      <c r="IFS554" s="178"/>
      <c r="IFT554" s="178"/>
      <c r="IFU554" s="178"/>
      <c r="IFV554" s="178"/>
      <c r="IFW554" s="178"/>
      <c r="IFX554" s="178"/>
      <c r="IFY554" s="178"/>
      <c r="IFZ554" s="178"/>
      <c r="IGA554" s="178"/>
      <c r="IGB554" s="178"/>
      <c r="IGC554" s="178"/>
      <c r="IGD554" s="178"/>
      <c r="IGE554" s="178"/>
      <c r="IGF554" s="178"/>
      <c r="IGG554" s="178"/>
      <c r="IGH554" s="178"/>
      <c r="IGI554" s="178"/>
      <c r="IGJ554" s="178"/>
      <c r="IGK554" s="178"/>
      <c r="IGL554" s="178"/>
      <c r="IGM554" s="178"/>
      <c r="IGN554" s="178"/>
      <c r="IGO554" s="178"/>
      <c r="IGP554" s="178"/>
      <c r="IGQ554" s="178"/>
      <c r="IGR554" s="178"/>
      <c r="IGS554" s="178"/>
      <c r="IGT554" s="178"/>
      <c r="IGU554" s="178"/>
      <c r="IGV554" s="178"/>
      <c r="IGW554" s="178"/>
      <c r="IGX554" s="178"/>
      <c r="IGY554" s="178"/>
      <c r="IGZ554" s="178"/>
      <c r="IHA554" s="178"/>
      <c r="IHB554" s="178"/>
      <c r="IHC554" s="178"/>
      <c r="IHD554" s="178"/>
      <c r="IHE554" s="178"/>
      <c r="IHF554" s="178"/>
      <c r="IHG554" s="178"/>
      <c r="IHH554" s="178"/>
      <c r="IHI554" s="178"/>
      <c r="IHJ554" s="178"/>
      <c r="IHK554" s="178"/>
      <c r="IHL554" s="178"/>
      <c r="IHM554" s="178"/>
      <c r="IHN554" s="178"/>
      <c r="IHO554" s="178"/>
      <c r="IHP554" s="178"/>
      <c r="IHQ554" s="178"/>
      <c r="IHR554" s="178"/>
      <c r="IHS554" s="178"/>
      <c r="IHT554" s="178"/>
      <c r="IHU554" s="178"/>
      <c r="IHV554" s="178"/>
      <c r="IHW554" s="178"/>
      <c r="IHX554" s="178"/>
      <c r="IHY554" s="178"/>
      <c r="IHZ554" s="178"/>
      <c r="IIA554" s="178"/>
      <c r="IIB554" s="178"/>
      <c r="IIC554" s="178"/>
      <c r="IID554" s="178"/>
      <c r="IIE554" s="178"/>
      <c r="IIF554" s="178"/>
      <c r="IIG554" s="178"/>
      <c r="IIH554" s="178"/>
      <c r="III554" s="178"/>
      <c r="IIJ554" s="178"/>
      <c r="IIK554" s="178"/>
      <c r="IIL554" s="178"/>
      <c r="IIM554" s="178"/>
      <c r="IIN554" s="178"/>
      <c r="IIO554" s="178"/>
      <c r="IIP554" s="178"/>
      <c r="IIQ554" s="178"/>
      <c r="IIR554" s="178"/>
      <c r="IIS554" s="178"/>
      <c r="IIT554" s="178"/>
      <c r="IIU554" s="178"/>
      <c r="IIV554" s="178"/>
      <c r="IIW554" s="178"/>
      <c r="IIX554" s="178"/>
      <c r="IIY554" s="178"/>
      <c r="IIZ554" s="178"/>
      <c r="IJA554" s="178"/>
      <c r="IJB554" s="178"/>
      <c r="IJC554" s="178"/>
      <c r="IJD554" s="178"/>
      <c r="IJE554" s="178"/>
      <c r="IJF554" s="178"/>
      <c r="IJG554" s="178"/>
      <c r="IJH554" s="178"/>
      <c r="IJI554" s="178"/>
      <c r="IJJ554" s="178"/>
      <c r="IJK554" s="178"/>
      <c r="IJL554" s="178"/>
      <c r="IJM554" s="178"/>
      <c r="IJN554" s="178"/>
      <c r="IJO554" s="178"/>
      <c r="IJP554" s="178"/>
      <c r="IJQ554" s="178"/>
      <c r="IJR554" s="178"/>
      <c r="IJS554" s="178"/>
      <c r="IJT554" s="178"/>
      <c r="IJU554" s="178"/>
      <c r="IJV554" s="178"/>
      <c r="IJW554" s="178"/>
      <c r="IJX554" s="178"/>
      <c r="IJY554" s="178"/>
      <c r="IJZ554" s="178"/>
      <c r="IKA554" s="178"/>
      <c r="IKB554" s="178"/>
      <c r="IKC554" s="178"/>
      <c r="IKD554" s="178"/>
      <c r="IKE554" s="178"/>
      <c r="IKF554" s="178"/>
      <c r="IKG554" s="178"/>
      <c r="IKH554" s="178"/>
      <c r="IKI554" s="178"/>
      <c r="IKJ554" s="178"/>
      <c r="IKK554" s="178"/>
      <c r="IKL554" s="178"/>
      <c r="IKM554" s="178"/>
      <c r="IKN554" s="178"/>
      <c r="IKO554" s="178"/>
      <c r="IKP554" s="178"/>
      <c r="IKQ554" s="178"/>
      <c r="IKR554" s="178"/>
      <c r="IKS554" s="178"/>
      <c r="IKT554" s="178"/>
      <c r="IKU554" s="178"/>
      <c r="IKV554" s="178"/>
      <c r="IKW554" s="178"/>
      <c r="IKX554" s="178"/>
      <c r="IKY554" s="178"/>
      <c r="IKZ554" s="178"/>
      <c r="ILA554" s="178"/>
      <c r="ILB554" s="178"/>
      <c r="ILC554" s="178"/>
      <c r="ILD554" s="178"/>
      <c r="ILE554" s="178"/>
      <c r="ILF554" s="178"/>
      <c r="ILG554" s="178"/>
      <c r="ILH554" s="178"/>
      <c r="ILI554" s="178"/>
      <c r="ILJ554" s="178"/>
      <c r="ILK554" s="178"/>
      <c r="ILL554" s="178"/>
      <c r="ILM554" s="178"/>
      <c r="ILN554" s="178"/>
      <c r="ILO554" s="178"/>
      <c r="ILP554" s="178"/>
      <c r="ILQ554" s="178"/>
      <c r="ILR554" s="178"/>
      <c r="ILS554" s="178"/>
      <c r="ILT554" s="178"/>
      <c r="ILU554" s="178"/>
      <c r="ILV554" s="178"/>
      <c r="ILW554" s="178"/>
      <c r="ILX554" s="178"/>
      <c r="ILY554" s="178"/>
      <c r="ILZ554" s="178"/>
      <c r="IMA554" s="178"/>
      <c r="IMB554" s="178"/>
      <c r="IMC554" s="178"/>
      <c r="IMD554" s="178"/>
      <c r="IME554" s="178"/>
      <c r="IMF554" s="178"/>
      <c r="IMG554" s="178"/>
      <c r="IMH554" s="178"/>
      <c r="IMI554" s="178"/>
      <c r="IMJ554" s="178"/>
      <c r="IMK554" s="178"/>
      <c r="IML554" s="178"/>
      <c r="IMM554" s="178"/>
      <c r="IMN554" s="178"/>
      <c r="IMO554" s="178"/>
      <c r="IMP554" s="178"/>
      <c r="IMQ554" s="178"/>
      <c r="IMR554" s="178"/>
      <c r="IMS554" s="178"/>
      <c r="IMT554" s="178"/>
      <c r="IMU554" s="178"/>
      <c r="IMV554" s="178"/>
      <c r="IMW554" s="178"/>
      <c r="IMX554" s="178"/>
      <c r="IMY554" s="178"/>
      <c r="IMZ554" s="178"/>
      <c r="INA554" s="178"/>
      <c r="INB554" s="178"/>
      <c r="INC554" s="178"/>
      <c r="IND554" s="178"/>
      <c r="INE554" s="178"/>
      <c r="INF554" s="178"/>
      <c r="ING554" s="178"/>
      <c r="INH554" s="178"/>
      <c r="INI554" s="178"/>
      <c r="INJ554" s="178"/>
      <c r="INK554" s="178"/>
      <c r="INL554" s="178"/>
      <c r="INM554" s="178"/>
      <c r="INN554" s="178"/>
      <c r="INO554" s="178"/>
      <c r="INP554" s="178"/>
      <c r="INQ554" s="178"/>
      <c r="INR554" s="178"/>
      <c r="INS554" s="178"/>
      <c r="INT554" s="178"/>
      <c r="INU554" s="178"/>
      <c r="INV554" s="178"/>
      <c r="INW554" s="178"/>
      <c r="INX554" s="178"/>
      <c r="INY554" s="178"/>
      <c r="INZ554" s="178"/>
      <c r="IOA554" s="178"/>
      <c r="IOB554" s="178"/>
      <c r="IOC554" s="178"/>
      <c r="IOD554" s="178"/>
      <c r="IOE554" s="178"/>
      <c r="IOF554" s="178"/>
      <c r="IOG554" s="178"/>
      <c r="IOH554" s="178"/>
      <c r="IOI554" s="178"/>
      <c r="IOJ554" s="178"/>
      <c r="IOK554" s="178"/>
      <c r="IOL554" s="178"/>
      <c r="IOM554" s="178"/>
      <c r="ION554" s="178"/>
      <c r="IOO554" s="178"/>
      <c r="IOP554" s="178"/>
      <c r="IOQ554" s="178"/>
      <c r="IOR554" s="178"/>
      <c r="IOS554" s="178"/>
      <c r="IOT554" s="178"/>
      <c r="IOU554" s="178"/>
      <c r="IOV554" s="178"/>
      <c r="IOW554" s="178"/>
      <c r="IOX554" s="178"/>
      <c r="IOY554" s="178"/>
      <c r="IOZ554" s="178"/>
      <c r="IPA554" s="178"/>
      <c r="IPB554" s="178"/>
      <c r="IPC554" s="178"/>
      <c r="IPD554" s="178"/>
      <c r="IPE554" s="178"/>
      <c r="IPF554" s="178"/>
      <c r="IPG554" s="178"/>
      <c r="IPH554" s="178"/>
      <c r="IPI554" s="178"/>
      <c r="IPJ554" s="178"/>
      <c r="IPK554" s="178"/>
      <c r="IPL554" s="178"/>
      <c r="IPM554" s="178"/>
      <c r="IPN554" s="178"/>
      <c r="IPO554" s="178"/>
      <c r="IPP554" s="178"/>
      <c r="IPQ554" s="178"/>
      <c r="IPR554" s="178"/>
      <c r="IPS554" s="178"/>
      <c r="IPT554" s="178"/>
      <c r="IPU554" s="178"/>
      <c r="IPV554" s="178"/>
      <c r="IPW554" s="178"/>
      <c r="IPX554" s="178"/>
      <c r="IPY554" s="178"/>
      <c r="IPZ554" s="178"/>
      <c r="IQA554" s="178"/>
      <c r="IQB554" s="178"/>
      <c r="IQC554" s="178"/>
      <c r="IQD554" s="178"/>
      <c r="IQE554" s="178"/>
      <c r="IQF554" s="178"/>
      <c r="IQG554" s="178"/>
      <c r="IQH554" s="178"/>
      <c r="IQI554" s="178"/>
      <c r="IQJ554" s="178"/>
      <c r="IQK554" s="178"/>
      <c r="IQL554" s="178"/>
      <c r="IQM554" s="178"/>
      <c r="IQN554" s="178"/>
      <c r="IQO554" s="178"/>
      <c r="IQP554" s="178"/>
      <c r="IQQ554" s="178"/>
      <c r="IQR554" s="178"/>
      <c r="IQS554" s="178"/>
      <c r="IQT554" s="178"/>
      <c r="IQU554" s="178"/>
      <c r="IQV554" s="178"/>
      <c r="IQW554" s="178"/>
      <c r="IQX554" s="178"/>
      <c r="IQY554" s="178"/>
      <c r="IQZ554" s="178"/>
      <c r="IRA554" s="178"/>
      <c r="IRB554" s="178"/>
      <c r="IRC554" s="178"/>
      <c r="IRD554" s="178"/>
      <c r="IRE554" s="178"/>
      <c r="IRF554" s="178"/>
      <c r="IRG554" s="178"/>
      <c r="IRH554" s="178"/>
      <c r="IRI554" s="178"/>
      <c r="IRJ554" s="178"/>
      <c r="IRK554" s="178"/>
      <c r="IRL554" s="178"/>
      <c r="IRM554" s="178"/>
      <c r="IRN554" s="178"/>
      <c r="IRO554" s="178"/>
      <c r="IRP554" s="178"/>
      <c r="IRQ554" s="178"/>
      <c r="IRR554" s="178"/>
      <c r="IRS554" s="178"/>
      <c r="IRT554" s="178"/>
      <c r="IRU554" s="178"/>
      <c r="IRV554" s="178"/>
      <c r="IRW554" s="178"/>
      <c r="IRX554" s="178"/>
      <c r="IRY554" s="178"/>
      <c r="IRZ554" s="178"/>
      <c r="ISA554" s="178"/>
      <c r="ISB554" s="178"/>
      <c r="ISC554" s="178"/>
      <c r="ISD554" s="178"/>
      <c r="ISE554" s="178"/>
      <c r="ISF554" s="178"/>
      <c r="ISG554" s="178"/>
      <c r="ISH554" s="178"/>
      <c r="ISI554" s="178"/>
      <c r="ISJ554" s="178"/>
      <c r="ISK554" s="178"/>
      <c r="ISL554" s="178"/>
      <c r="ISM554" s="178"/>
      <c r="ISN554" s="178"/>
      <c r="ISO554" s="178"/>
      <c r="ISP554" s="178"/>
      <c r="ISQ554" s="178"/>
      <c r="ISR554" s="178"/>
      <c r="ISS554" s="178"/>
      <c r="IST554" s="178"/>
      <c r="ISU554" s="178"/>
      <c r="ISV554" s="178"/>
      <c r="ISW554" s="178"/>
      <c r="ISX554" s="178"/>
      <c r="ISY554" s="178"/>
      <c r="ISZ554" s="178"/>
      <c r="ITA554" s="178"/>
      <c r="ITB554" s="178"/>
      <c r="ITC554" s="178"/>
      <c r="ITD554" s="178"/>
      <c r="ITE554" s="178"/>
      <c r="ITF554" s="178"/>
      <c r="ITG554" s="178"/>
      <c r="ITH554" s="178"/>
      <c r="ITI554" s="178"/>
      <c r="ITJ554" s="178"/>
      <c r="ITK554" s="178"/>
      <c r="ITL554" s="178"/>
      <c r="ITM554" s="178"/>
      <c r="ITN554" s="178"/>
      <c r="ITO554" s="178"/>
      <c r="ITP554" s="178"/>
      <c r="ITQ554" s="178"/>
      <c r="ITR554" s="178"/>
      <c r="ITS554" s="178"/>
      <c r="ITT554" s="178"/>
      <c r="ITU554" s="178"/>
      <c r="ITV554" s="178"/>
      <c r="ITW554" s="178"/>
      <c r="ITX554" s="178"/>
      <c r="ITY554" s="178"/>
      <c r="ITZ554" s="178"/>
      <c r="IUA554" s="178"/>
      <c r="IUB554" s="178"/>
      <c r="IUC554" s="178"/>
      <c r="IUD554" s="178"/>
      <c r="IUE554" s="178"/>
      <c r="IUF554" s="178"/>
      <c r="IUG554" s="178"/>
      <c r="IUH554" s="178"/>
      <c r="IUI554" s="178"/>
      <c r="IUJ554" s="178"/>
      <c r="IUK554" s="178"/>
      <c r="IUL554" s="178"/>
      <c r="IUM554" s="178"/>
      <c r="IUN554" s="178"/>
      <c r="IUO554" s="178"/>
      <c r="IUP554" s="178"/>
      <c r="IUQ554" s="178"/>
      <c r="IUR554" s="178"/>
      <c r="IUS554" s="178"/>
      <c r="IUT554" s="178"/>
      <c r="IUU554" s="178"/>
      <c r="IUV554" s="178"/>
      <c r="IUW554" s="178"/>
      <c r="IUX554" s="178"/>
      <c r="IUY554" s="178"/>
      <c r="IUZ554" s="178"/>
      <c r="IVA554" s="178"/>
      <c r="IVB554" s="178"/>
      <c r="IVC554" s="178"/>
      <c r="IVD554" s="178"/>
      <c r="IVE554" s="178"/>
      <c r="IVF554" s="178"/>
      <c r="IVG554" s="178"/>
      <c r="IVH554" s="178"/>
      <c r="IVI554" s="178"/>
      <c r="IVJ554" s="178"/>
      <c r="IVK554" s="178"/>
      <c r="IVL554" s="178"/>
      <c r="IVM554" s="178"/>
      <c r="IVN554" s="178"/>
      <c r="IVO554" s="178"/>
      <c r="IVP554" s="178"/>
      <c r="IVQ554" s="178"/>
      <c r="IVR554" s="178"/>
      <c r="IVS554" s="178"/>
      <c r="IVT554" s="178"/>
      <c r="IVU554" s="178"/>
      <c r="IVV554" s="178"/>
      <c r="IVW554" s="178"/>
      <c r="IVX554" s="178"/>
      <c r="IVY554" s="178"/>
      <c r="IVZ554" s="178"/>
      <c r="IWA554" s="178"/>
      <c r="IWB554" s="178"/>
      <c r="IWC554" s="178"/>
      <c r="IWD554" s="178"/>
      <c r="IWE554" s="178"/>
      <c r="IWF554" s="178"/>
      <c r="IWG554" s="178"/>
      <c r="IWH554" s="178"/>
      <c r="IWI554" s="178"/>
      <c r="IWJ554" s="178"/>
      <c r="IWK554" s="178"/>
      <c r="IWL554" s="178"/>
      <c r="IWM554" s="178"/>
      <c r="IWN554" s="178"/>
      <c r="IWO554" s="178"/>
      <c r="IWP554" s="178"/>
      <c r="IWQ554" s="178"/>
      <c r="IWR554" s="178"/>
      <c r="IWS554" s="178"/>
      <c r="IWT554" s="178"/>
      <c r="IWU554" s="178"/>
      <c r="IWV554" s="178"/>
      <c r="IWW554" s="178"/>
      <c r="IWX554" s="178"/>
      <c r="IWY554" s="178"/>
      <c r="IWZ554" s="178"/>
      <c r="IXA554" s="178"/>
      <c r="IXB554" s="178"/>
      <c r="IXC554" s="178"/>
      <c r="IXD554" s="178"/>
      <c r="IXE554" s="178"/>
      <c r="IXF554" s="178"/>
      <c r="IXG554" s="178"/>
      <c r="IXH554" s="178"/>
      <c r="IXI554" s="178"/>
      <c r="IXJ554" s="178"/>
      <c r="IXK554" s="178"/>
      <c r="IXL554" s="178"/>
      <c r="IXM554" s="178"/>
      <c r="IXN554" s="178"/>
      <c r="IXO554" s="178"/>
      <c r="IXP554" s="178"/>
      <c r="IXQ554" s="178"/>
      <c r="IXR554" s="178"/>
      <c r="IXS554" s="178"/>
      <c r="IXT554" s="178"/>
      <c r="IXU554" s="178"/>
      <c r="IXV554" s="178"/>
      <c r="IXW554" s="178"/>
      <c r="IXX554" s="178"/>
      <c r="IXY554" s="178"/>
      <c r="IXZ554" s="178"/>
      <c r="IYA554" s="178"/>
      <c r="IYB554" s="178"/>
      <c r="IYC554" s="178"/>
      <c r="IYD554" s="178"/>
      <c r="IYE554" s="178"/>
      <c r="IYF554" s="178"/>
      <c r="IYG554" s="178"/>
      <c r="IYH554" s="178"/>
      <c r="IYI554" s="178"/>
      <c r="IYJ554" s="178"/>
      <c r="IYK554" s="178"/>
      <c r="IYL554" s="178"/>
      <c r="IYM554" s="178"/>
      <c r="IYN554" s="178"/>
      <c r="IYO554" s="178"/>
      <c r="IYP554" s="178"/>
      <c r="IYQ554" s="178"/>
      <c r="IYR554" s="178"/>
      <c r="IYS554" s="178"/>
      <c r="IYT554" s="178"/>
      <c r="IYU554" s="178"/>
      <c r="IYV554" s="178"/>
      <c r="IYW554" s="178"/>
      <c r="IYX554" s="178"/>
      <c r="IYY554" s="178"/>
      <c r="IYZ554" s="178"/>
      <c r="IZA554" s="178"/>
      <c r="IZB554" s="178"/>
      <c r="IZC554" s="178"/>
      <c r="IZD554" s="178"/>
      <c r="IZE554" s="178"/>
      <c r="IZF554" s="178"/>
      <c r="IZG554" s="178"/>
      <c r="IZH554" s="178"/>
      <c r="IZI554" s="178"/>
      <c r="IZJ554" s="178"/>
      <c r="IZK554" s="178"/>
      <c r="IZL554" s="178"/>
      <c r="IZM554" s="178"/>
      <c r="IZN554" s="178"/>
      <c r="IZO554" s="178"/>
      <c r="IZP554" s="178"/>
      <c r="IZQ554" s="178"/>
      <c r="IZR554" s="178"/>
      <c r="IZS554" s="178"/>
      <c r="IZT554" s="178"/>
      <c r="IZU554" s="178"/>
      <c r="IZV554" s="178"/>
      <c r="IZW554" s="178"/>
      <c r="IZX554" s="178"/>
      <c r="IZY554" s="178"/>
      <c r="IZZ554" s="178"/>
      <c r="JAA554" s="178"/>
      <c r="JAB554" s="178"/>
      <c r="JAC554" s="178"/>
      <c r="JAD554" s="178"/>
      <c r="JAE554" s="178"/>
      <c r="JAF554" s="178"/>
      <c r="JAG554" s="178"/>
      <c r="JAH554" s="178"/>
      <c r="JAI554" s="178"/>
      <c r="JAJ554" s="178"/>
      <c r="JAK554" s="178"/>
      <c r="JAL554" s="178"/>
      <c r="JAM554" s="178"/>
      <c r="JAN554" s="178"/>
      <c r="JAO554" s="178"/>
      <c r="JAP554" s="178"/>
      <c r="JAQ554" s="178"/>
      <c r="JAR554" s="178"/>
      <c r="JAS554" s="178"/>
      <c r="JAT554" s="178"/>
      <c r="JAU554" s="178"/>
      <c r="JAV554" s="178"/>
      <c r="JAW554" s="178"/>
      <c r="JAX554" s="178"/>
      <c r="JAY554" s="178"/>
      <c r="JAZ554" s="178"/>
      <c r="JBA554" s="178"/>
      <c r="JBB554" s="178"/>
      <c r="JBC554" s="178"/>
      <c r="JBD554" s="178"/>
      <c r="JBE554" s="178"/>
      <c r="JBF554" s="178"/>
      <c r="JBG554" s="178"/>
      <c r="JBH554" s="178"/>
      <c r="JBI554" s="178"/>
      <c r="JBJ554" s="178"/>
      <c r="JBK554" s="178"/>
      <c r="JBL554" s="178"/>
      <c r="JBM554" s="178"/>
      <c r="JBN554" s="178"/>
      <c r="JBO554" s="178"/>
      <c r="JBP554" s="178"/>
      <c r="JBQ554" s="178"/>
      <c r="JBR554" s="178"/>
      <c r="JBS554" s="178"/>
      <c r="JBT554" s="178"/>
      <c r="JBU554" s="178"/>
      <c r="JBV554" s="178"/>
      <c r="JBW554" s="178"/>
      <c r="JBX554" s="178"/>
      <c r="JBY554" s="178"/>
      <c r="JBZ554" s="178"/>
      <c r="JCA554" s="178"/>
      <c r="JCB554" s="178"/>
      <c r="JCC554" s="178"/>
      <c r="JCD554" s="178"/>
      <c r="JCE554" s="178"/>
      <c r="JCF554" s="178"/>
      <c r="JCG554" s="178"/>
      <c r="JCH554" s="178"/>
      <c r="JCI554" s="178"/>
      <c r="JCJ554" s="178"/>
      <c r="JCK554" s="178"/>
      <c r="JCL554" s="178"/>
      <c r="JCM554" s="178"/>
      <c r="JCN554" s="178"/>
      <c r="JCO554" s="178"/>
      <c r="JCP554" s="178"/>
      <c r="JCQ554" s="178"/>
      <c r="JCR554" s="178"/>
      <c r="JCS554" s="178"/>
      <c r="JCT554" s="178"/>
      <c r="JCU554" s="178"/>
      <c r="JCV554" s="178"/>
      <c r="JCW554" s="178"/>
      <c r="JCX554" s="178"/>
      <c r="JCY554" s="178"/>
      <c r="JCZ554" s="178"/>
      <c r="JDA554" s="178"/>
      <c r="JDB554" s="178"/>
      <c r="JDC554" s="178"/>
      <c r="JDD554" s="178"/>
      <c r="JDE554" s="178"/>
      <c r="JDF554" s="178"/>
      <c r="JDG554" s="178"/>
      <c r="JDH554" s="178"/>
      <c r="JDI554" s="178"/>
      <c r="JDJ554" s="178"/>
      <c r="JDK554" s="178"/>
      <c r="JDL554" s="178"/>
      <c r="JDM554" s="178"/>
      <c r="JDN554" s="178"/>
      <c r="JDO554" s="178"/>
      <c r="JDP554" s="178"/>
      <c r="JDQ554" s="178"/>
      <c r="JDR554" s="178"/>
      <c r="JDS554" s="178"/>
      <c r="JDT554" s="178"/>
      <c r="JDU554" s="178"/>
      <c r="JDV554" s="178"/>
      <c r="JDW554" s="178"/>
      <c r="JDX554" s="178"/>
      <c r="JDY554" s="178"/>
      <c r="JDZ554" s="178"/>
      <c r="JEA554" s="178"/>
      <c r="JEB554" s="178"/>
      <c r="JEC554" s="178"/>
      <c r="JED554" s="178"/>
      <c r="JEE554" s="178"/>
      <c r="JEF554" s="178"/>
      <c r="JEG554" s="178"/>
      <c r="JEH554" s="178"/>
      <c r="JEI554" s="178"/>
      <c r="JEJ554" s="178"/>
      <c r="JEK554" s="178"/>
      <c r="JEL554" s="178"/>
      <c r="JEM554" s="178"/>
      <c r="JEN554" s="178"/>
      <c r="JEO554" s="178"/>
      <c r="JEP554" s="178"/>
      <c r="JEQ554" s="178"/>
      <c r="JER554" s="178"/>
      <c r="JES554" s="178"/>
      <c r="JET554" s="178"/>
      <c r="JEU554" s="178"/>
      <c r="JEV554" s="178"/>
      <c r="JEW554" s="178"/>
      <c r="JEX554" s="178"/>
      <c r="JEY554" s="178"/>
      <c r="JEZ554" s="178"/>
      <c r="JFA554" s="178"/>
      <c r="JFB554" s="178"/>
      <c r="JFC554" s="178"/>
      <c r="JFD554" s="178"/>
      <c r="JFE554" s="178"/>
      <c r="JFF554" s="178"/>
      <c r="JFG554" s="178"/>
      <c r="JFH554" s="178"/>
      <c r="JFI554" s="178"/>
      <c r="JFJ554" s="178"/>
      <c r="JFK554" s="178"/>
      <c r="JFL554" s="178"/>
      <c r="JFM554" s="178"/>
      <c r="JFN554" s="178"/>
      <c r="JFO554" s="178"/>
      <c r="JFP554" s="178"/>
      <c r="JFQ554" s="178"/>
      <c r="JFR554" s="178"/>
      <c r="JFS554" s="178"/>
      <c r="JFT554" s="178"/>
      <c r="JFU554" s="178"/>
      <c r="JFV554" s="178"/>
      <c r="JFW554" s="178"/>
      <c r="JFX554" s="178"/>
      <c r="JFY554" s="178"/>
      <c r="JFZ554" s="178"/>
      <c r="JGA554" s="178"/>
      <c r="JGB554" s="178"/>
      <c r="JGC554" s="178"/>
      <c r="JGD554" s="178"/>
      <c r="JGE554" s="178"/>
      <c r="JGF554" s="178"/>
      <c r="JGG554" s="178"/>
      <c r="JGH554" s="178"/>
      <c r="JGI554" s="178"/>
      <c r="JGJ554" s="178"/>
      <c r="JGK554" s="178"/>
      <c r="JGL554" s="178"/>
      <c r="JGM554" s="178"/>
      <c r="JGN554" s="178"/>
      <c r="JGO554" s="178"/>
      <c r="JGP554" s="178"/>
      <c r="JGQ554" s="178"/>
      <c r="JGR554" s="178"/>
      <c r="JGS554" s="178"/>
      <c r="JGT554" s="178"/>
      <c r="JGU554" s="178"/>
      <c r="JGV554" s="178"/>
      <c r="JGW554" s="178"/>
      <c r="JGX554" s="178"/>
      <c r="JGY554" s="178"/>
      <c r="JGZ554" s="178"/>
      <c r="JHA554" s="178"/>
      <c r="JHB554" s="178"/>
      <c r="JHC554" s="178"/>
      <c r="JHD554" s="178"/>
      <c r="JHE554" s="178"/>
      <c r="JHF554" s="178"/>
      <c r="JHG554" s="178"/>
      <c r="JHH554" s="178"/>
      <c r="JHI554" s="178"/>
      <c r="JHJ554" s="178"/>
      <c r="JHK554" s="178"/>
      <c r="JHL554" s="178"/>
      <c r="JHM554" s="178"/>
      <c r="JHN554" s="178"/>
      <c r="JHO554" s="178"/>
      <c r="JHP554" s="178"/>
      <c r="JHQ554" s="178"/>
      <c r="JHR554" s="178"/>
      <c r="JHS554" s="178"/>
      <c r="JHT554" s="178"/>
      <c r="JHU554" s="178"/>
      <c r="JHV554" s="178"/>
      <c r="JHW554" s="178"/>
      <c r="JHX554" s="178"/>
      <c r="JHY554" s="178"/>
      <c r="JHZ554" s="178"/>
      <c r="JIA554" s="178"/>
      <c r="JIB554" s="178"/>
      <c r="JIC554" s="178"/>
      <c r="JID554" s="178"/>
      <c r="JIE554" s="178"/>
      <c r="JIF554" s="178"/>
      <c r="JIG554" s="178"/>
      <c r="JIH554" s="178"/>
      <c r="JII554" s="178"/>
      <c r="JIJ554" s="178"/>
      <c r="JIK554" s="178"/>
      <c r="JIL554" s="178"/>
      <c r="JIM554" s="178"/>
      <c r="JIN554" s="178"/>
      <c r="JIO554" s="178"/>
      <c r="JIP554" s="178"/>
      <c r="JIQ554" s="178"/>
      <c r="JIR554" s="178"/>
      <c r="JIS554" s="178"/>
      <c r="JIT554" s="178"/>
      <c r="JIU554" s="178"/>
      <c r="JIV554" s="178"/>
      <c r="JIW554" s="178"/>
      <c r="JIX554" s="178"/>
      <c r="JIY554" s="178"/>
      <c r="JIZ554" s="178"/>
      <c r="JJA554" s="178"/>
      <c r="JJB554" s="178"/>
      <c r="JJC554" s="178"/>
      <c r="JJD554" s="178"/>
      <c r="JJE554" s="178"/>
      <c r="JJF554" s="178"/>
      <c r="JJG554" s="178"/>
      <c r="JJH554" s="178"/>
      <c r="JJI554" s="178"/>
      <c r="JJJ554" s="178"/>
      <c r="JJK554" s="178"/>
      <c r="JJL554" s="178"/>
      <c r="JJM554" s="178"/>
      <c r="JJN554" s="178"/>
      <c r="JJO554" s="178"/>
      <c r="JJP554" s="178"/>
      <c r="JJQ554" s="178"/>
      <c r="JJR554" s="178"/>
      <c r="JJS554" s="178"/>
      <c r="JJT554" s="178"/>
      <c r="JJU554" s="178"/>
      <c r="JJV554" s="178"/>
      <c r="JJW554" s="178"/>
      <c r="JJX554" s="178"/>
      <c r="JJY554" s="178"/>
      <c r="JJZ554" s="178"/>
      <c r="JKA554" s="178"/>
      <c r="JKB554" s="178"/>
      <c r="JKC554" s="178"/>
      <c r="JKD554" s="178"/>
      <c r="JKE554" s="178"/>
      <c r="JKF554" s="178"/>
      <c r="JKG554" s="178"/>
      <c r="JKH554" s="178"/>
      <c r="JKI554" s="178"/>
      <c r="JKJ554" s="178"/>
      <c r="JKK554" s="178"/>
      <c r="JKL554" s="178"/>
      <c r="JKM554" s="178"/>
      <c r="JKN554" s="178"/>
      <c r="JKO554" s="178"/>
      <c r="JKP554" s="178"/>
      <c r="JKQ554" s="178"/>
      <c r="JKR554" s="178"/>
      <c r="JKS554" s="178"/>
      <c r="JKT554" s="178"/>
      <c r="JKU554" s="178"/>
      <c r="JKV554" s="178"/>
      <c r="JKW554" s="178"/>
      <c r="JKX554" s="178"/>
      <c r="JKY554" s="178"/>
      <c r="JKZ554" s="178"/>
      <c r="JLA554" s="178"/>
      <c r="JLB554" s="178"/>
      <c r="JLC554" s="178"/>
      <c r="JLD554" s="178"/>
      <c r="JLE554" s="178"/>
      <c r="JLF554" s="178"/>
      <c r="JLG554" s="178"/>
      <c r="JLH554" s="178"/>
      <c r="JLI554" s="178"/>
      <c r="JLJ554" s="178"/>
      <c r="JLK554" s="178"/>
      <c r="JLL554" s="178"/>
      <c r="JLM554" s="178"/>
      <c r="JLN554" s="178"/>
      <c r="JLO554" s="178"/>
      <c r="JLP554" s="178"/>
      <c r="JLQ554" s="178"/>
      <c r="JLR554" s="178"/>
      <c r="JLS554" s="178"/>
      <c r="JLT554" s="178"/>
      <c r="JLU554" s="178"/>
      <c r="JLV554" s="178"/>
      <c r="JLW554" s="178"/>
      <c r="JLX554" s="178"/>
      <c r="JLY554" s="178"/>
      <c r="JLZ554" s="178"/>
      <c r="JMA554" s="178"/>
      <c r="JMB554" s="178"/>
      <c r="JMC554" s="178"/>
      <c r="JMD554" s="178"/>
      <c r="JME554" s="178"/>
      <c r="JMF554" s="178"/>
      <c r="JMG554" s="178"/>
      <c r="JMH554" s="178"/>
      <c r="JMI554" s="178"/>
      <c r="JMJ554" s="178"/>
      <c r="JMK554" s="178"/>
      <c r="JML554" s="178"/>
      <c r="JMM554" s="178"/>
      <c r="JMN554" s="178"/>
      <c r="JMO554" s="178"/>
      <c r="JMP554" s="178"/>
      <c r="JMQ554" s="178"/>
      <c r="JMR554" s="178"/>
      <c r="JMS554" s="178"/>
      <c r="JMT554" s="178"/>
      <c r="JMU554" s="178"/>
      <c r="JMV554" s="178"/>
      <c r="JMW554" s="178"/>
      <c r="JMX554" s="178"/>
      <c r="JMY554" s="178"/>
      <c r="JMZ554" s="178"/>
      <c r="JNA554" s="178"/>
      <c r="JNB554" s="178"/>
      <c r="JNC554" s="178"/>
      <c r="JND554" s="178"/>
      <c r="JNE554" s="178"/>
      <c r="JNF554" s="178"/>
      <c r="JNG554" s="178"/>
      <c r="JNH554" s="178"/>
      <c r="JNI554" s="178"/>
      <c r="JNJ554" s="178"/>
      <c r="JNK554" s="178"/>
      <c r="JNL554" s="178"/>
      <c r="JNM554" s="178"/>
      <c r="JNN554" s="178"/>
      <c r="JNO554" s="178"/>
      <c r="JNP554" s="178"/>
      <c r="JNQ554" s="178"/>
      <c r="JNR554" s="178"/>
      <c r="JNS554" s="178"/>
      <c r="JNT554" s="178"/>
      <c r="JNU554" s="178"/>
      <c r="JNV554" s="178"/>
      <c r="JNW554" s="178"/>
      <c r="JNX554" s="178"/>
      <c r="JNY554" s="178"/>
      <c r="JNZ554" s="178"/>
      <c r="JOA554" s="178"/>
      <c r="JOB554" s="178"/>
      <c r="JOC554" s="178"/>
      <c r="JOD554" s="178"/>
      <c r="JOE554" s="178"/>
      <c r="JOF554" s="178"/>
      <c r="JOG554" s="178"/>
      <c r="JOH554" s="178"/>
      <c r="JOI554" s="178"/>
      <c r="JOJ554" s="178"/>
      <c r="JOK554" s="178"/>
      <c r="JOL554" s="178"/>
      <c r="JOM554" s="178"/>
      <c r="JON554" s="178"/>
      <c r="JOO554" s="178"/>
      <c r="JOP554" s="178"/>
      <c r="JOQ554" s="178"/>
      <c r="JOR554" s="178"/>
      <c r="JOS554" s="178"/>
      <c r="JOT554" s="178"/>
      <c r="JOU554" s="178"/>
      <c r="JOV554" s="178"/>
      <c r="JOW554" s="178"/>
      <c r="JOX554" s="178"/>
      <c r="JOY554" s="178"/>
      <c r="JOZ554" s="178"/>
      <c r="JPA554" s="178"/>
      <c r="JPB554" s="178"/>
      <c r="JPC554" s="178"/>
      <c r="JPD554" s="178"/>
      <c r="JPE554" s="178"/>
      <c r="JPF554" s="178"/>
      <c r="JPG554" s="178"/>
      <c r="JPH554" s="178"/>
      <c r="JPI554" s="178"/>
      <c r="JPJ554" s="178"/>
      <c r="JPK554" s="178"/>
      <c r="JPL554" s="178"/>
      <c r="JPM554" s="178"/>
      <c r="JPN554" s="178"/>
      <c r="JPO554" s="178"/>
      <c r="JPP554" s="178"/>
      <c r="JPQ554" s="178"/>
      <c r="JPR554" s="178"/>
      <c r="JPS554" s="178"/>
      <c r="JPT554" s="178"/>
      <c r="JPU554" s="178"/>
      <c r="JPV554" s="178"/>
      <c r="JPW554" s="178"/>
      <c r="JPX554" s="178"/>
      <c r="JPY554" s="178"/>
      <c r="JPZ554" s="178"/>
      <c r="JQA554" s="178"/>
      <c r="JQB554" s="178"/>
      <c r="JQC554" s="178"/>
      <c r="JQD554" s="178"/>
      <c r="JQE554" s="178"/>
      <c r="JQF554" s="178"/>
      <c r="JQG554" s="178"/>
      <c r="JQH554" s="178"/>
      <c r="JQI554" s="178"/>
      <c r="JQJ554" s="178"/>
      <c r="JQK554" s="178"/>
      <c r="JQL554" s="178"/>
      <c r="JQM554" s="178"/>
      <c r="JQN554" s="178"/>
      <c r="JQO554" s="178"/>
      <c r="JQP554" s="178"/>
      <c r="JQQ554" s="178"/>
      <c r="JQR554" s="178"/>
      <c r="JQS554" s="178"/>
      <c r="JQT554" s="178"/>
      <c r="JQU554" s="178"/>
      <c r="JQV554" s="178"/>
      <c r="JQW554" s="178"/>
      <c r="JQX554" s="178"/>
      <c r="JQY554" s="178"/>
      <c r="JQZ554" s="178"/>
      <c r="JRA554" s="178"/>
      <c r="JRB554" s="178"/>
      <c r="JRC554" s="178"/>
      <c r="JRD554" s="178"/>
      <c r="JRE554" s="178"/>
      <c r="JRF554" s="178"/>
      <c r="JRG554" s="178"/>
      <c r="JRH554" s="178"/>
      <c r="JRI554" s="178"/>
      <c r="JRJ554" s="178"/>
      <c r="JRK554" s="178"/>
      <c r="JRL554" s="178"/>
      <c r="JRM554" s="178"/>
      <c r="JRN554" s="178"/>
      <c r="JRO554" s="178"/>
      <c r="JRP554" s="178"/>
      <c r="JRQ554" s="178"/>
      <c r="JRR554" s="178"/>
      <c r="JRS554" s="178"/>
      <c r="JRT554" s="178"/>
      <c r="JRU554" s="178"/>
      <c r="JRV554" s="178"/>
      <c r="JRW554" s="178"/>
      <c r="JRX554" s="178"/>
      <c r="JRY554" s="178"/>
      <c r="JRZ554" s="178"/>
      <c r="JSA554" s="178"/>
      <c r="JSB554" s="178"/>
      <c r="JSC554" s="178"/>
      <c r="JSD554" s="178"/>
      <c r="JSE554" s="178"/>
      <c r="JSF554" s="178"/>
      <c r="JSG554" s="178"/>
      <c r="JSH554" s="178"/>
      <c r="JSI554" s="178"/>
      <c r="JSJ554" s="178"/>
      <c r="JSK554" s="178"/>
      <c r="JSL554" s="178"/>
      <c r="JSM554" s="178"/>
      <c r="JSN554" s="178"/>
      <c r="JSO554" s="178"/>
      <c r="JSP554" s="178"/>
      <c r="JSQ554" s="178"/>
      <c r="JSR554" s="178"/>
      <c r="JSS554" s="178"/>
      <c r="JST554" s="178"/>
      <c r="JSU554" s="178"/>
      <c r="JSV554" s="178"/>
      <c r="JSW554" s="178"/>
      <c r="JSX554" s="178"/>
      <c r="JSY554" s="178"/>
      <c r="JSZ554" s="178"/>
      <c r="JTA554" s="178"/>
      <c r="JTB554" s="178"/>
      <c r="JTC554" s="178"/>
      <c r="JTD554" s="178"/>
      <c r="JTE554" s="178"/>
      <c r="JTF554" s="178"/>
      <c r="JTG554" s="178"/>
      <c r="JTH554" s="178"/>
      <c r="JTI554" s="178"/>
      <c r="JTJ554" s="178"/>
      <c r="JTK554" s="178"/>
      <c r="JTL554" s="178"/>
      <c r="JTM554" s="178"/>
      <c r="JTN554" s="178"/>
      <c r="JTO554" s="178"/>
      <c r="JTP554" s="178"/>
      <c r="JTQ554" s="178"/>
      <c r="JTR554" s="178"/>
      <c r="JTS554" s="178"/>
      <c r="JTT554" s="178"/>
      <c r="JTU554" s="178"/>
      <c r="JTV554" s="178"/>
      <c r="JTW554" s="178"/>
      <c r="JTX554" s="178"/>
      <c r="JTY554" s="178"/>
      <c r="JTZ554" s="178"/>
      <c r="JUA554" s="178"/>
      <c r="JUB554" s="178"/>
      <c r="JUC554" s="178"/>
      <c r="JUD554" s="178"/>
      <c r="JUE554" s="178"/>
      <c r="JUF554" s="178"/>
      <c r="JUG554" s="178"/>
      <c r="JUH554" s="178"/>
      <c r="JUI554" s="178"/>
      <c r="JUJ554" s="178"/>
      <c r="JUK554" s="178"/>
      <c r="JUL554" s="178"/>
      <c r="JUM554" s="178"/>
      <c r="JUN554" s="178"/>
      <c r="JUO554" s="178"/>
      <c r="JUP554" s="178"/>
      <c r="JUQ554" s="178"/>
      <c r="JUR554" s="178"/>
      <c r="JUS554" s="178"/>
      <c r="JUT554" s="178"/>
      <c r="JUU554" s="178"/>
      <c r="JUV554" s="178"/>
      <c r="JUW554" s="178"/>
      <c r="JUX554" s="178"/>
      <c r="JUY554" s="178"/>
      <c r="JUZ554" s="178"/>
      <c r="JVA554" s="178"/>
      <c r="JVB554" s="178"/>
      <c r="JVC554" s="178"/>
      <c r="JVD554" s="178"/>
      <c r="JVE554" s="178"/>
      <c r="JVF554" s="178"/>
      <c r="JVG554" s="178"/>
      <c r="JVH554" s="178"/>
      <c r="JVI554" s="178"/>
      <c r="JVJ554" s="178"/>
      <c r="JVK554" s="178"/>
      <c r="JVL554" s="178"/>
      <c r="JVM554" s="178"/>
      <c r="JVN554" s="178"/>
      <c r="JVO554" s="178"/>
      <c r="JVP554" s="178"/>
      <c r="JVQ554" s="178"/>
      <c r="JVR554" s="178"/>
      <c r="JVS554" s="178"/>
      <c r="JVT554" s="178"/>
      <c r="JVU554" s="178"/>
      <c r="JVV554" s="178"/>
      <c r="JVW554" s="178"/>
      <c r="JVX554" s="178"/>
      <c r="JVY554" s="178"/>
      <c r="JVZ554" s="178"/>
      <c r="JWA554" s="178"/>
      <c r="JWB554" s="178"/>
      <c r="JWC554" s="178"/>
      <c r="JWD554" s="178"/>
      <c r="JWE554" s="178"/>
      <c r="JWF554" s="178"/>
      <c r="JWG554" s="178"/>
      <c r="JWH554" s="178"/>
      <c r="JWI554" s="178"/>
      <c r="JWJ554" s="178"/>
      <c r="JWK554" s="178"/>
      <c r="JWL554" s="178"/>
      <c r="JWM554" s="178"/>
      <c r="JWN554" s="178"/>
      <c r="JWO554" s="178"/>
      <c r="JWP554" s="178"/>
      <c r="JWQ554" s="178"/>
      <c r="JWR554" s="178"/>
      <c r="JWS554" s="178"/>
      <c r="JWT554" s="178"/>
      <c r="JWU554" s="178"/>
      <c r="JWV554" s="178"/>
      <c r="JWW554" s="178"/>
      <c r="JWX554" s="178"/>
      <c r="JWY554" s="178"/>
      <c r="JWZ554" s="178"/>
      <c r="JXA554" s="178"/>
      <c r="JXB554" s="178"/>
      <c r="JXC554" s="178"/>
      <c r="JXD554" s="178"/>
      <c r="JXE554" s="178"/>
      <c r="JXF554" s="178"/>
      <c r="JXG554" s="178"/>
      <c r="JXH554" s="178"/>
      <c r="JXI554" s="178"/>
      <c r="JXJ554" s="178"/>
      <c r="JXK554" s="178"/>
      <c r="JXL554" s="178"/>
      <c r="JXM554" s="178"/>
      <c r="JXN554" s="178"/>
      <c r="JXO554" s="178"/>
      <c r="JXP554" s="178"/>
      <c r="JXQ554" s="178"/>
      <c r="JXR554" s="178"/>
      <c r="JXS554" s="178"/>
      <c r="JXT554" s="178"/>
      <c r="JXU554" s="178"/>
      <c r="JXV554" s="178"/>
      <c r="JXW554" s="178"/>
      <c r="JXX554" s="178"/>
      <c r="JXY554" s="178"/>
      <c r="JXZ554" s="178"/>
      <c r="JYA554" s="178"/>
      <c r="JYB554" s="178"/>
      <c r="JYC554" s="178"/>
      <c r="JYD554" s="178"/>
      <c r="JYE554" s="178"/>
      <c r="JYF554" s="178"/>
      <c r="JYG554" s="178"/>
      <c r="JYH554" s="178"/>
      <c r="JYI554" s="178"/>
      <c r="JYJ554" s="178"/>
      <c r="JYK554" s="178"/>
      <c r="JYL554" s="178"/>
      <c r="JYM554" s="178"/>
      <c r="JYN554" s="178"/>
      <c r="JYO554" s="178"/>
      <c r="JYP554" s="178"/>
      <c r="JYQ554" s="178"/>
      <c r="JYR554" s="178"/>
      <c r="JYS554" s="178"/>
      <c r="JYT554" s="178"/>
      <c r="JYU554" s="178"/>
      <c r="JYV554" s="178"/>
      <c r="JYW554" s="178"/>
      <c r="JYX554" s="178"/>
      <c r="JYY554" s="178"/>
      <c r="JYZ554" s="178"/>
      <c r="JZA554" s="178"/>
      <c r="JZB554" s="178"/>
      <c r="JZC554" s="178"/>
      <c r="JZD554" s="178"/>
      <c r="JZE554" s="178"/>
      <c r="JZF554" s="178"/>
      <c r="JZG554" s="178"/>
      <c r="JZH554" s="178"/>
      <c r="JZI554" s="178"/>
      <c r="JZJ554" s="178"/>
      <c r="JZK554" s="178"/>
      <c r="JZL554" s="178"/>
      <c r="JZM554" s="178"/>
      <c r="JZN554" s="178"/>
      <c r="JZO554" s="178"/>
      <c r="JZP554" s="178"/>
      <c r="JZQ554" s="178"/>
      <c r="JZR554" s="178"/>
      <c r="JZS554" s="178"/>
      <c r="JZT554" s="178"/>
      <c r="JZU554" s="178"/>
      <c r="JZV554" s="178"/>
      <c r="JZW554" s="178"/>
      <c r="JZX554" s="178"/>
      <c r="JZY554" s="178"/>
      <c r="JZZ554" s="178"/>
      <c r="KAA554" s="178"/>
      <c r="KAB554" s="178"/>
      <c r="KAC554" s="178"/>
      <c r="KAD554" s="178"/>
      <c r="KAE554" s="178"/>
      <c r="KAF554" s="178"/>
      <c r="KAG554" s="178"/>
      <c r="KAH554" s="178"/>
      <c r="KAI554" s="178"/>
      <c r="KAJ554" s="178"/>
      <c r="KAK554" s="178"/>
      <c r="KAL554" s="178"/>
      <c r="KAM554" s="178"/>
      <c r="KAN554" s="178"/>
      <c r="KAO554" s="178"/>
      <c r="KAP554" s="178"/>
      <c r="KAQ554" s="178"/>
      <c r="KAR554" s="178"/>
      <c r="KAS554" s="178"/>
      <c r="KAT554" s="178"/>
      <c r="KAU554" s="178"/>
      <c r="KAV554" s="178"/>
      <c r="KAW554" s="178"/>
      <c r="KAX554" s="178"/>
      <c r="KAY554" s="178"/>
      <c r="KAZ554" s="178"/>
      <c r="KBA554" s="178"/>
      <c r="KBB554" s="178"/>
      <c r="KBC554" s="178"/>
      <c r="KBD554" s="178"/>
      <c r="KBE554" s="178"/>
      <c r="KBF554" s="178"/>
      <c r="KBG554" s="178"/>
      <c r="KBH554" s="178"/>
      <c r="KBI554" s="178"/>
      <c r="KBJ554" s="178"/>
      <c r="KBK554" s="178"/>
      <c r="KBL554" s="178"/>
      <c r="KBM554" s="178"/>
      <c r="KBN554" s="178"/>
      <c r="KBO554" s="178"/>
      <c r="KBP554" s="178"/>
      <c r="KBQ554" s="178"/>
      <c r="KBR554" s="178"/>
      <c r="KBS554" s="178"/>
      <c r="KBT554" s="178"/>
      <c r="KBU554" s="178"/>
      <c r="KBV554" s="178"/>
      <c r="KBW554" s="178"/>
      <c r="KBX554" s="178"/>
      <c r="KBY554" s="178"/>
      <c r="KBZ554" s="178"/>
      <c r="KCA554" s="178"/>
      <c r="KCB554" s="178"/>
      <c r="KCC554" s="178"/>
      <c r="KCD554" s="178"/>
      <c r="KCE554" s="178"/>
      <c r="KCF554" s="178"/>
      <c r="KCG554" s="178"/>
      <c r="KCH554" s="178"/>
      <c r="KCI554" s="178"/>
      <c r="KCJ554" s="178"/>
      <c r="KCK554" s="178"/>
      <c r="KCL554" s="178"/>
      <c r="KCM554" s="178"/>
      <c r="KCN554" s="178"/>
      <c r="KCO554" s="178"/>
      <c r="KCP554" s="178"/>
      <c r="KCQ554" s="178"/>
      <c r="KCR554" s="178"/>
      <c r="KCS554" s="178"/>
      <c r="KCT554" s="178"/>
      <c r="KCU554" s="178"/>
      <c r="KCV554" s="178"/>
      <c r="KCW554" s="178"/>
      <c r="KCX554" s="178"/>
      <c r="KCY554" s="178"/>
      <c r="KCZ554" s="178"/>
      <c r="KDA554" s="178"/>
      <c r="KDB554" s="178"/>
      <c r="KDC554" s="178"/>
      <c r="KDD554" s="178"/>
      <c r="KDE554" s="178"/>
      <c r="KDF554" s="178"/>
      <c r="KDG554" s="178"/>
      <c r="KDH554" s="178"/>
      <c r="KDI554" s="178"/>
      <c r="KDJ554" s="178"/>
      <c r="KDK554" s="178"/>
      <c r="KDL554" s="178"/>
      <c r="KDM554" s="178"/>
      <c r="KDN554" s="178"/>
      <c r="KDO554" s="178"/>
      <c r="KDP554" s="178"/>
      <c r="KDQ554" s="178"/>
      <c r="KDR554" s="178"/>
      <c r="KDS554" s="178"/>
      <c r="KDT554" s="178"/>
      <c r="KDU554" s="178"/>
      <c r="KDV554" s="178"/>
      <c r="KDW554" s="178"/>
      <c r="KDX554" s="178"/>
      <c r="KDY554" s="178"/>
      <c r="KDZ554" s="178"/>
      <c r="KEA554" s="178"/>
      <c r="KEB554" s="178"/>
      <c r="KEC554" s="178"/>
      <c r="KED554" s="178"/>
      <c r="KEE554" s="178"/>
      <c r="KEF554" s="178"/>
      <c r="KEG554" s="178"/>
      <c r="KEH554" s="178"/>
      <c r="KEI554" s="178"/>
      <c r="KEJ554" s="178"/>
      <c r="KEK554" s="178"/>
      <c r="KEL554" s="178"/>
      <c r="KEM554" s="178"/>
      <c r="KEN554" s="178"/>
      <c r="KEO554" s="178"/>
      <c r="KEP554" s="178"/>
      <c r="KEQ554" s="178"/>
      <c r="KER554" s="178"/>
      <c r="KES554" s="178"/>
      <c r="KET554" s="178"/>
      <c r="KEU554" s="178"/>
      <c r="KEV554" s="178"/>
      <c r="KEW554" s="178"/>
      <c r="KEX554" s="178"/>
      <c r="KEY554" s="178"/>
      <c r="KEZ554" s="178"/>
      <c r="KFA554" s="178"/>
      <c r="KFB554" s="178"/>
      <c r="KFC554" s="178"/>
      <c r="KFD554" s="178"/>
      <c r="KFE554" s="178"/>
      <c r="KFF554" s="178"/>
      <c r="KFG554" s="178"/>
      <c r="KFH554" s="178"/>
      <c r="KFI554" s="178"/>
      <c r="KFJ554" s="178"/>
      <c r="KFK554" s="178"/>
      <c r="KFL554" s="178"/>
      <c r="KFM554" s="178"/>
      <c r="KFN554" s="178"/>
      <c r="KFO554" s="178"/>
      <c r="KFP554" s="178"/>
      <c r="KFQ554" s="178"/>
      <c r="KFR554" s="178"/>
      <c r="KFS554" s="178"/>
      <c r="KFT554" s="178"/>
      <c r="KFU554" s="178"/>
      <c r="KFV554" s="178"/>
      <c r="KFW554" s="178"/>
      <c r="KFX554" s="178"/>
      <c r="KFY554" s="178"/>
      <c r="KFZ554" s="178"/>
      <c r="KGA554" s="178"/>
      <c r="KGB554" s="178"/>
      <c r="KGC554" s="178"/>
      <c r="KGD554" s="178"/>
      <c r="KGE554" s="178"/>
      <c r="KGF554" s="178"/>
      <c r="KGG554" s="178"/>
      <c r="KGH554" s="178"/>
      <c r="KGI554" s="178"/>
      <c r="KGJ554" s="178"/>
      <c r="KGK554" s="178"/>
      <c r="KGL554" s="178"/>
      <c r="KGM554" s="178"/>
      <c r="KGN554" s="178"/>
      <c r="KGO554" s="178"/>
      <c r="KGP554" s="178"/>
      <c r="KGQ554" s="178"/>
      <c r="KGR554" s="178"/>
      <c r="KGS554" s="178"/>
      <c r="KGT554" s="178"/>
      <c r="KGU554" s="178"/>
      <c r="KGV554" s="178"/>
      <c r="KGW554" s="178"/>
      <c r="KGX554" s="178"/>
      <c r="KGY554" s="178"/>
      <c r="KGZ554" s="178"/>
      <c r="KHA554" s="178"/>
      <c r="KHB554" s="178"/>
      <c r="KHC554" s="178"/>
      <c r="KHD554" s="178"/>
      <c r="KHE554" s="178"/>
      <c r="KHF554" s="178"/>
      <c r="KHG554" s="178"/>
      <c r="KHH554" s="178"/>
      <c r="KHI554" s="178"/>
      <c r="KHJ554" s="178"/>
      <c r="KHK554" s="178"/>
      <c r="KHL554" s="178"/>
      <c r="KHM554" s="178"/>
      <c r="KHN554" s="178"/>
      <c r="KHO554" s="178"/>
      <c r="KHP554" s="178"/>
      <c r="KHQ554" s="178"/>
      <c r="KHR554" s="178"/>
      <c r="KHS554" s="178"/>
      <c r="KHT554" s="178"/>
      <c r="KHU554" s="178"/>
      <c r="KHV554" s="178"/>
      <c r="KHW554" s="178"/>
      <c r="KHX554" s="178"/>
      <c r="KHY554" s="178"/>
      <c r="KHZ554" s="178"/>
      <c r="KIA554" s="178"/>
      <c r="KIB554" s="178"/>
      <c r="KIC554" s="178"/>
      <c r="KID554" s="178"/>
      <c r="KIE554" s="178"/>
      <c r="KIF554" s="178"/>
      <c r="KIG554" s="178"/>
      <c r="KIH554" s="178"/>
      <c r="KII554" s="178"/>
      <c r="KIJ554" s="178"/>
      <c r="KIK554" s="178"/>
      <c r="KIL554" s="178"/>
      <c r="KIM554" s="178"/>
      <c r="KIN554" s="178"/>
      <c r="KIO554" s="178"/>
      <c r="KIP554" s="178"/>
      <c r="KIQ554" s="178"/>
      <c r="KIR554" s="178"/>
      <c r="KIS554" s="178"/>
      <c r="KIT554" s="178"/>
      <c r="KIU554" s="178"/>
      <c r="KIV554" s="178"/>
      <c r="KIW554" s="178"/>
      <c r="KIX554" s="178"/>
      <c r="KIY554" s="178"/>
      <c r="KIZ554" s="178"/>
      <c r="KJA554" s="178"/>
      <c r="KJB554" s="178"/>
      <c r="KJC554" s="178"/>
      <c r="KJD554" s="178"/>
      <c r="KJE554" s="178"/>
      <c r="KJF554" s="178"/>
      <c r="KJG554" s="178"/>
      <c r="KJH554" s="178"/>
      <c r="KJI554" s="178"/>
      <c r="KJJ554" s="178"/>
      <c r="KJK554" s="178"/>
      <c r="KJL554" s="178"/>
      <c r="KJM554" s="178"/>
      <c r="KJN554" s="178"/>
      <c r="KJO554" s="178"/>
      <c r="KJP554" s="178"/>
      <c r="KJQ554" s="178"/>
      <c r="KJR554" s="178"/>
      <c r="KJS554" s="178"/>
      <c r="KJT554" s="178"/>
      <c r="KJU554" s="178"/>
      <c r="KJV554" s="178"/>
      <c r="KJW554" s="178"/>
      <c r="KJX554" s="178"/>
      <c r="KJY554" s="178"/>
      <c r="KJZ554" s="178"/>
      <c r="KKA554" s="178"/>
      <c r="KKB554" s="178"/>
      <c r="KKC554" s="178"/>
      <c r="KKD554" s="178"/>
      <c r="KKE554" s="178"/>
      <c r="KKF554" s="178"/>
      <c r="KKG554" s="178"/>
      <c r="KKH554" s="178"/>
      <c r="KKI554" s="178"/>
      <c r="KKJ554" s="178"/>
      <c r="KKK554" s="178"/>
      <c r="KKL554" s="178"/>
      <c r="KKM554" s="178"/>
      <c r="KKN554" s="178"/>
      <c r="KKO554" s="178"/>
      <c r="KKP554" s="178"/>
      <c r="KKQ554" s="178"/>
      <c r="KKR554" s="178"/>
      <c r="KKS554" s="178"/>
      <c r="KKT554" s="178"/>
      <c r="KKU554" s="178"/>
      <c r="KKV554" s="178"/>
      <c r="KKW554" s="178"/>
      <c r="KKX554" s="178"/>
      <c r="KKY554" s="178"/>
      <c r="KKZ554" s="178"/>
      <c r="KLA554" s="178"/>
      <c r="KLB554" s="178"/>
      <c r="KLC554" s="178"/>
      <c r="KLD554" s="178"/>
      <c r="KLE554" s="178"/>
      <c r="KLF554" s="178"/>
      <c r="KLG554" s="178"/>
      <c r="KLH554" s="178"/>
      <c r="KLI554" s="178"/>
      <c r="KLJ554" s="178"/>
      <c r="KLK554" s="178"/>
      <c r="KLL554" s="178"/>
      <c r="KLM554" s="178"/>
      <c r="KLN554" s="178"/>
      <c r="KLO554" s="178"/>
      <c r="KLP554" s="178"/>
      <c r="KLQ554" s="178"/>
      <c r="KLR554" s="178"/>
      <c r="KLS554" s="178"/>
      <c r="KLT554" s="178"/>
      <c r="KLU554" s="178"/>
      <c r="KLV554" s="178"/>
      <c r="KLW554" s="178"/>
      <c r="KLX554" s="178"/>
      <c r="KLY554" s="178"/>
      <c r="KLZ554" s="178"/>
      <c r="KMA554" s="178"/>
      <c r="KMB554" s="178"/>
      <c r="KMC554" s="178"/>
      <c r="KMD554" s="178"/>
      <c r="KME554" s="178"/>
      <c r="KMF554" s="178"/>
      <c r="KMG554" s="178"/>
      <c r="KMH554" s="178"/>
      <c r="KMI554" s="178"/>
      <c r="KMJ554" s="178"/>
      <c r="KMK554" s="178"/>
      <c r="KML554" s="178"/>
      <c r="KMM554" s="178"/>
      <c r="KMN554" s="178"/>
      <c r="KMO554" s="178"/>
      <c r="KMP554" s="178"/>
      <c r="KMQ554" s="178"/>
      <c r="KMR554" s="178"/>
      <c r="KMS554" s="178"/>
      <c r="KMT554" s="178"/>
      <c r="KMU554" s="178"/>
      <c r="KMV554" s="178"/>
      <c r="KMW554" s="178"/>
      <c r="KMX554" s="178"/>
      <c r="KMY554" s="178"/>
      <c r="KMZ554" s="178"/>
      <c r="KNA554" s="178"/>
      <c r="KNB554" s="178"/>
      <c r="KNC554" s="178"/>
      <c r="KND554" s="178"/>
      <c r="KNE554" s="178"/>
      <c r="KNF554" s="178"/>
      <c r="KNG554" s="178"/>
      <c r="KNH554" s="178"/>
      <c r="KNI554" s="178"/>
      <c r="KNJ554" s="178"/>
      <c r="KNK554" s="178"/>
      <c r="KNL554" s="178"/>
      <c r="KNM554" s="178"/>
      <c r="KNN554" s="178"/>
      <c r="KNO554" s="178"/>
      <c r="KNP554" s="178"/>
      <c r="KNQ554" s="178"/>
      <c r="KNR554" s="178"/>
      <c r="KNS554" s="178"/>
      <c r="KNT554" s="178"/>
      <c r="KNU554" s="178"/>
      <c r="KNV554" s="178"/>
      <c r="KNW554" s="178"/>
      <c r="KNX554" s="178"/>
      <c r="KNY554" s="178"/>
      <c r="KNZ554" s="178"/>
      <c r="KOA554" s="178"/>
      <c r="KOB554" s="178"/>
      <c r="KOC554" s="178"/>
      <c r="KOD554" s="178"/>
      <c r="KOE554" s="178"/>
      <c r="KOF554" s="178"/>
      <c r="KOG554" s="178"/>
      <c r="KOH554" s="178"/>
      <c r="KOI554" s="178"/>
      <c r="KOJ554" s="178"/>
      <c r="KOK554" s="178"/>
      <c r="KOL554" s="178"/>
      <c r="KOM554" s="178"/>
      <c r="KON554" s="178"/>
      <c r="KOO554" s="178"/>
      <c r="KOP554" s="178"/>
      <c r="KOQ554" s="178"/>
      <c r="KOR554" s="178"/>
      <c r="KOS554" s="178"/>
      <c r="KOT554" s="178"/>
      <c r="KOU554" s="178"/>
      <c r="KOV554" s="178"/>
      <c r="KOW554" s="178"/>
      <c r="KOX554" s="178"/>
      <c r="KOY554" s="178"/>
      <c r="KOZ554" s="178"/>
      <c r="KPA554" s="178"/>
      <c r="KPB554" s="178"/>
      <c r="KPC554" s="178"/>
      <c r="KPD554" s="178"/>
      <c r="KPE554" s="178"/>
      <c r="KPF554" s="178"/>
      <c r="KPG554" s="178"/>
      <c r="KPH554" s="178"/>
      <c r="KPI554" s="178"/>
      <c r="KPJ554" s="178"/>
      <c r="KPK554" s="178"/>
      <c r="KPL554" s="178"/>
      <c r="KPM554" s="178"/>
      <c r="KPN554" s="178"/>
      <c r="KPO554" s="178"/>
      <c r="KPP554" s="178"/>
      <c r="KPQ554" s="178"/>
      <c r="KPR554" s="178"/>
      <c r="KPS554" s="178"/>
      <c r="KPT554" s="178"/>
      <c r="KPU554" s="178"/>
      <c r="KPV554" s="178"/>
      <c r="KPW554" s="178"/>
      <c r="KPX554" s="178"/>
      <c r="KPY554" s="178"/>
      <c r="KPZ554" s="178"/>
      <c r="KQA554" s="178"/>
      <c r="KQB554" s="178"/>
      <c r="KQC554" s="178"/>
      <c r="KQD554" s="178"/>
      <c r="KQE554" s="178"/>
      <c r="KQF554" s="178"/>
      <c r="KQG554" s="178"/>
      <c r="KQH554" s="178"/>
      <c r="KQI554" s="178"/>
      <c r="KQJ554" s="178"/>
      <c r="KQK554" s="178"/>
      <c r="KQL554" s="178"/>
      <c r="KQM554" s="178"/>
      <c r="KQN554" s="178"/>
      <c r="KQO554" s="178"/>
      <c r="KQP554" s="178"/>
      <c r="KQQ554" s="178"/>
      <c r="KQR554" s="178"/>
      <c r="KQS554" s="178"/>
      <c r="KQT554" s="178"/>
      <c r="KQU554" s="178"/>
      <c r="KQV554" s="178"/>
      <c r="KQW554" s="178"/>
      <c r="KQX554" s="178"/>
      <c r="KQY554" s="178"/>
      <c r="KQZ554" s="178"/>
      <c r="KRA554" s="178"/>
      <c r="KRB554" s="178"/>
      <c r="KRC554" s="178"/>
      <c r="KRD554" s="178"/>
      <c r="KRE554" s="178"/>
      <c r="KRF554" s="178"/>
      <c r="KRG554" s="178"/>
      <c r="KRH554" s="178"/>
      <c r="KRI554" s="178"/>
      <c r="KRJ554" s="178"/>
      <c r="KRK554" s="178"/>
      <c r="KRL554" s="178"/>
      <c r="KRM554" s="178"/>
      <c r="KRN554" s="178"/>
      <c r="KRO554" s="178"/>
      <c r="KRP554" s="178"/>
      <c r="KRQ554" s="178"/>
      <c r="KRR554" s="178"/>
      <c r="KRS554" s="178"/>
      <c r="KRT554" s="178"/>
      <c r="KRU554" s="178"/>
      <c r="KRV554" s="178"/>
      <c r="KRW554" s="178"/>
      <c r="KRX554" s="178"/>
      <c r="KRY554" s="178"/>
      <c r="KRZ554" s="178"/>
      <c r="KSA554" s="178"/>
      <c r="KSB554" s="178"/>
      <c r="KSC554" s="178"/>
      <c r="KSD554" s="178"/>
      <c r="KSE554" s="178"/>
      <c r="KSF554" s="178"/>
      <c r="KSG554" s="178"/>
      <c r="KSH554" s="178"/>
      <c r="KSI554" s="178"/>
      <c r="KSJ554" s="178"/>
      <c r="KSK554" s="178"/>
      <c r="KSL554" s="178"/>
      <c r="KSM554" s="178"/>
      <c r="KSN554" s="178"/>
      <c r="KSO554" s="178"/>
      <c r="KSP554" s="178"/>
      <c r="KSQ554" s="178"/>
      <c r="KSR554" s="178"/>
      <c r="KSS554" s="178"/>
      <c r="KST554" s="178"/>
      <c r="KSU554" s="178"/>
      <c r="KSV554" s="178"/>
      <c r="KSW554" s="178"/>
      <c r="KSX554" s="178"/>
      <c r="KSY554" s="178"/>
      <c r="KSZ554" s="178"/>
      <c r="KTA554" s="178"/>
      <c r="KTB554" s="178"/>
      <c r="KTC554" s="178"/>
      <c r="KTD554" s="178"/>
      <c r="KTE554" s="178"/>
      <c r="KTF554" s="178"/>
      <c r="KTG554" s="178"/>
      <c r="KTH554" s="178"/>
      <c r="KTI554" s="178"/>
      <c r="KTJ554" s="178"/>
      <c r="KTK554" s="178"/>
      <c r="KTL554" s="178"/>
      <c r="KTM554" s="178"/>
      <c r="KTN554" s="178"/>
      <c r="KTO554" s="178"/>
      <c r="KTP554" s="178"/>
      <c r="KTQ554" s="178"/>
      <c r="KTR554" s="178"/>
      <c r="KTS554" s="178"/>
      <c r="KTT554" s="178"/>
      <c r="KTU554" s="178"/>
      <c r="KTV554" s="178"/>
      <c r="KTW554" s="178"/>
      <c r="KTX554" s="178"/>
      <c r="KTY554" s="178"/>
      <c r="KTZ554" s="178"/>
      <c r="KUA554" s="178"/>
      <c r="KUB554" s="178"/>
      <c r="KUC554" s="178"/>
      <c r="KUD554" s="178"/>
      <c r="KUE554" s="178"/>
      <c r="KUF554" s="178"/>
      <c r="KUG554" s="178"/>
      <c r="KUH554" s="178"/>
      <c r="KUI554" s="178"/>
      <c r="KUJ554" s="178"/>
      <c r="KUK554" s="178"/>
      <c r="KUL554" s="178"/>
      <c r="KUM554" s="178"/>
      <c r="KUN554" s="178"/>
      <c r="KUO554" s="178"/>
      <c r="KUP554" s="178"/>
      <c r="KUQ554" s="178"/>
      <c r="KUR554" s="178"/>
      <c r="KUS554" s="178"/>
      <c r="KUT554" s="178"/>
      <c r="KUU554" s="178"/>
      <c r="KUV554" s="178"/>
      <c r="KUW554" s="178"/>
      <c r="KUX554" s="178"/>
      <c r="KUY554" s="178"/>
      <c r="KUZ554" s="178"/>
      <c r="KVA554" s="178"/>
      <c r="KVB554" s="178"/>
      <c r="KVC554" s="178"/>
      <c r="KVD554" s="178"/>
      <c r="KVE554" s="178"/>
      <c r="KVF554" s="178"/>
      <c r="KVG554" s="178"/>
      <c r="KVH554" s="178"/>
      <c r="KVI554" s="178"/>
      <c r="KVJ554" s="178"/>
      <c r="KVK554" s="178"/>
      <c r="KVL554" s="178"/>
      <c r="KVM554" s="178"/>
      <c r="KVN554" s="178"/>
      <c r="KVO554" s="178"/>
      <c r="KVP554" s="178"/>
      <c r="KVQ554" s="178"/>
      <c r="KVR554" s="178"/>
      <c r="KVS554" s="178"/>
      <c r="KVT554" s="178"/>
      <c r="KVU554" s="178"/>
      <c r="KVV554" s="178"/>
      <c r="KVW554" s="178"/>
      <c r="KVX554" s="178"/>
      <c r="KVY554" s="178"/>
      <c r="KVZ554" s="178"/>
      <c r="KWA554" s="178"/>
      <c r="KWB554" s="178"/>
      <c r="KWC554" s="178"/>
      <c r="KWD554" s="178"/>
      <c r="KWE554" s="178"/>
      <c r="KWF554" s="178"/>
      <c r="KWG554" s="178"/>
      <c r="KWH554" s="178"/>
      <c r="KWI554" s="178"/>
      <c r="KWJ554" s="178"/>
      <c r="KWK554" s="178"/>
      <c r="KWL554" s="178"/>
      <c r="KWM554" s="178"/>
      <c r="KWN554" s="178"/>
      <c r="KWO554" s="178"/>
      <c r="KWP554" s="178"/>
      <c r="KWQ554" s="178"/>
      <c r="KWR554" s="178"/>
      <c r="KWS554" s="178"/>
      <c r="KWT554" s="178"/>
      <c r="KWU554" s="178"/>
      <c r="KWV554" s="178"/>
      <c r="KWW554" s="178"/>
      <c r="KWX554" s="178"/>
      <c r="KWY554" s="178"/>
      <c r="KWZ554" s="178"/>
      <c r="KXA554" s="178"/>
      <c r="KXB554" s="178"/>
      <c r="KXC554" s="178"/>
      <c r="KXD554" s="178"/>
      <c r="KXE554" s="178"/>
      <c r="KXF554" s="178"/>
      <c r="KXG554" s="178"/>
      <c r="KXH554" s="178"/>
      <c r="KXI554" s="178"/>
      <c r="KXJ554" s="178"/>
      <c r="KXK554" s="178"/>
      <c r="KXL554" s="178"/>
      <c r="KXM554" s="178"/>
      <c r="KXN554" s="178"/>
      <c r="KXO554" s="178"/>
      <c r="KXP554" s="178"/>
      <c r="KXQ554" s="178"/>
      <c r="KXR554" s="178"/>
      <c r="KXS554" s="178"/>
      <c r="KXT554" s="178"/>
      <c r="KXU554" s="178"/>
      <c r="KXV554" s="178"/>
      <c r="KXW554" s="178"/>
      <c r="KXX554" s="178"/>
      <c r="KXY554" s="178"/>
      <c r="KXZ554" s="178"/>
      <c r="KYA554" s="178"/>
      <c r="KYB554" s="178"/>
      <c r="KYC554" s="178"/>
      <c r="KYD554" s="178"/>
      <c r="KYE554" s="178"/>
      <c r="KYF554" s="178"/>
      <c r="KYG554" s="178"/>
      <c r="KYH554" s="178"/>
      <c r="KYI554" s="178"/>
      <c r="KYJ554" s="178"/>
      <c r="KYK554" s="178"/>
      <c r="KYL554" s="178"/>
      <c r="KYM554" s="178"/>
      <c r="KYN554" s="178"/>
      <c r="KYO554" s="178"/>
      <c r="KYP554" s="178"/>
      <c r="KYQ554" s="178"/>
      <c r="KYR554" s="178"/>
      <c r="KYS554" s="178"/>
      <c r="KYT554" s="178"/>
      <c r="KYU554" s="178"/>
      <c r="KYV554" s="178"/>
      <c r="KYW554" s="178"/>
      <c r="KYX554" s="178"/>
      <c r="KYY554" s="178"/>
      <c r="KYZ554" s="178"/>
      <c r="KZA554" s="178"/>
      <c r="KZB554" s="178"/>
      <c r="KZC554" s="178"/>
      <c r="KZD554" s="178"/>
      <c r="KZE554" s="178"/>
      <c r="KZF554" s="178"/>
      <c r="KZG554" s="178"/>
      <c r="KZH554" s="178"/>
      <c r="KZI554" s="178"/>
      <c r="KZJ554" s="178"/>
      <c r="KZK554" s="178"/>
      <c r="KZL554" s="178"/>
      <c r="KZM554" s="178"/>
      <c r="KZN554" s="178"/>
      <c r="KZO554" s="178"/>
      <c r="KZP554" s="178"/>
      <c r="KZQ554" s="178"/>
      <c r="KZR554" s="178"/>
      <c r="KZS554" s="178"/>
      <c r="KZT554" s="178"/>
      <c r="KZU554" s="178"/>
      <c r="KZV554" s="178"/>
      <c r="KZW554" s="178"/>
      <c r="KZX554" s="178"/>
      <c r="KZY554" s="178"/>
      <c r="KZZ554" s="178"/>
      <c r="LAA554" s="178"/>
      <c r="LAB554" s="178"/>
      <c r="LAC554" s="178"/>
      <c r="LAD554" s="178"/>
      <c r="LAE554" s="178"/>
      <c r="LAF554" s="178"/>
      <c r="LAG554" s="178"/>
      <c r="LAH554" s="178"/>
      <c r="LAI554" s="178"/>
      <c r="LAJ554" s="178"/>
      <c r="LAK554" s="178"/>
      <c r="LAL554" s="178"/>
      <c r="LAM554" s="178"/>
      <c r="LAN554" s="178"/>
      <c r="LAO554" s="178"/>
      <c r="LAP554" s="178"/>
      <c r="LAQ554" s="178"/>
      <c r="LAR554" s="178"/>
      <c r="LAS554" s="178"/>
      <c r="LAT554" s="178"/>
      <c r="LAU554" s="178"/>
      <c r="LAV554" s="178"/>
      <c r="LAW554" s="178"/>
      <c r="LAX554" s="178"/>
      <c r="LAY554" s="178"/>
      <c r="LAZ554" s="178"/>
      <c r="LBA554" s="178"/>
      <c r="LBB554" s="178"/>
      <c r="LBC554" s="178"/>
      <c r="LBD554" s="178"/>
      <c r="LBE554" s="178"/>
      <c r="LBF554" s="178"/>
      <c r="LBG554" s="178"/>
      <c r="LBH554" s="178"/>
      <c r="LBI554" s="178"/>
      <c r="LBJ554" s="178"/>
      <c r="LBK554" s="178"/>
      <c r="LBL554" s="178"/>
      <c r="LBM554" s="178"/>
      <c r="LBN554" s="178"/>
      <c r="LBO554" s="178"/>
      <c r="LBP554" s="178"/>
      <c r="LBQ554" s="178"/>
      <c r="LBR554" s="178"/>
      <c r="LBS554" s="178"/>
      <c r="LBT554" s="178"/>
      <c r="LBU554" s="178"/>
      <c r="LBV554" s="178"/>
      <c r="LBW554" s="178"/>
      <c r="LBX554" s="178"/>
      <c r="LBY554" s="178"/>
      <c r="LBZ554" s="178"/>
      <c r="LCA554" s="178"/>
      <c r="LCB554" s="178"/>
      <c r="LCC554" s="178"/>
      <c r="LCD554" s="178"/>
      <c r="LCE554" s="178"/>
      <c r="LCF554" s="178"/>
      <c r="LCG554" s="178"/>
      <c r="LCH554" s="178"/>
      <c r="LCI554" s="178"/>
      <c r="LCJ554" s="178"/>
      <c r="LCK554" s="178"/>
      <c r="LCL554" s="178"/>
      <c r="LCM554" s="178"/>
      <c r="LCN554" s="178"/>
      <c r="LCO554" s="178"/>
      <c r="LCP554" s="178"/>
      <c r="LCQ554" s="178"/>
      <c r="LCR554" s="178"/>
      <c r="LCS554" s="178"/>
      <c r="LCT554" s="178"/>
      <c r="LCU554" s="178"/>
      <c r="LCV554" s="178"/>
      <c r="LCW554" s="178"/>
      <c r="LCX554" s="178"/>
      <c r="LCY554" s="178"/>
      <c r="LCZ554" s="178"/>
      <c r="LDA554" s="178"/>
      <c r="LDB554" s="178"/>
      <c r="LDC554" s="178"/>
      <c r="LDD554" s="178"/>
      <c r="LDE554" s="178"/>
      <c r="LDF554" s="178"/>
      <c r="LDG554" s="178"/>
      <c r="LDH554" s="178"/>
      <c r="LDI554" s="178"/>
      <c r="LDJ554" s="178"/>
      <c r="LDK554" s="178"/>
      <c r="LDL554" s="178"/>
      <c r="LDM554" s="178"/>
      <c r="LDN554" s="178"/>
      <c r="LDO554" s="178"/>
      <c r="LDP554" s="178"/>
      <c r="LDQ554" s="178"/>
      <c r="LDR554" s="178"/>
      <c r="LDS554" s="178"/>
      <c r="LDT554" s="178"/>
      <c r="LDU554" s="178"/>
      <c r="LDV554" s="178"/>
      <c r="LDW554" s="178"/>
      <c r="LDX554" s="178"/>
      <c r="LDY554" s="178"/>
      <c r="LDZ554" s="178"/>
      <c r="LEA554" s="178"/>
      <c r="LEB554" s="178"/>
      <c r="LEC554" s="178"/>
      <c r="LED554" s="178"/>
      <c r="LEE554" s="178"/>
      <c r="LEF554" s="178"/>
      <c r="LEG554" s="178"/>
      <c r="LEH554" s="178"/>
      <c r="LEI554" s="178"/>
      <c r="LEJ554" s="178"/>
      <c r="LEK554" s="178"/>
      <c r="LEL554" s="178"/>
      <c r="LEM554" s="178"/>
      <c r="LEN554" s="178"/>
      <c r="LEO554" s="178"/>
      <c r="LEP554" s="178"/>
      <c r="LEQ554" s="178"/>
      <c r="LER554" s="178"/>
      <c r="LES554" s="178"/>
      <c r="LET554" s="178"/>
      <c r="LEU554" s="178"/>
      <c r="LEV554" s="178"/>
      <c r="LEW554" s="178"/>
      <c r="LEX554" s="178"/>
      <c r="LEY554" s="178"/>
      <c r="LEZ554" s="178"/>
      <c r="LFA554" s="178"/>
      <c r="LFB554" s="178"/>
      <c r="LFC554" s="178"/>
      <c r="LFD554" s="178"/>
      <c r="LFE554" s="178"/>
      <c r="LFF554" s="178"/>
      <c r="LFG554" s="178"/>
      <c r="LFH554" s="178"/>
      <c r="LFI554" s="178"/>
      <c r="LFJ554" s="178"/>
      <c r="LFK554" s="178"/>
      <c r="LFL554" s="178"/>
      <c r="LFM554" s="178"/>
      <c r="LFN554" s="178"/>
      <c r="LFO554" s="178"/>
      <c r="LFP554" s="178"/>
      <c r="LFQ554" s="178"/>
      <c r="LFR554" s="178"/>
      <c r="LFS554" s="178"/>
      <c r="LFT554" s="178"/>
      <c r="LFU554" s="178"/>
      <c r="LFV554" s="178"/>
      <c r="LFW554" s="178"/>
      <c r="LFX554" s="178"/>
      <c r="LFY554" s="178"/>
      <c r="LFZ554" s="178"/>
      <c r="LGA554" s="178"/>
      <c r="LGB554" s="178"/>
      <c r="LGC554" s="178"/>
      <c r="LGD554" s="178"/>
      <c r="LGE554" s="178"/>
      <c r="LGF554" s="178"/>
      <c r="LGG554" s="178"/>
      <c r="LGH554" s="178"/>
      <c r="LGI554" s="178"/>
      <c r="LGJ554" s="178"/>
      <c r="LGK554" s="178"/>
      <c r="LGL554" s="178"/>
      <c r="LGM554" s="178"/>
      <c r="LGN554" s="178"/>
      <c r="LGO554" s="178"/>
      <c r="LGP554" s="178"/>
      <c r="LGQ554" s="178"/>
      <c r="LGR554" s="178"/>
      <c r="LGS554" s="178"/>
      <c r="LGT554" s="178"/>
      <c r="LGU554" s="178"/>
      <c r="LGV554" s="178"/>
      <c r="LGW554" s="178"/>
      <c r="LGX554" s="178"/>
      <c r="LGY554" s="178"/>
      <c r="LGZ554" s="178"/>
      <c r="LHA554" s="178"/>
      <c r="LHB554" s="178"/>
      <c r="LHC554" s="178"/>
      <c r="LHD554" s="178"/>
      <c r="LHE554" s="178"/>
      <c r="LHF554" s="178"/>
      <c r="LHG554" s="178"/>
      <c r="LHH554" s="178"/>
      <c r="LHI554" s="178"/>
      <c r="LHJ554" s="178"/>
      <c r="LHK554" s="178"/>
      <c r="LHL554" s="178"/>
      <c r="LHM554" s="178"/>
      <c r="LHN554" s="178"/>
      <c r="LHO554" s="178"/>
      <c r="LHP554" s="178"/>
      <c r="LHQ554" s="178"/>
      <c r="LHR554" s="178"/>
      <c r="LHS554" s="178"/>
      <c r="LHT554" s="178"/>
      <c r="LHU554" s="178"/>
      <c r="LHV554" s="178"/>
      <c r="LHW554" s="178"/>
      <c r="LHX554" s="178"/>
      <c r="LHY554" s="178"/>
      <c r="LHZ554" s="178"/>
      <c r="LIA554" s="178"/>
      <c r="LIB554" s="178"/>
      <c r="LIC554" s="178"/>
      <c r="LID554" s="178"/>
      <c r="LIE554" s="178"/>
      <c r="LIF554" s="178"/>
      <c r="LIG554" s="178"/>
      <c r="LIH554" s="178"/>
      <c r="LII554" s="178"/>
      <c r="LIJ554" s="178"/>
      <c r="LIK554" s="178"/>
      <c r="LIL554" s="178"/>
      <c r="LIM554" s="178"/>
      <c r="LIN554" s="178"/>
      <c r="LIO554" s="178"/>
      <c r="LIP554" s="178"/>
      <c r="LIQ554" s="178"/>
      <c r="LIR554" s="178"/>
      <c r="LIS554" s="178"/>
      <c r="LIT554" s="178"/>
      <c r="LIU554" s="178"/>
      <c r="LIV554" s="178"/>
      <c r="LIW554" s="178"/>
      <c r="LIX554" s="178"/>
      <c r="LIY554" s="178"/>
      <c r="LIZ554" s="178"/>
      <c r="LJA554" s="178"/>
      <c r="LJB554" s="178"/>
      <c r="LJC554" s="178"/>
      <c r="LJD554" s="178"/>
      <c r="LJE554" s="178"/>
      <c r="LJF554" s="178"/>
      <c r="LJG554" s="178"/>
      <c r="LJH554" s="178"/>
      <c r="LJI554" s="178"/>
      <c r="LJJ554" s="178"/>
      <c r="LJK554" s="178"/>
      <c r="LJL554" s="178"/>
      <c r="LJM554" s="178"/>
      <c r="LJN554" s="178"/>
      <c r="LJO554" s="178"/>
      <c r="LJP554" s="178"/>
      <c r="LJQ554" s="178"/>
      <c r="LJR554" s="178"/>
      <c r="LJS554" s="178"/>
      <c r="LJT554" s="178"/>
      <c r="LJU554" s="178"/>
      <c r="LJV554" s="178"/>
      <c r="LJW554" s="178"/>
      <c r="LJX554" s="178"/>
      <c r="LJY554" s="178"/>
      <c r="LJZ554" s="178"/>
      <c r="LKA554" s="178"/>
      <c r="LKB554" s="178"/>
      <c r="LKC554" s="178"/>
      <c r="LKD554" s="178"/>
      <c r="LKE554" s="178"/>
      <c r="LKF554" s="178"/>
      <c r="LKG554" s="178"/>
      <c r="LKH554" s="178"/>
      <c r="LKI554" s="178"/>
      <c r="LKJ554" s="178"/>
      <c r="LKK554" s="178"/>
      <c r="LKL554" s="178"/>
      <c r="LKM554" s="178"/>
      <c r="LKN554" s="178"/>
      <c r="LKO554" s="178"/>
      <c r="LKP554" s="178"/>
      <c r="LKQ554" s="178"/>
      <c r="LKR554" s="178"/>
      <c r="LKS554" s="178"/>
      <c r="LKT554" s="178"/>
      <c r="LKU554" s="178"/>
      <c r="LKV554" s="178"/>
      <c r="LKW554" s="178"/>
      <c r="LKX554" s="178"/>
      <c r="LKY554" s="178"/>
      <c r="LKZ554" s="178"/>
      <c r="LLA554" s="178"/>
      <c r="LLB554" s="178"/>
      <c r="LLC554" s="178"/>
      <c r="LLD554" s="178"/>
      <c r="LLE554" s="178"/>
      <c r="LLF554" s="178"/>
      <c r="LLG554" s="178"/>
      <c r="LLH554" s="178"/>
      <c r="LLI554" s="178"/>
      <c r="LLJ554" s="178"/>
      <c r="LLK554" s="178"/>
      <c r="LLL554" s="178"/>
      <c r="LLM554" s="178"/>
      <c r="LLN554" s="178"/>
      <c r="LLO554" s="178"/>
      <c r="LLP554" s="178"/>
      <c r="LLQ554" s="178"/>
      <c r="LLR554" s="178"/>
      <c r="LLS554" s="178"/>
      <c r="LLT554" s="178"/>
      <c r="LLU554" s="178"/>
      <c r="LLV554" s="178"/>
      <c r="LLW554" s="178"/>
      <c r="LLX554" s="178"/>
      <c r="LLY554" s="178"/>
      <c r="LLZ554" s="178"/>
      <c r="LMA554" s="178"/>
      <c r="LMB554" s="178"/>
      <c r="LMC554" s="178"/>
      <c r="LMD554" s="178"/>
      <c r="LME554" s="178"/>
      <c r="LMF554" s="178"/>
      <c r="LMG554" s="178"/>
      <c r="LMH554" s="178"/>
      <c r="LMI554" s="178"/>
      <c r="LMJ554" s="178"/>
      <c r="LMK554" s="178"/>
      <c r="LML554" s="178"/>
      <c r="LMM554" s="178"/>
      <c r="LMN554" s="178"/>
      <c r="LMO554" s="178"/>
      <c r="LMP554" s="178"/>
      <c r="LMQ554" s="178"/>
      <c r="LMR554" s="178"/>
      <c r="LMS554" s="178"/>
      <c r="LMT554" s="178"/>
      <c r="LMU554" s="178"/>
      <c r="LMV554" s="178"/>
      <c r="LMW554" s="178"/>
      <c r="LMX554" s="178"/>
      <c r="LMY554" s="178"/>
      <c r="LMZ554" s="178"/>
      <c r="LNA554" s="178"/>
      <c r="LNB554" s="178"/>
      <c r="LNC554" s="178"/>
      <c r="LND554" s="178"/>
      <c r="LNE554" s="178"/>
      <c r="LNF554" s="178"/>
      <c r="LNG554" s="178"/>
      <c r="LNH554" s="178"/>
      <c r="LNI554" s="178"/>
      <c r="LNJ554" s="178"/>
      <c r="LNK554" s="178"/>
      <c r="LNL554" s="178"/>
      <c r="LNM554" s="178"/>
      <c r="LNN554" s="178"/>
      <c r="LNO554" s="178"/>
      <c r="LNP554" s="178"/>
      <c r="LNQ554" s="178"/>
      <c r="LNR554" s="178"/>
      <c r="LNS554" s="178"/>
      <c r="LNT554" s="178"/>
      <c r="LNU554" s="178"/>
      <c r="LNV554" s="178"/>
      <c r="LNW554" s="178"/>
      <c r="LNX554" s="178"/>
      <c r="LNY554" s="178"/>
      <c r="LNZ554" s="178"/>
      <c r="LOA554" s="178"/>
      <c r="LOB554" s="178"/>
      <c r="LOC554" s="178"/>
      <c r="LOD554" s="178"/>
      <c r="LOE554" s="178"/>
      <c r="LOF554" s="178"/>
      <c r="LOG554" s="178"/>
      <c r="LOH554" s="178"/>
      <c r="LOI554" s="178"/>
      <c r="LOJ554" s="178"/>
      <c r="LOK554" s="178"/>
      <c r="LOL554" s="178"/>
      <c r="LOM554" s="178"/>
      <c r="LON554" s="178"/>
      <c r="LOO554" s="178"/>
      <c r="LOP554" s="178"/>
      <c r="LOQ554" s="178"/>
      <c r="LOR554" s="178"/>
      <c r="LOS554" s="178"/>
      <c r="LOT554" s="178"/>
      <c r="LOU554" s="178"/>
      <c r="LOV554" s="178"/>
      <c r="LOW554" s="178"/>
      <c r="LOX554" s="178"/>
      <c r="LOY554" s="178"/>
      <c r="LOZ554" s="178"/>
      <c r="LPA554" s="178"/>
      <c r="LPB554" s="178"/>
      <c r="LPC554" s="178"/>
      <c r="LPD554" s="178"/>
      <c r="LPE554" s="178"/>
      <c r="LPF554" s="178"/>
      <c r="LPG554" s="178"/>
      <c r="LPH554" s="178"/>
      <c r="LPI554" s="178"/>
      <c r="LPJ554" s="178"/>
      <c r="LPK554" s="178"/>
      <c r="LPL554" s="178"/>
      <c r="LPM554" s="178"/>
      <c r="LPN554" s="178"/>
      <c r="LPO554" s="178"/>
      <c r="LPP554" s="178"/>
      <c r="LPQ554" s="178"/>
      <c r="LPR554" s="178"/>
      <c r="LPS554" s="178"/>
      <c r="LPT554" s="178"/>
      <c r="LPU554" s="178"/>
      <c r="LPV554" s="178"/>
      <c r="LPW554" s="178"/>
      <c r="LPX554" s="178"/>
      <c r="LPY554" s="178"/>
      <c r="LPZ554" s="178"/>
      <c r="LQA554" s="178"/>
      <c r="LQB554" s="178"/>
      <c r="LQC554" s="178"/>
      <c r="LQD554" s="178"/>
      <c r="LQE554" s="178"/>
      <c r="LQF554" s="178"/>
      <c r="LQG554" s="178"/>
      <c r="LQH554" s="178"/>
      <c r="LQI554" s="178"/>
      <c r="LQJ554" s="178"/>
      <c r="LQK554" s="178"/>
      <c r="LQL554" s="178"/>
      <c r="LQM554" s="178"/>
      <c r="LQN554" s="178"/>
      <c r="LQO554" s="178"/>
      <c r="LQP554" s="178"/>
      <c r="LQQ554" s="178"/>
      <c r="LQR554" s="178"/>
      <c r="LQS554" s="178"/>
      <c r="LQT554" s="178"/>
      <c r="LQU554" s="178"/>
      <c r="LQV554" s="178"/>
      <c r="LQW554" s="178"/>
      <c r="LQX554" s="178"/>
      <c r="LQY554" s="178"/>
      <c r="LQZ554" s="178"/>
      <c r="LRA554" s="178"/>
      <c r="LRB554" s="178"/>
      <c r="LRC554" s="178"/>
      <c r="LRD554" s="178"/>
      <c r="LRE554" s="178"/>
      <c r="LRF554" s="178"/>
      <c r="LRG554" s="178"/>
      <c r="LRH554" s="178"/>
      <c r="LRI554" s="178"/>
      <c r="LRJ554" s="178"/>
      <c r="LRK554" s="178"/>
      <c r="LRL554" s="178"/>
      <c r="LRM554" s="178"/>
      <c r="LRN554" s="178"/>
      <c r="LRO554" s="178"/>
      <c r="LRP554" s="178"/>
      <c r="LRQ554" s="178"/>
      <c r="LRR554" s="178"/>
      <c r="LRS554" s="178"/>
      <c r="LRT554" s="178"/>
      <c r="LRU554" s="178"/>
      <c r="LRV554" s="178"/>
      <c r="LRW554" s="178"/>
      <c r="LRX554" s="178"/>
      <c r="LRY554" s="178"/>
      <c r="LRZ554" s="178"/>
      <c r="LSA554" s="178"/>
      <c r="LSB554" s="178"/>
      <c r="LSC554" s="178"/>
      <c r="LSD554" s="178"/>
      <c r="LSE554" s="178"/>
      <c r="LSF554" s="178"/>
      <c r="LSG554" s="178"/>
      <c r="LSH554" s="178"/>
      <c r="LSI554" s="178"/>
      <c r="LSJ554" s="178"/>
      <c r="LSK554" s="178"/>
      <c r="LSL554" s="178"/>
      <c r="LSM554" s="178"/>
      <c r="LSN554" s="178"/>
      <c r="LSO554" s="178"/>
      <c r="LSP554" s="178"/>
      <c r="LSQ554" s="178"/>
      <c r="LSR554" s="178"/>
      <c r="LSS554" s="178"/>
      <c r="LST554" s="178"/>
      <c r="LSU554" s="178"/>
      <c r="LSV554" s="178"/>
      <c r="LSW554" s="178"/>
      <c r="LSX554" s="178"/>
      <c r="LSY554" s="178"/>
      <c r="LSZ554" s="178"/>
      <c r="LTA554" s="178"/>
      <c r="LTB554" s="178"/>
      <c r="LTC554" s="178"/>
      <c r="LTD554" s="178"/>
      <c r="LTE554" s="178"/>
      <c r="LTF554" s="178"/>
      <c r="LTG554" s="178"/>
      <c r="LTH554" s="178"/>
      <c r="LTI554" s="178"/>
      <c r="LTJ554" s="178"/>
      <c r="LTK554" s="178"/>
      <c r="LTL554" s="178"/>
      <c r="LTM554" s="178"/>
      <c r="LTN554" s="178"/>
      <c r="LTO554" s="178"/>
      <c r="LTP554" s="178"/>
      <c r="LTQ554" s="178"/>
      <c r="LTR554" s="178"/>
      <c r="LTS554" s="178"/>
      <c r="LTT554" s="178"/>
      <c r="LTU554" s="178"/>
      <c r="LTV554" s="178"/>
      <c r="LTW554" s="178"/>
      <c r="LTX554" s="178"/>
      <c r="LTY554" s="178"/>
      <c r="LTZ554" s="178"/>
      <c r="LUA554" s="178"/>
      <c r="LUB554" s="178"/>
      <c r="LUC554" s="178"/>
      <c r="LUD554" s="178"/>
      <c r="LUE554" s="178"/>
      <c r="LUF554" s="178"/>
      <c r="LUG554" s="178"/>
      <c r="LUH554" s="178"/>
      <c r="LUI554" s="178"/>
      <c r="LUJ554" s="178"/>
      <c r="LUK554" s="178"/>
      <c r="LUL554" s="178"/>
      <c r="LUM554" s="178"/>
      <c r="LUN554" s="178"/>
      <c r="LUO554" s="178"/>
      <c r="LUP554" s="178"/>
      <c r="LUQ554" s="178"/>
      <c r="LUR554" s="178"/>
      <c r="LUS554" s="178"/>
      <c r="LUT554" s="178"/>
      <c r="LUU554" s="178"/>
      <c r="LUV554" s="178"/>
      <c r="LUW554" s="178"/>
      <c r="LUX554" s="178"/>
      <c r="LUY554" s="178"/>
      <c r="LUZ554" s="178"/>
      <c r="LVA554" s="178"/>
      <c r="LVB554" s="178"/>
      <c r="LVC554" s="178"/>
      <c r="LVD554" s="178"/>
      <c r="LVE554" s="178"/>
      <c r="LVF554" s="178"/>
      <c r="LVG554" s="178"/>
      <c r="LVH554" s="178"/>
      <c r="LVI554" s="178"/>
      <c r="LVJ554" s="178"/>
      <c r="LVK554" s="178"/>
      <c r="LVL554" s="178"/>
      <c r="LVM554" s="178"/>
      <c r="LVN554" s="178"/>
      <c r="LVO554" s="178"/>
      <c r="LVP554" s="178"/>
      <c r="LVQ554" s="178"/>
      <c r="LVR554" s="178"/>
      <c r="LVS554" s="178"/>
      <c r="LVT554" s="178"/>
      <c r="LVU554" s="178"/>
      <c r="LVV554" s="178"/>
      <c r="LVW554" s="178"/>
      <c r="LVX554" s="178"/>
      <c r="LVY554" s="178"/>
      <c r="LVZ554" s="178"/>
      <c r="LWA554" s="178"/>
      <c r="LWB554" s="178"/>
      <c r="LWC554" s="178"/>
      <c r="LWD554" s="178"/>
      <c r="LWE554" s="178"/>
      <c r="LWF554" s="178"/>
      <c r="LWG554" s="178"/>
      <c r="LWH554" s="178"/>
      <c r="LWI554" s="178"/>
      <c r="LWJ554" s="178"/>
      <c r="LWK554" s="178"/>
      <c r="LWL554" s="178"/>
      <c r="LWM554" s="178"/>
      <c r="LWN554" s="178"/>
      <c r="LWO554" s="178"/>
      <c r="LWP554" s="178"/>
      <c r="LWQ554" s="178"/>
      <c r="LWR554" s="178"/>
      <c r="LWS554" s="178"/>
      <c r="LWT554" s="178"/>
      <c r="LWU554" s="178"/>
      <c r="LWV554" s="178"/>
      <c r="LWW554" s="178"/>
      <c r="LWX554" s="178"/>
      <c r="LWY554" s="178"/>
      <c r="LWZ554" s="178"/>
      <c r="LXA554" s="178"/>
      <c r="LXB554" s="178"/>
      <c r="LXC554" s="178"/>
      <c r="LXD554" s="178"/>
      <c r="LXE554" s="178"/>
      <c r="LXF554" s="178"/>
      <c r="LXG554" s="178"/>
      <c r="LXH554" s="178"/>
      <c r="LXI554" s="178"/>
      <c r="LXJ554" s="178"/>
      <c r="LXK554" s="178"/>
      <c r="LXL554" s="178"/>
      <c r="LXM554" s="178"/>
      <c r="LXN554" s="178"/>
      <c r="LXO554" s="178"/>
      <c r="LXP554" s="178"/>
      <c r="LXQ554" s="178"/>
      <c r="LXR554" s="178"/>
      <c r="LXS554" s="178"/>
      <c r="LXT554" s="178"/>
      <c r="LXU554" s="178"/>
      <c r="LXV554" s="178"/>
      <c r="LXW554" s="178"/>
      <c r="LXX554" s="178"/>
      <c r="LXY554" s="178"/>
      <c r="LXZ554" s="178"/>
      <c r="LYA554" s="178"/>
      <c r="LYB554" s="178"/>
      <c r="LYC554" s="178"/>
      <c r="LYD554" s="178"/>
      <c r="LYE554" s="178"/>
      <c r="LYF554" s="178"/>
      <c r="LYG554" s="178"/>
      <c r="LYH554" s="178"/>
      <c r="LYI554" s="178"/>
      <c r="LYJ554" s="178"/>
      <c r="LYK554" s="178"/>
      <c r="LYL554" s="178"/>
      <c r="LYM554" s="178"/>
      <c r="LYN554" s="178"/>
      <c r="LYO554" s="178"/>
      <c r="LYP554" s="178"/>
      <c r="LYQ554" s="178"/>
      <c r="LYR554" s="178"/>
      <c r="LYS554" s="178"/>
      <c r="LYT554" s="178"/>
      <c r="LYU554" s="178"/>
      <c r="LYV554" s="178"/>
      <c r="LYW554" s="178"/>
      <c r="LYX554" s="178"/>
      <c r="LYY554" s="178"/>
      <c r="LYZ554" s="178"/>
      <c r="LZA554" s="178"/>
      <c r="LZB554" s="178"/>
      <c r="LZC554" s="178"/>
      <c r="LZD554" s="178"/>
      <c r="LZE554" s="178"/>
      <c r="LZF554" s="178"/>
      <c r="LZG554" s="178"/>
      <c r="LZH554" s="178"/>
      <c r="LZI554" s="178"/>
      <c r="LZJ554" s="178"/>
      <c r="LZK554" s="178"/>
      <c r="LZL554" s="178"/>
      <c r="LZM554" s="178"/>
      <c r="LZN554" s="178"/>
      <c r="LZO554" s="178"/>
      <c r="LZP554" s="178"/>
      <c r="LZQ554" s="178"/>
      <c r="LZR554" s="178"/>
      <c r="LZS554" s="178"/>
      <c r="LZT554" s="178"/>
      <c r="LZU554" s="178"/>
      <c r="LZV554" s="178"/>
      <c r="LZW554" s="178"/>
      <c r="LZX554" s="178"/>
      <c r="LZY554" s="178"/>
      <c r="LZZ554" s="178"/>
      <c r="MAA554" s="178"/>
      <c r="MAB554" s="178"/>
      <c r="MAC554" s="178"/>
      <c r="MAD554" s="178"/>
      <c r="MAE554" s="178"/>
      <c r="MAF554" s="178"/>
      <c r="MAG554" s="178"/>
      <c r="MAH554" s="178"/>
      <c r="MAI554" s="178"/>
      <c r="MAJ554" s="178"/>
      <c r="MAK554" s="178"/>
      <c r="MAL554" s="178"/>
      <c r="MAM554" s="178"/>
      <c r="MAN554" s="178"/>
      <c r="MAO554" s="178"/>
      <c r="MAP554" s="178"/>
      <c r="MAQ554" s="178"/>
      <c r="MAR554" s="178"/>
      <c r="MAS554" s="178"/>
      <c r="MAT554" s="178"/>
      <c r="MAU554" s="178"/>
      <c r="MAV554" s="178"/>
      <c r="MAW554" s="178"/>
      <c r="MAX554" s="178"/>
      <c r="MAY554" s="178"/>
      <c r="MAZ554" s="178"/>
      <c r="MBA554" s="178"/>
      <c r="MBB554" s="178"/>
      <c r="MBC554" s="178"/>
      <c r="MBD554" s="178"/>
      <c r="MBE554" s="178"/>
      <c r="MBF554" s="178"/>
      <c r="MBG554" s="178"/>
      <c r="MBH554" s="178"/>
      <c r="MBI554" s="178"/>
      <c r="MBJ554" s="178"/>
      <c r="MBK554" s="178"/>
      <c r="MBL554" s="178"/>
      <c r="MBM554" s="178"/>
      <c r="MBN554" s="178"/>
      <c r="MBO554" s="178"/>
      <c r="MBP554" s="178"/>
      <c r="MBQ554" s="178"/>
      <c r="MBR554" s="178"/>
      <c r="MBS554" s="178"/>
      <c r="MBT554" s="178"/>
      <c r="MBU554" s="178"/>
      <c r="MBV554" s="178"/>
      <c r="MBW554" s="178"/>
      <c r="MBX554" s="178"/>
      <c r="MBY554" s="178"/>
      <c r="MBZ554" s="178"/>
      <c r="MCA554" s="178"/>
      <c r="MCB554" s="178"/>
      <c r="MCC554" s="178"/>
      <c r="MCD554" s="178"/>
      <c r="MCE554" s="178"/>
      <c r="MCF554" s="178"/>
      <c r="MCG554" s="178"/>
      <c r="MCH554" s="178"/>
      <c r="MCI554" s="178"/>
      <c r="MCJ554" s="178"/>
      <c r="MCK554" s="178"/>
      <c r="MCL554" s="178"/>
      <c r="MCM554" s="178"/>
      <c r="MCN554" s="178"/>
      <c r="MCO554" s="178"/>
      <c r="MCP554" s="178"/>
      <c r="MCQ554" s="178"/>
      <c r="MCR554" s="178"/>
      <c r="MCS554" s="178"/>
      <c r="MCT554" s="178"/>
      <c r="MCU554" s="178"/>
      <c r="MCV554" s="178"/>
      <c r="MCW554" s="178"/>
      <c r="MCX554" s="178"/>
      <c r="MCY554" s="178"/>
      <c r="MCZ554" s="178"/>
      <c r="MDA554" s="178"/>
      <c r="MDB554" s="178"/>
      <c r="MDC554" s="178"/>
      <c r="MDD554" s="178"/>
      <c r="MDE554" s="178"/>
      <c r="MDF554" s="178"/>
      <c r="MDG554" s="178"/>
      <c r="MDH554" s="178"/>
      <c r="MDI554" s="178"/>
      <c r="MDJ554" s="178"/>
      <c r="MDK554" s="178"/>
      <c r="MDL554" s="178"/>
      <c r="MDM554" s="178"/>
      <c r="MDN554" s="178"/>
      <c r="MDO554" s="178"/>
      <c r="MDP554" s="178"/>
      <c r="MDQ554" s="178"/>
      <c r="MDR554" s="178"/>
      <c r="MDS554" s="178"/>
      <c r="MDT554" s="178"/>
      <c r="MDU554" s="178"/>
      <c r="MDV554" s="178"/>
      <c r="MDW554" s="178"/>
      <c r="MDX554" s="178"/>
      <c r="MDY554" s="178"/>
      <c r="MDZ554" s="178"/>
      <c r="MEA554" s="178"/>
      <c r="MEB554" s="178"/>
      <c r="MEC554" s="178"/>
      <c r="MED554" s="178"/>
      <c r="MEE554" s="178"/>
      <c r="MEF554" s="178"/>
      <c r="MEG554" s="178"/>
      <c r="MEH554" s="178"/>
      <c r="MEI554" s="178"/>
      <c r="MEJ554" s="178"/>
      <c r="MEK554" s="178"/>
      <c r="MEL554" s="178"/>
      <c r="MEM554" s="178"/>
      <c r="MEN554" s="178"/>
      <c r="MEO554" s="178"/>
      <c r="MEP554" s="178"/>
      <c r="MEQ554" s="178"/>
      <c r="MER554" s="178"/>
      <c r="MES554" s="178"/>
      <c r="MET554" s="178"/>
      <c r="MEU554" s="178"/>
      <c r="MEV554" s="178"/>
      <c r="MEW554" s="178"/>
      <c r="MEX554" s="178"/>
      <c r="MEY554" s="178"/>
      <c r="MEZ554" s="178"/>
      <c r="MFA554" s="178"/>
      <c r="MFB554" s="178"/>
      <c r="MFC554" s="178"/>
      <c r="MFD554" s="178"/>
      <c r="MFE554" s="178"/>
      <c r="MFF554" s="178"/>
      <c r="MFG554" s="178"/>
      <c r="MFH554" s="178"/>
      <c r="MFI554" s="178"/>
      <c r="MFJ554" s="178"/>
      <c r="MFK554" s="178"/>
      <c r="MFL554" s="178"/>
      <c r="MFM554" s="178"/>
      <c r="MFN554" s="178"/>
      <c r="MFO554" s="178"/>
      <c r="MFP554" s="178"/>
      <c r="MFQ554" s="178"/>
      <c r="MFR554" s="178"/>
      <c r="MFS554" s="178"/>
      <c r="MFT554" s="178"/>
      <c r="MFU554" s="178"/>
      <c r="MFV554" s="178"/>
      <c r="MFW554" s="178"/>
      <c r="MFX554" s="178"/>
      <c r="MFY554" s="178"/>
      <c r="MFZ554" s="178"/>
      <c r="MGA554" s="178"/>
      <c r="MGB554" s="178"/>
      <c r="MGC554" s="178"/>
      <c r="MGD554" s="178"/>
      <c r="MGE554" s="178"/>
      <c r="MGF554" s="178"/>
      <c r="MGG554" s="178"/>
      <c r="MGH554" s="178"/>
      <c r="MGI554" s="178"/>
      <c r="MGJ554" s="178"/>
      <c r="MGK554" s="178"/>
      <c r="MGL554" s="178"/>
      <c r="MGM554" s="178"/>
      <c r="MGN554" s="178"/>
      <c r="MGO554" s="178"/>
      <c r="MGP554" s="178"/>
      <c r="MGQ554" s="178"/>
      <c r="MGR554" s="178"/>
      <c r="MGS554" s="178"/>
      <c r="MGT554" s="178"/>
      <c r="MGU554" s="178"/>
      <c r="MGV554" s="178"/>
      <c r="MGW554" s="178"/>
      <c r="MGX554" s="178"/>
      <c r="MGY554" s="178"/>
      <c r="MGZ554" s="178"/>
      <c r="MHA554" s="178"/>
      <c r="MHB554" s="178"/>
      <c r="MHC554" s="178"/>
      <c r="MHD554" s="178"/>
      <c r="MHE554" s="178"/>
      <c r="MHF554" s="178"/>
      <c r="MHG554" s="178"/>
      <c r="MHH554" s="178"/>
      <c r="MHI554" s="178"/>
      <c r="MHJ554" s="178"/>
      <c r="MHK554" s="178"/>
      <c r="MHL554" s="178"/>
      <c r="MHM554" s="178"/>
      <c r="MHN554" s="178"/>
      <c r="MHO554" s="178"/>
      <c r="MHP554" s="178"/>
      <c r="MHQ554" s="178"/>
      <c r="MHR554" s="178"/>
      <c r="MHS554" s="178"/>
      <c r="MHT554" s="178"/>
      <c r="MHU554" s="178"/>
      <c r="MHV554" s="178"/>
      <c r="MHW554" s="178"/>
      <c r="MHX554" s="178"/>
      <c r="MHY554" s="178"/>
      <c r="MHZ554" s="178"/>
      <c r="MIA554" s="178"/>
      <c r="MIB554" s="178"/>
      <c r="MIC554" s="178"/>
      <c r="MID554" s="178"/>
      <c r="MIE554" s="178"/>
      <c r="MIF554" s="178"/>
      <c r="MIG554" s="178"/>
      <c r="MIH554" s="178"/>
      <c r="MII554" s="178"/>
      <c r="MIJ554" s="178"/>
      <c r="MIK554" s="178"/>
      <c r="MIL554" s="178"/>
      <c r="MIM554" s="178"/>
      <c r="MIN554" s="178"/>
      <c r="MIO554" s="178"/>
      <c r="MIP554" s="178"/>
      <c r="MIQ554" s="178"/>
      <c r="MIR554" s="178"/>
      <c r="MIS554" s="178"/>
      <c r="MIT554" s="178"/>
      <c r="MIU554" s="178"/>
      <c r="MIV554" s="178"/>
      <c r="MIW554" s="178"/>
      <c r="MIX554" s="178"/>
      <c r="MIY554" s="178"/>
      <c r="MIZ554" s="178"/>
      <c r="MJA554" s="178"/>
      <c r="MJB554" s="178"/>
      <c r="MJC554" s="178"/>
      <c r="MJD554" s="178"/>
      <c r="MJE554" s="178"/>
      <c r="MJF554" s="178"/>
      <c r="MJG554" s="178"/>
      <c r="MJH554" s="178"/>
      <c r="MJI554" s="178"/>
      <c r="MJJ554" s="178"/>
      <c r="MJK554" s="178"/>
      <c r="MJL554" s="178"/>
      <c r="MJM554" s="178"/>
      <c r="MJN554" s="178"/>
      <c r="MJO554" s="178"/>
      <c r="MJP554" s="178"/>
      <c r="MJQ554" s="178"/>
      <c r="MJR554" s="178"/>
      <c r="MJS554" s="178"/>
      <c r="MJT554" s="178"/>
      <c r="MJU554" s="178"/>
      <c r="MJV554" s="178"/>
      <c r="MJW554" s="178"/>
      <c r="MJX554" s="178"/>
      <c r="MJY554" s="178"/>
      <c r="MJZ554" s="178"/>
      <c r="MKA554" s="178"/>
      <c r="MKB554" s="178"/>
      <c r="MKC554" s="178"/>
      <c r="MKD554" s="178"/>
      <c r="MKE554" s="178"/>
      <c r="MKF554" s="178"/>
      <c r="MKG554" s="178"/>
      <c r="MKH554" s="178"/>
      <c r="MKI554" s="178"/>
      <c r="MKJ554" s="178"/>
      <c r="MKK554" s="178"/>
      <c r="MKL554" s="178"/>
      <c r="MKM554" s="178"/>
      <c r="MKN554" s="178"/>
      <c r="MKO554" s="178"/>
      <c r="MKP554" s="178"/>
      <c r="MKQ554" s="178"/>
      <c r="MKR554" s="178"/>
      <c r="MKS554" s="178"/>
      <c r="MKT554" s="178"/>
      <c r="MKU554" s="178"/>
      <c r="MKV554" s="178"/>
      <c r="MKW554" s="178"/>
      <c r="MKX554" s="178"/>
      <c r="MKY554" s="178"/>
      <c r="MKZ554" s="178"/>
      <c r="MLA554" s="178"/>
      <c r="MLB554" s="178"/>
      <c r="MLC554" s="178"/>
      <c r="MLD554" s="178"/>
      <c r="MLE554" s="178"/>
      <c r="MLF554" s="178"/>
      <c r="MLG554" s="178"/>
      <c r="MLH554" s="178"/>
      <c r="MLI554" s="178"/>
      <c r="MLJ554" s="178"/>
      <c r="MLK554" s="178"/>
      <c r="MLL554" s="178"/>
      <c r="MLM554" s="178"/>
      <c r="MLN554" s="178"/>
      <c r="MLO554" s="178"/>
      <c r="MLP554" s="178"/>
      <c r="MLQ554" s="178"/>
      <c r="MLR554" s="178"/>
      <c r="MLS554" s="178"/>
      <c r="MLT554" s="178"/>
      <c r="MLU554" s="178"/>
      <c r="MLV554" s="178"/>
      <c r="MLW554" s="178"/>
      <c r="MLX554" s="178"/>
      <c r="MLY554" s="178"/>
      <c r="MLZ554" s="178"/>
      <c r="MMA554" s="178"/>
      <c r="MMB554" s="178"/>
      <c r="MMC554" s="178"/>
      <c r="MMD554" s="178"/>
      <c r="MME554" s="178"/>
      <c r="MMF554" s="178"/>
      <c r="MMG554" s="178"/>
      <c r="MMH554" s="178"/>
      <c r="MMI554" s="178"/>
      <c r="MMJ554" s="178"/>
      <c r="MMK554" s="178"/>
      <c r="MML554" s="178"/>
      <c r="MMM554" s="178"/>
      <c r="MMN554" s="178"/>
      <c r="MMO554" s="178"/>
      <c r="MMP554" s="178"/>
      <c r="MMQ554" s="178"/>
      <c r="MMR554" s="178"/>
      <c r="MMS554" s="178"/>
      <c r="MMT554" s="178"/>
      <c r="MMU554" s="178"/>
      <c r="MMV554" s="178"/>
      <c r="MMW554" s="178"/>
      <c r="MMX554" s="178"/>
      <c r="MMY554" s="178"/>
      <c r="MMZ554" s="178"/>
      <c r="MNA554" s="178"/>
      <c r="MNB554" s="178"/>
      <c r="MNC554" s="178"/>
      <c r="MND554" s="178"/>
      <c r="MNE554" s="178"/>
      <c r="MNF554" s="178"/>
      <c r="MNG554" s="178"/>
      <c r="MNH554" s="178"/>
      <c r="MNI554" s="178"/>
      <c r="MNJ554" s="178"/>
      <c r="MNK554" s="178"/>
      <c r="MNL554" s="178"/>
      <c r="MNM554" s="178"/>
      <c r="MNN554" s="178"/>
      <c r="MNO554" s="178"/>
      <c r="MNP554" s="178"/>
      <c r="MNQ554" s="178"/>
      <c r="MNR554" s="178"/>
      <c r="MNS554" s="178"/>
      <c r="MNT554" s="178"/>
      <c r="MNU554" s="178"/>
      <c r="MNV554" s="178"/>
      <c r="MNW554" s="178"/>
      <c r="MNX554" s="178"/>
      <c r="MNY554" s="178"/>
      <c r="MNZ554" s="178"/>
      <c r="MOA554" s="178"/>
      <c r="MOB554" s="178"/>
      <c r="MOC554" s="178"/>
      <c r="MOD554" s="178"/>
      <c r="MOE554" s="178"/>
      <c r="MOF554" s="178"/>
      <c r="MOG554" s="178"/>
      <c r="MOH554" s="178"/>
      <c r="MOI554" s="178"/>
      <c r="MOJ554" s="178"/>
      <c r="MOK554" s="178"/>
      <c r="MOL554" s="178"/>
      <c r="MOM554" s="178"/>
      <c r="MON554" s="178"/>
      <c r="MOO554" s="178"/>
      <c r="MOP554" s="178"/>
      <c r="MOQ554" s="178"/>
      <c r="MOR554" s="178"/>
      <c r="MOS554" s="178"/>
      <c r="MOT554" s="178"/>
      <c r="MOU554" s="178"/>
      <c r="MOV554" s="178"/>
      <c r="MOW554" s="178"/>
      <c r="MOX554" s="178"/>
      <c r="MOY554" s="178"/>
      <c r="MOZ554" s="178"/>
      <c r="MPA554" s="178"/>
      <c r="MPB554" s="178"/>
      <c r="MPC554" s="178"/>
      <c r="MPD554" s="178"/>
      <c r="MPE554" s="178"/>
      <c r="MPF554" s="178"/>
      <c r="MPG554" s="178"/>
      <c r="MPH554" s="178"/>
      <c r="MPI554" s="178"/>
      <c r="MPJ554" s="178"/>
      <c r="MPK554" s="178"/>
      <c r="MPL554" s="178"/>
      <c r="MPM554" s="178"/>
      <c r="MPN554" s="178"/>
      <c r="MPO554" s="178"/>
      <c r="MPP554" s="178"/>
      <c r="MPQ554" s="178"/>
      <c r="MPR554" s="178"/>
      <c r="MPS554" s="178"/>
      <c r="MPT554" s="178"/>
      <c r="MPU554" s="178"/>
      <c r="MPV554" s="178"/>
      <c r="MPW554" s="178"/>
      <c r="MPX554" s="178"/>
      <c r="MPY554" s="178"/>
      <c r="MPZ554" s="178"/>
      <c r="MQA554" s="178"/>
      <c r="MQB554" s="178"/>
      <c r="MQC554" s="178"/>
      <c r="MQD554" s="178"/>
      <c r="MQE554" s="178"/>
      <c r="MQF554" s="178"/>
      <c r="MQG554" s="178"/>
      <c r="MQH554" s="178"/>
      <c r="MQI554" s="178"/>
      <c r="MQJ554" s="178"/>
      <c r="MQK554" s="178"/>
      <c r="MQL554" s="178"/>
      <c r="MQM554" s="178"/>
      <c r="MQN554" s="178"/>
      <c r="MQO554" s="178"/>
      <c r="MQP554" s="178"/>
      <c r="MQQ554" s="178"/>
      <c r="MQR554" s="178"/>
      <c r="MQS554" s="178"/>
      <c r="MQT554" s="178"/>
      <c r="MQU554" s="178"/>
      <c r="MQV554" s="178"/>
      <c r="MQW554" s="178"/>
      <c r="MQX554" s="178"/>
      <c r="MQY554" s="178"/>
      <c r="MQZ554" s="178"/>
      <c r="MRA554" s="178"/>
      <c r="MRB554" s="178"/>
      <c r="MRC554" s="178"/>
      <c r="MRD554" s="178"/>
      <c r="MRE554" s="178"/>
      <c r="MRF554" s="178"/>
      <c r="MRG554" s="178"/>
      <c r="MRH554" s="178"/>
      <c r="MRI554" s="178"/>
      <c r="MRJ554" s="178"/>
      <c r="MRK554" s="178"/>
      <c r="MRL554" s="178"/>
      <c r="MRM554" s="178"/>
      <c r="MRN554" s="178"/>
      <c r="MRO554" s="178"/>
      <c r="MRP554" s="178"/>
      <c r="MRQ554" s="178"/>
      <c r="MRR554" s="178"/>
      <c r="MRS554" s="178"/>
      <c r="MRT554" s="178"/>
      <c r="MRU554" s="178"/>
      <c r="MRV554" s="178"/>
      <c r="MRW554" s="178"/>
      <c r="MRX554" s="178"/>
      <c r="MRY554" s="178"/>
      <c r="MRZ554" s="178"/>
      <c r="MSA554" s="178"/>
      <c r="MSB554" s="178"/>
      <c r="MSC554" s="178"/>
      <c r="MSD554" s="178"/>
      <c r="MSE554" s="178"/>
      <c r="MSF554" s="178"/>
      <c r="MSG554" s="178"/>
      <c r="MSH554" s="178"/>
      <c r="MSI554" s="178"/>
      <c r="MSJ554" s="178"/>
      <c r="MSK554" s="178"/>
      <c r="MSL554" s="178"/>
      <c r="MSM554" s="178"/>
      <c r="MSN554" s="178"/>
      <c r="MSO554" s="178"/>
      <c r="MSP554" s="178"/>
      <c r="MSQ554" s="178"/>
      <c r="MSR554" s="178"/>
      <c r="MSS554" s="178"/>
      <c r="MST554" s="178"/>
      <c r="MSU554" s="178"/>
      <c r="MSV554" s="178"/>
      <c r="MSW554" s="178"/>
      <c r="MSX554" s="178"/>
      <c r="MSY554" s="178"/>
      <c r="MSZ554" s="178"/>
      <c r="MTA554" s="178"/>
      <c r="MTB554" s="178"/>
      <c r="MTC554" s="178"/>
      <c r="MTD554" s="178"/>
      <c r="MTE554" s="178"/>
      <c r="MTF554" s="178"/>
      <c r="MTG554" s="178"/>
      <c r="MTH554" s="178"/>
      <c r="MTI554" s="178"/>
      <c r="MTJ554" s="178"/>
      <c r="MTK554" s="178"/>
      <c r="MTL554" s="178"/>
      <c r="MTM554" s="178"/>
      <c r="MTN554" s="178"/>
      <c r="MTO554" s="178"/>
      <c r="MTP554" s="178"/>
      <c r="MTQ554" s="178"/>
      <c r="MTR554" s="178"/>
      <c r="MTS554" s="178"/>
      <c r="MTT554" s="178"/>
      <c r="MTU554" s="178"/>
      <c r="MTV554" s="178"/>
      <c r="MTW554" s="178"/>
      <c r="MTX554" s="178"/>
      <c r="MTY554" s="178"/>
      <c r="MTZ554" s="178"/>
      <c r="MUA554" s="178"/>
      <c r="MUB554" s="178"/>
      <c r="MUC554" s="178"/>
      <c r="MUD554" s="178"/>
      <c r="MUE554" s="178"/>
      <c r="MUF554" s="178"/>
      <c r="MUG554" s="178"/>
      <c r="MUH554" s="178"/>
      <c r="MUI554" s="178"/>
      <c r="MUJ554" s="178"/>
      <c r="MUK554" s="178"/>
      <c r="MUL554" s="178"/>
      <c r="MUM554" s="178"/>
      <c r="MUN554" s="178"/>
      <c r="MUO554" s="178"/>
      <c r="MUP554" s="178"/>
      <c r="MUQ554" s="178"/>
      <c r="MUR554" s="178"/>
      <c r="MUS554" s="178"/>
      <c r="MUT554" s="178"/>
      <c r="MUU554" s="178"/>
      <c r="MUV554" s="178"/>
      <c r="MUW554" s="178"/>
      <c r="MUX554" s="178"/>
      <c r="MUY554" s="178"/>
      <c r="MUZ554" s="178"/>
      <c r="MVA554" s="178"/>
      <c r="MVB554" s="178"/>
      <c r="MVC554" s="178"/>
      <c r="MVD554" s="178"/>
      <c r="MVE554" s="178"/>
      <c r="MVF554" s="178"/>
      <c r="MVG554" s="178"/>
      <c r="MVH554" s="178"/>
      <c r="MVI554" s="178"/>
      <c r="MVJ554" s="178"/>
      <c r="MVK554" s="178"/>
      <c r="MVL554" s="178"/>
      <c r="MVM554" s="178"/>
      <c r="MVN554" s="178"/>
      <c r="MVO554" s="178"/>
      <c r="MVP554" s="178"/>
      <c r="MVQ554" s="178"/>
      <c r="MVR554" s="178"/>
      <c r="MVS554" s="178"/>
      <c r="MVT554" s="178"/>
      <c r="MVU554" s="178"/>
      <c r="MVV554" s="178"/>
      <c r="MVW554" s="178"/>
      <c r="MVX554" s="178"/>
      <c r="MVY554" s="178"/>
      <c r="MVZ554" s="178"/>
      <c r="MWA554" s="178"/>
      <c r="MWB554" s="178"/>
      <c r="MWC554" s="178"/>
      <c r="MWD554" s="178"/>
      <c r="MWE554" s="178"/>
      <c r="MWF554" s="178"/>
      <c r="MWG554" s="178"/>
      <c r="MWH554" s="178"/>
      <c r="MWI554" s="178"/>
      <c r="MWJ554" s="178"/>
      <c r="MWK554" s="178"/>
      <c r="MWL554" s="178"/>
      <c r="MWM554" s="178"/>
      <c r="MWN554" s="178"/>
      <c r="MWO554" s="178"/>
      <c r="MWP554" s="178"/>
      <c r="MWQ554" s="178"/>
      <c r="MWR554" s="178"/>
      <c r="MWS554" s="178"/>
      <c r="MWT554" s="178"/>
      <c r="MWU554" s="178"/>
      <c r="MWV554" s="178"/>
      <c r="MWW554" s="178"/>
      <c r="MWX554" s="178"/>
      <c r="MWY554" s="178"/>
      <c r="MWZ554" s="178"/>
      <c r="MXA554" s="178"/>
      <c r="MXB554" s="178"/>
      <c r="MXC554" s="178"/>
      <c r="MXD554" s="178"/>
      <c r="MXE554" s="178"/>
      <c r="MXF554" s="178"/>
      <c r="MXG554" s="178"/>
      <c r="MXH554" s="178"/>
      <c r="MXI554" s="178"/>
      <c r="MXJ554" s="178"/>
      <c r="MXK554" s="178"/>
      <c r="MXL554" s="178"/>
      <c r="MXM554" s="178"/>
      <c r="MXN554" s="178"/>
      <c r="MXO554" s="178"/>
      <c r="MXP554" s="178"/>
      <c r="MXQ554" s="178"/>
      <c r="MXR554" s="178"/>
      <c r="MXS554" s="178"/>
      <c r="MXT554" s="178"/>
      <c r="MXU554" s="178"/>
      <c r="MXV554" s="178"/>
      <c r="MXW554" s="178"/>
      <c r="MXX554" s="178"/>
      <c r="MXY554" s="178"/>
      <c r="MXZ554" s="178"/>
      <c r="MYA554" s="178"/>
      <c r="MYB554" s="178"/>
      <c r="MYC554" s="178"/>
      <c r="MYD554" s="178"/>
      <c r="MYE554" s="178"/>
      <c r="MYF554" s="178"/>
      <c r="MYG554" s="178"/>
      <c r="MYH554" s="178"/>
      <c r="MYI554" s="178"/>
      <c r="MYJ554" s="178"/>
      <c r="MYK554" s="178"/>
      <c r="MYL554" s="178"/>
      <c r="MYM554" s="178"/>
      <c r="MYN554" s="178"/>
      <c r="MYO554" s="178"/>
      <c r="MYP554" s="178"/>
      <c r="MYQ554" s="178"/>
      <c r="MYR554" s="178"/>
      <c r="MYS554" s="178"/>
      <c r="MYT554" s="178"/>
      <c r="MYU554" s="178"/>
      <c r="MYV554" s="178"/>
      <c r="MYW554" s="178"/>
      <c r="MYX554" s="178"/>
      <c r="MYY554" s="178"/>
      <c r="MYZ554" s="178"/>
      <c r="MZA554" s="178"/>
      <c r="MZB554" s="178"/>
      <c r="MZC554" s="178"/>
      <c r="MZD554" s="178"/>
      <c r="MZE554" s="178"/>
      <c r="MZF554" s="178"/>
      <c r="MZG554" s="178"/>
      <c r="MZH554" s="178"/>
      <c r="MZI554" s="178"/>
      <c r="MZJ554" s="178"/>
      <c r="MZK554" s="178"/>
      <c r="MZL554" s="178"/>
      <c r="MZM554" s="178"/>
      <c r="MZN554" s="178"/>
      <c r="MZO554" s="178"/>
      <c r="MZP554" s="178"/>
      <c r="MZQ554" s="178"/>
      <c r="MZR554" s="178"/>
      <c r="MZS554" s="178"/>
      <c r="MZT554" s="178"/>
      <c r="MZU554" s="178"/>
      <c r="MZV554" s="178"/>
      <c r="MZW554" s="178"/>
      <c r="MZX554" s="178"/>
      <c r="MZY554" s="178"/>
      <c r="MZZ554" s="178"/>
      <c r="NAA554" s="178"/>
      <c r="NAB554" s="178"/>
      <c r="NAC554" s="178"/>
      <c r="NAD554" s="178"/>
      <c r="NAE554" s="178"/>
      <c r="NAF554" s="178"/>
      <c r="NAG554" s="178"/>
      <c r="NAH554" s="178"/>
      <c r="NAI554" s="178"/>
      <c r="NAJ554" s="178"/>
      <c r="NAK554" s="178"/>
      <c r="NAL554" s="178"/>
      <c r="NAM554" s="178"/>
      <c r="NAN554" s="178"/>
      <c r="NAO554" s="178"/>
      <c r="NAP554" s="178"/>
      <c r="NAQ554" s="178"/>
      <c r="NAR554" s="178"/>
      <c r="NAS554" s="178"/>
      <c r="NAT554" s="178"/>
      <c r="NAU554" s="178"/>
      <c r="NAV554" s="178"/>
      <c r="NAW554" s="178"/>
      <c r="NAX554" s="178"/>
      <c r="NAY554" s="178"/>
      <c r="NAZ554" s="178"/>
      <c r="NBA554" s="178"/>
      <c r="NBB554" s="178"/>
      <c r="NBC554" s="178"/>
      <c r="NBD554" s="178"/>
      <c r="NBE554" s="178"/>
      <c r="NBF554" s="178"/>
      <c r="NBG554" s="178"/>
      <c r="NBH554" s="178"/>
      <c r="NBI554" s="178"/>
      <c r="NBJ554" s="178"/>
      <c r="NBK554" s="178"/>
      <c r="NBL554" s="178"/>
      <c r="NBM554" s="178"/>
      <c r="NBN554" s="178"/>
      <c r="NBO554" s="178"/>
      <c r="NBP554" s="178"/>
      <c r="NBQ554" s="178"/>
      <c r="NBR554" s="178"/>
      <c r="NBS554" s="178"/>
      <c r="NBT554" s="178"/>
      <c r="NBU554" s="178"/>
      <c r="NBV554" s="178"/>
      <c r="NBW554" s="178"/>
      <c r="NBX554" s="178"/>
      <c r="NBY554" s="178"/>
      <c r="NBZ554" s="178"/>
      <c r="NCA554" s="178"/>
      <c r="NCB554" s="178"/>
      <c r="NCC554" s="178"/>
      <c r="NCD554" s="178"/>
      <c r="NCE554" s="178"/>
      <c r="NCF554" s="178"/>
      <c r="NCG554" s="178"/>
      <c r="NCH554" s="178"/>
      <c r="NCI554" s="178"/>
      <c r="NCJ554" s="178"/>
      <c r="NCK554" s="178"/>
      <c r="NCL554" s="178"/>
      <c r="NCM554" s="178"/>
      <c r="NCN554" s="178"/>
      <c r="NCO554" s="178"/>
      <c r="NCP554" s="178"/>
      <c r="NCQ554" s="178"/>
      <c r="NCR554" s="178"/>
      <c r="NCS554" s="178"/>
      <c r="NCT554" s="178"/>
      <c r="NCU554" s="178"/>
      <c r="NCV554" s="178"/>
      <c r="NCW554" s="178"/>
      <c r="NCX554" s="178"/>
      <c r="NCY554" s="178"/>
      <c r="NCZ554" s="178"/>
      <c r="NDA554" s="178"/>
      <c r="NDB554" s="178"/>
      <c r="NDC554" s="178"/>
      <c r="NDD554" s="178"/>
      <c r="NDE554" s="178"/>
      <c r="NDF554" s="178"/>
      <c r="NDG554" s="178"/>
      <c r="NDH554" s="178"/>
      <c r="NDI554" s="178"/>
      <c r="NDJ554" s="178"/>
      <c r="NDK554" s="178"/>
      <c r="NDL554" s="178"/>
      <c r="NDM554" s="178"/>
      <c r="NDN554" s="178"/>
      <c r="NDO554" s="178"/>
      <c r="NDP554" s="178"/>
      <c r="NDQ554" s="178"/>
      <c r="NDR554" s="178"/>
      <c r="NDS554" s="178"/>
      <c r="NDT554" s="178"/>
      <c r="NDU554" s="178"/>
      <c r="NDV554" s="178"/>
      <c r="NDW554" s="178"/>
      <c r="NDX554" s="178"/>
      <c r="NDY554" s="178"/>
      <c r="NDZ554" s="178"/>
      <c r="NEA554" s="178"/>
      <c r="NEB554" s="178"/>
      <c r="NEC554" s="178"/>
      <c r="NED554" s="178"/>
      <c r="NEE554" s="178"/>
      <c r="NEF554" s="178"/>
      <c r="NEG554" s="178"/>
      <c r="NEH554" s="178"/>
      <c r="NEI554" s="178"/>
      <c r="NEJ554" s="178"/>
      <c r="NEK554" s="178"/>
      <c r="NEL554" s="178"/>
      <c r="NEM554" s="178"/>
      <c r="NEN554" s="178"/>
      <c r="NEO554" s="178"/>
      <c r="NEP554" s="178"/>
      <c r="NEQ554" s="178"/>
      <c r="NER554" s="178"/>
      <c r="NES554" s="178"/>
      <c r="NET554" s="178"/>
      <c r="NEU554" s="178"/>
      <c r="NEV554" s="178"/>
      <c r="NEW554" s="178"/>
      <c r="NEX554" s="178"/>
      <c r="NEY554" s="178"/>
      <c r="NEZ554" s="178"/>
      <c r="NFA554" s="178"/>
      <c r="NFB554" s="178"/>
      <c r="NFC554" s="178"/>
      <c r="NFD554" s="178"/>
      <c r="NFE554" s="178"/>
      <c r="NFF554" s="178"/>
      <c r="NFG554" s="178"/>
      <c r="NFH554" s="178"/>
      <c r="NFI554" s="178"/>
      <c r="NFJ554" s="178"/>
      <c r="NFK554" s="178"/>
      <c r="NFL554" s="178"/>
      <c r="NFM554" s="178"/>
      <c r="NFN554" s="178"/>
      <c r="NFO554" s="178"/>
      <c r="NFP554" s="178"/>
      <c r="NFQ554" s="178"/>
      <c r="NFR554" s="178"/>
      <c r="NFS554" s="178"/>
      <c r="NFT554" s="178"/>
      <c r="NFU554" s="178"/>
      <c r="NFV554" s="178"/>
      <c r="NFW554" s="178"/>
      <c r="NFX554" s="178"/>
      <c r="NFY554" s="178"/>
      <c r="NFZ554" s="178"/>
      <c r="NGA554" s="178"/>
      <c r="NGB554" s="178"/>
      <c r="NGC554" s="178"/>
      <c r="NGD554" s="178"/>
      <c r="NGE554" s="178"/>
      <c r="NGF554" s="178"/>
      <c r="NGG554" s="178"/>
      <c r="NGH554" s="178"/>
      <c r="NGI554" s="178"/>
      <c r="NGJ554" s="178"/>
      <c r="NGK554" s="178"/>
      <c r="NGL554" s="178"/>
      <c r="NGM554" s="178"/>
      <c r="NGN554" s="178"/>
      <c r="NGO554" s="178"/>
      <c r="NGP554" s="178"/>
      <c r="NGQ554" s="178"/>
      <c r="NGR554" s="178"/>
      <c r="NGS554" s="178"/>
      <c r="NGT554" s="178"/>
      <c r="NGU554" s="178"/>
      <c r="NGV554" s="178"/>
      <c r="NGW554" s="178"/>
      <c r="NGX554" s="178"/>
      <c r="NGY554" s="178"/>
      <c r="NGZ554" s="178"/>
      <c r="NHA554" s="178"/>
      <c r="NHB554" s="178"/>
      <c r="NHC554" s="178"/>
      <c r="NHD554" s="178"/>
      <c r="NHE554" s="178"/>
      <c r="NHF554" s="178"/>
      <c r="NHG554" s="178"/>
      <c r="NHH554" s="178"/>
      <c r="NHI554" s="178"/>
      <c r="NHJ554" s="178"/>
      <c r="NHK554" s="178"/>
      <c r="NHL554" s="178"/>
      <c r="NHM554" s="178"/>
      <c r="NHN554" s="178"/>
      <c r="NHO554" s="178"/>
      <c r="NHP554" s="178"/>
      <c r="NHQ554" s="178"/>
      <c r="NHR554" s="178"/>
      <c r="NHS554" s="178"/>
      <c r="NHT554" s="178"/>
      <c r="NHU554" s="178"/>
      <c r="NHV554" s="178"/>
      <c r="NHW554" s="178"/>
      <c r="NHX554" s="178"/>
      <c r="NHY554" s="178"/>
      <c r="NHZ554" s="178"/>
      <c r="NIA554" s="178"/>
      <c r="NIB554" s="178"/>
      <c r="NIC554" s="178"/>
      <c r="NID554" s="178"/>
      <c r="NIE554" s="178"/>
      <c r="NIF554" s="178"/>
      <c r="NIG554" s="178"/>
      <c r="NIH554" s="178"/>
      <c r="NII554" s="178"/>
      <c r="NIJ554" s="178"/>
      <c r="NIK554" s="178"/>
      <c r="NIL554" s="178"/>
      <c r="NIM554" s="178"/>
      <c r="NIN554" s="178"/>
      <c r="NIO554" s="178"/>
      <c r="NIP554" s="178"/>
      <c r="NIQ554" s="178"/>
      <c r="NIR554" s="178"/>
      <c r="NIS554" s="178"/>
      <c r="NIT554" s="178"/>
      <c r="NIU554" s="178"/>
      <c r="NIV554" s="178"/>
      <c r="NIW554" s="178"/>
      <c r="NIX554" s="178"/>
      <c r="NIY554" s="178"/>
      <c r="NIZ554" s="178"/>
      <c r="NJA554" s="178"/>
      <c r="NJB554" s="178"/>
      <c r="NJC554" s="178"/>
      <c r="NJD554" s="178"/>
      <c r="NJE554" s="178"/>
      <c r="NJF554" s="178"/>
      <c r="NJG554" s="178"/>
      <c r="NJH554" s="178"/>
      <c r="NJI554" s="178"/>
      <c r="NJJ554" s="178"/>
      <c r="NJK554" s="178"/>
      <c r="NJL554" s="178"/>
      <c r="NJM554" s="178"/>
      <c r="NJN554" s="178"/>
      <c r="NJO554" s="178"/>
      <c r="NJP554" s="178"/>
      <c r="NJQ554" s="178"/>
      <c r="NJR554" s="178"/>
      <c r="NJS554" s="178"/>
      <c r="NJT554" s="178"/>
      <c r="NJU554" s="178"/>
      <c r="NJV554" s="178"/>
      <c r="NJW554" s="178"/>
      <c r="NJX554" s="178"/>
      <c r="NJY554" s="178"/>
      <c r="NJZ554" s="178"/>
      <c r="NKA554" s="178"/>
      <c r="NKB554" s="178"/>
      <c r="NKC554" s="178"/>
      <c r="NKD554" s="178"/>
      <c r="NKE554" s="178"/>
      <c r="NKF554" s="178"/>
      <c r="NKG554" s="178"/>
      <c r="NKH554" s="178"/>
      <c r="NKI554" s="178"/>
      <c r="NKJ554" s="178"/>
      <c r="NKK554" s="178"/>
      <c r="NKL554" s="178"/>
      <c r="NKM554" s="178"/>
      <c r="NKN554" s="178"/>
      <c r="NKO554" s="178"/>
      <c r="NKP554" s="178"/>
      <c r="NKQ554" s="178"/>
      <c r="NKR554" s="178"/>
      <c r="NKS554" s="178"/>
      <c r="NKT554" s="178"/>
      <c r="NKU554" s="178"/>
      <c r="NKV554" s="178"/>
      <c r="NKW554" s="178"/>
      <c r="NKX554" s="178"/>
      <c r="NKY554" s="178"/>
      <c r="NKZ554" s="178"/>
      <c r="NLA554" s="178"/>
      <c r="NLB554" s="178"/>
      <c r="NLC554" s="178"/>
      <c r="NLD554" s="178"/>
      <c r="NLE554" s="178"/>
      <c r="NLF554" s="178"/>
      <c r="NLG554" s="178"/>
      <c r="NLH554" s="178"/>
      <c r="NLI554" s="178"/>
      <c r="NLJ554" s="178"/>
      <c r="NLK554" s="178"/>
      <c r="NLL554" s="178"/>
      <c r="NLM554" s="178"/>
      <c r="NLN554" s="178"/>
      <c r="NLO554" s="178"/>
      <c r="NLP554" s="178"/>
      <c r="NLQ554" s="178"/>
      <c r="NLR554" s="178"/>
      <c r="NLS554" s="178"/>
      <c r="NLT554" s="178"/>
      <c r="NLU554" s="178"/>
      <c r="NLV554" s="178"/>
      <c r="NLW554" s="178"/>
      <c r="NLX554" s="178"/>
      <c r="NLY554" s="178"/>
      <c r="NLZ554" s="178"/>
      <c r="NMA554" s="178"/>
      <c r="NMB554" s="178"/>
      <c r="NMC554" s="178"/>
      <c r="NMD554" s="178"/>
      <c r="NME554" s="178"/>
      <c r="NMF554" s="178"/>
      <c r="NMG554" s="178"/>
      <c r="NMH554" s="178"/>
      <c r="NMI554" s="178"/>
      <c r="NMJ554" s="178"/>
      <c r="NMK554" s="178"/>
      <c r="NML554" s="178"/>
      <c r="NMM554" s="178"/>
      <c r="NMN554" s="178"/>
      <c r="NMO554" s="178"/>
      <c r="NMP554" s="178"/>
      <c r="NMQ554" s="178"/>
      <c r="NMR554" s="178"/>
      <c r="NMS554" s="178"/>
      <c r="NMT554" s="178"/>
      <c r="NMU554" s="178"/>
      <c r="NMV554" s="178"/>
      <c r="NMW554" s="178"/>
      <c r="NMX554" s="178"/>
      <c r="NMY554" s="178"/>
      <c r="NMZ554" s="178"/>
      <c r="NNA554" s="178"/>
      <c r="NNB554" s="178"/>
      <c r="NNC554" s="178"/>
      <c r="NND554" s="178"/>
      <c r="NNE554" s="178"/>
      <c r="NNF554" s="178"/>
      <c r="NNG554" s="178"/>
      <c r="NNH554" s="178"/>
      <c r="NNI554" s="178"/>
      <c r="NNJ554" s="178"/>
      <c r="NNK554" s="178"/>
      <c r="NNL554" s="178"/>
      <c r="NNM554" s="178"/>
      <c r="NNN554" s="178"/>
      <c r="NNO554" s="178"/>
      <c r="NNP554" s="178"/>
      <c r="NNQ554" s="178"/>
      <c r="NNR554" s="178"/>
      <c r="NNS554" s="178"/>
      <c r="NNT554" s="178"/>
      <c r="NNU554" s="178"/>
      <c r="NNV554" s="178"/>
      <c r="NNW554" s="178"/>
      <c r="NNX554" s="178"/>
      <c r="NNY554" s="178"/>
      <c r="NNZ554" s="178"/>
      <c r="NOA554" s="178"/>
      <c r="NOB554" s="178"/>
      <c r="NOC554" s="178"/>
      <c r="NOD554" s="178"/>
      <c r="NOE554" s="178"/>
      <c r="NOF554" s="178"/>
      <c r="NOG554" s="178"/>
      <c r="NOH554" s="178"/>
      <c r="NOI554" s="178"/>
      <c r="NOJ554" s="178"/>
      <c r="NOK554" s="178"/>
      <c r="NOL554" s="178"/>
      <c r="NOM554" s="178"/>
      <c r="NON554" s="178"/>
      <c r="NOO554" s="178"/>
      <c r="NOP554" s="178"/>
      <c r="NOQ554" s="178"/>
      <c r="NOR554" s="178"/>
      <c r="NOS554" s="178"/>
      <c r="NOT554" s="178"/>
      <c r="NOU554" s="178"/>
      <c r="NOV554" s="178"/>
      <c r="NOW554" s="178"/>
      <c r="NOX554" s="178"/>
      <c r="NOY554" s="178"/>
      <c r="NOZ554" s="178"/>
      <c r="NPA554" s="178"/>
      <c r="NPB554" s="178"/>
      <c r="NPC554" s="178"/>
      <c r="NPD554" s="178"/>
      <c r="NPE554" s="178"/>
      <c r="NPF554" s="178"/>
      <c r="NPG554" s="178"/>
      <c r="NPH554" s="178"/>
      <c r="NPI554" s="178"/>
      <c r="NPJ554" s="178"/>
      <c r="NPK554" s="178"/>
      <c r="NPL554" s="178"/>
      <c r="NPM554" s="178"/>
      <c r="NPN554" s="178"/>
      <c r="NPO554" s="178"/>
      <c r="NPP554" s="178"/>
      <c r="NPQ554" s="178"/>
      <c r="NPR554" s="178"/>
      <c r="NPS554" s="178"/>
      <c r="NPT554" s="178"/>
      <c r="NPU554" s="178"/>
      <c r="NPV554" s="178"/>
      <c r="NPW554" s="178"/>
      <c r="NPX554" s="178"/>
      <c r="NPY554" s="178"/>
      <c r="NPZ554" s="178"/>
      <c r="NQA554" s="178"/>
      <c r="NQB554" s="178"/>
      <c r="NQC554" s="178"/>
      <c r="NQD554" s="178"/>
      <c r="NQE554" s="178"/>
      <c r="NQF554" s="178"/>
      <c r="NQG554" s="178"/>
      <c r="NQH554" s="178"/>
      <c r="NQI554" s="178"/>
      <c r="NQJ554" s="178"/>
      <c r="NQK554" s="178"/>
      <c r="NQL554" s="178"/>
      <c r="NQM554" s="178"/>
      <c r="NQN554" s="178"/>
      <c r="NQO554" s="178"/>
      <c r="NQP554" s="178"/>
      <c r="NQQ554" s="178"/>
      <c r="NQR554" s="178"/>
      <c r="NQS554" s="178"/>
      <c r="NQT554" s="178"/>
      <c r="NQU554" s="178"/>
      <c r="NQV554" s="178"/>
      <c r="NQW554" s="178"/>
      <c r="NQX554" s="178"/>
      <c r="NQY554" s="178"/>
      <c r="NQZ554" s="178"/>
      <c r="NRA554" s="178"/>
      <c r="NRB554" s="178"/>
      <c r="NRC554" s="178"/>
      <c r="NRD554" s="178"/>
      <c r="NRE554" s="178"/>
      <c r="NRF554" s="178"/>
      <c r="NRG554" s="178"/>
      <c r="NRH554" s="178"/>
      <c r="NRI554" s="178"/>
      <c r="NRJ554" s="178"/>
      <c r="NRK554" s="178"/>
      <c r="NRL554" s="178"/>
      <c r="NRM554" s="178"/>
      <c r="NRN554" s="178"/>
      <c r="NRO554" s="178"/>
      <c r="NRP554" s="178"/>
      <c r="NRQ554" s="178"/>
      <c r="NRR554" s="178"/>
      <c r="NRS554" s="178"/>
      <c r="NRT554" s="178"/>
      <c r="NRU554" s="178"/>
      <c r="NRV554" s="178"/>
      <c r="NRW554" s="178"/>
      <c r="NRX554" s="178"/>
      <c r="NRY554" s="178"/>
      <c r="NRZ554" s="178"/>
      <c r="NSA554" s="178"/>
      <c r="NSB554" s="178"/>
      <c r="NSC554" s="178"/>
      <c r="NSD554" s="178"/>
      <c r="NSE554" s="178"/>
      <c r="NSF554" s="178"/>
      <c r="NSG554" s="178"/>
      <c r="NSH554" s="178"/>
      <c r="NSI554" s="178"/>
      <c r="NSJ554" s="178"/>
      <c r="NSK554" s="178"/>
      <c r="NSL554" s="178"/>
      <c r="NSM554" s="178"/>
      <c r="NSN554" s="178"/>
      <c r="NSO554" s="178"/>
      <c r="NSP554" s="178"/>
      <c r="NSQ554" s="178"/>
      <c r="NSR554" s="178"/>
      <c r="NSS554" s="178"/>
      <c r="NST554" s="178"/>
      <c r="NSU554" s="178"/>
      <c r="NSV554" s="178"/>
      <c r="NSW554" s="178"/>
      <c r="NSX554" s="178"/>
      <c r="NSY554" s="178"/>
      <c r="NSZ554" s="178"/>
      <c r="NTA554" s="178"/>
      <c r="NTB554" s="178"/>
      <c r="NTC554" s="178"/>
      <c r="NTD554" s="178"/>
      <c r="NTE554" s="178"/>
      <c r="NTF554" s="178"/>
      <c r="NTG554" s="178"/>
      <c r="NTH554" s="178"/>
      <c r="NTI554" s="178"/>
      <c r="NTJ554" s="178"/>
      <c r="NTK554" s="178"/>
      <c r="NTL554" s="178"/>
      <c r="NTM554" s="178"/>
      <c r="NTN554" s="178"/>
      <c r="NTO554" s="178"/>
      <c r="NTP554" s="178"/>
      <c r="NTQ554" s="178"/>
      <c r="NTR554" s="178"/>
      <c r="NTS554" s="178"/>
      <c r="NTT554" s="178"/>
      <c r="NTU554" s="178"/>
      <c r="NTV554" s="178"/>
      <c r="NTW554" s="178"/>
      <c r="NTX554" s="178"/>
      <c r="NTY554" s="178"/>
      <c r="NTZ554" s="178"/>
      <c r="NUA554" s="178"/>
      <c r="NUB554" s="178"/>
      <c r="NUC554" s="178"/>
      <c r="NUD554" s="178"/>
      <c r="NUE554" s="178"/>
      <c r="NUF554" s="178"/>
      <c r="NUG554" s="178"/>
      <c r="NUH554" s="178"/>
      <c r="NUI554" s="178"/>
      <c r="NUJ554" s="178"/>
      <c r="NUK554" s="178"/>
      <c r="NUL554" s="178"/>
      <c r="NUM554" s="178"/>
      <c r="NUN554" s="178"/>
      <c r="NUO554" s="178"/>
      <c r="NUP554" s="178"/>
      <c r="NUQ554" s="178"/>
      <c r="NUR554" s="178"/>
      <c r="NUS554" s="178"/>
      <c r="NUT554" s="178"/>
      <c r="NUU554" s="178"/>
      <c r="NUV554" s="178"/>
      <c r="NUW554" s="178"/>
      <c r="NUX554" s="178"/>
      <c r="NUY554" s="178"/>
      <c r="NUZ554" s="178"/>
      <c r="NVA554" s="178"/>
      <c r="NVB554" s="178"/>
      <c r="NVC554" s="178"/>
      <c r="NVD554" s="178"/>
      <c r="NVE554" s="178"/>
      <c r="NVF554" s="178"/>
      <c r="NVG554" s="178"/>
      <c r="NVH554" s="178"/>
      <c r="NVI554" s="178"/>
      <c r="NVJ554" s="178"/>
      <c r="NVK554" s="178"/>
      <c r="NVL554" s="178"/>
      <c r="NVM554" s="178"/>
      <c r="NVN554" s="178"/>
      <c r="NVO554" s="178"/>
      <c r="NVP554" s="178"/>
      <c r="NVQ554" s="178"/>
      <c r="NVR554" s="178"/>
      <c r="NVS554" s="178"/>
      <c r="NVT554" s="178"/>
      <c r="NVU554" s="178"/>
      <c r="NVV554" s="178"/>
      <c r="NVW554" s="178"/>
      <c r="NVX554" s="178"/>
      <c r="NVY554" s="178"/>
      <c r="NVZ554" s="178"/>
      <c r="NWA554" s="178"/>
      <c r="NWB554" s="178"/>
      <c r="NWC554" s="178"/>
      <c r="NWD554" s="178"/>
      <c r="NWE554" s="178"/>
      <c r="NWF554" s="178"/>
      <c r="NWG554" s="178"/>
      <c r="NWH554" s="178"/>
      <c r="NWI554" s="178"/>
      <c r="NWJ554" s="178"/>
      <c r="NWK554" s="178"/>
      <c r="NWL554" s="178"/>
      <c r="NWM554" s="178"/>
      <c r="NWN554" s="178"/>
      <c r="NWO554" s="178"/>
      <c r="NWP554" s="178"/>
      <c r="NWQ554" s="178"/>
      <c r="NWR554" s="178"/>
      <c r="NWS554" s="178"/>
      <c r="NWT554" s="178"/>
      <c r="NWU554" s="178"/>
      <c r="NWV554" s="178"/>
      <c r="NWW554" s="178"/>
      <c r="NWX554" s="178"/>
      <c r="NWY554" s="178"/>
      <c r="NWZ554" s="178"/>
      <c r="NXA554" s="178"/>
      <c r="NXB554" s="178"/>
      <c r="NXC554" s="178"/>
      <c r="NXD554" s="178"/>
      <c r="NXE554" s="178"/>
      <c r="NXF554" s="178"/>
      <c r="NXG554" s="178"/>
      <c r="NXH554" s="178"/>
      <c r="NXI554" s="178"/>
      <c r="NXJ554" s="178"/>
      <c r="NXK554" s="178"/>
      <c r="NXL554" s="178"/>
      <c r="NXM554" s="178"/>
      <c r="NXN554" s="178"/>
      <c r="NXO554" s="178"/>
      <c r="NXP554" s="178"/>
      <c r="NXQ554" s="178"/>
      <c r="NXR554" s="178"/>
      <c r="NXS554" s="178"/>
      <c r="NXT554" s="178"/>
      <c r="NXU554" s="178"/>
      <c r="NXV554" s="178"/>
      <c r="NXW554" s="178"/>
      <c r="NXX554" s="178"/>
      <c r="NXY554" s="178"/>
      <c r="NXZ554" s="178"/>
      <c r="NYA554" s="178"/>
      <c r="NYB554" s="178"/>
      <c r="NYC554" s="178"/>
      <c r="NYD554" s="178"/>
      <c r="NYE554" s="178"/>
      <c r="NYF554" s="178"/>
      <c r="NYG554" s="178"/>
      <c r="NYH554" s="178"/>
      <c r="NYI554" s="178"/>
      <c r="NYJ554" s="178"/>
      <c r="NYK554" s="178"/>
      <c r="NYL554" s="178"/>
      <c r="NYM554" s="178"/>
      <c r="NYN554" s="178"/>
      <c r="NYO554" s="178"/>
      <c r="NYP554" s="178"/>
      <c r="NYQ554" s="178"/>
      <c r="NYR554" s="178"/>
      <c r="NYS554" s="178"/>
      <c r="NYT554" s="178"/>
      <c r="NYU554" s="178"/>
      <c r="NYV554" s="178"/>
      <c r="NYW554" s="178"/>
      <c r="NYX554" s="178"/>
      <c r="NYY554" s="178"/>
      <c r="NYZ554" s="178"/>
      <c r="NZA554" s="178"/>
      <c r="NZB554" s="178"/>
      <c r="NZC554" s="178"/>
      <c r="NZD554" s="178"/>
      <c r="NZE554" s="178"/>
      <c r="NZF554" s="178"/>
      <c r="NZG554" s="178"/>
      <c r="NZH554" s="178"/>
      <c r="NZI554" s="178"/>
      <c r="NZJ554" s="178"/>
      <c r="NZK554" s="178"/>
      <c r="NZL554" s="178"/>
      <c r="NZM554" s="178"/>
      <c r="NZN554" s="178"/>
      <c r="NZO554" s="178"/>
      <c r="NZP554" s="178"/>
      <c r="NZQ554" s="178"/>
      <c r="NZR554" s="178"/>
      <c r="NZS554" s="178"/>
      <c r="NZT554" s="178"/>
      <c r="NZU554" s="178"/>
      <c r="NZV554" s="178"/>
      <c r="NZW554" s="178"/>
      <c r="NZX554" s="178"/>
      <c r="NZY554" s="178"/>
      <c r="NZZ554" s="178"/>
      <c r="OAA554" s="178"/>
      <c r="OAB554" s="178"/>
      <c r="OAC554" s="178"/>
      <c r="OAD554" s="178"/>
      <c r="OAE554" s="178"/>
      <c r="OAF554" s="178"/>
      <c r="OAG554" s="178"/>
      <c r="OAH554" s="178"/>
      <c r="OAI554" s="178"/>
      <c r="OAJ554" s="178"/>
      <c r="OAK554" s="178"/>
      <c r="OAL554" s="178"/>
      <c r="OAM554" s="178"/>
      <c r="OAN554" s="178"/>
      <c r="OAO554" s="178"/>
      <c r="OAP554" s="178"/>
      <c r="OAQ554" s="178"/>
      <c r="OAR554" s="178"/>
      <c r="OAS554" s="178"/>
      <c r="OAT554" s="178"/>
      <c r="OAU554" s="178"/>
      <c r="OAV554" s="178"/>
      <c r="OAW554" s="178"/>
      <c r="OAX554" s="178"/>
      <c r="OAY554" s="178"/>
      <c r="OAZ554" s="178"/>
      <c r="OBA554" s="178"/>
      <c r="OBB554" s="178"/>
      <c r="OBC554" s="178"/>
      <c r="OBD554" s="178"/>
      <c r="OBE554" s="178"/>
      <c r="OBF554" s="178"/>
      <c r="OBG554" s="178"/>
      <c r="OBH554" s="178"/>
      <c r="OBI554" s="178"/>
      <c r="OBJ554" s="178"/>
      <c r="OBK554" s="178"/>
      <c r="OBL554" s="178"/>
      <c r="OBM554" s="178"/>
      <c r="OBN554" s="178"/>
      <c r="OBO554" s="178"/>
      <c r="OBP554" s="178"/>
      <c r="OBQ554" s="178"/>
      <c r="OBR554" s="178"/>
      <c r="OBS554" s="178"/>
      <c r="OBT554" s="178"/>
      <c r="OBU554" s="178"/>
      <c r="OBV554" s="178"/>
      <c r="OBW554" s="178"/>
      <c r="OBX554" s="178"/>
      <c r="OBY554" s="178"/>
      <c r="OBZ554" s="178"/>
      <c r="OCA554" s="178"/>
      <c r="OCB554" s="178"/>
      <c r="OCC554" s="178"/>
      <c r="OCD554" s="178"/>
      <c r="OCE554" s="178"/>
      <c r="OCF554" s="178"/>
      <c r="OCG554" s="178"/>
      <c r="OCH554" s="178"/>
      <c r="OCI554" s="178"/>
      <c r="OCJ554" s="178"/>
      <c r="OCK554" s="178"/>
      <c r="OCL554" s="178"/>
      <c r="OCM554" s="178"/>
      <c r="OCN554" s="178"/>
      <c r="OCO554" s="178"/>
      <c r="OCP554" s="178"/>
      <c r="OCQ554" s="178"/>
      <c r="OCR554" s="178"/>
      <c r="OCS554" s="178"/>
      <c r="OCT554" s="178"/>
      <c r="OCU554" s="178"/>
      <c r="OCV554" s="178"/>
      <c r="OCW554" s="178"/>
      <c r="OCX554" s="178"/>
      <c r="OCY554" s="178"/>
      <c r="OCZ554" s="178"/>
      <c r="ODA554" s="178"/>
      <c r="ODB554" s="178"/>
      <c r="ODC554" s="178"/>
      <c r="ODD554" s="178"/>
      <c r="ODE554" s="178"/>
      <c r="ODF554" s="178"/>
      <c r="ODG554" s="178"/>
      <c r="ODH554" s="178"/>
      <c r="ODI554" s="178"/>
      <c r="ODJ554" s="178"/>
      <c r="ODK554" s="178"/>
      <c r="ODL554" s="178"/>
      <c r="ODM554" s="178"/>
      <c r="ODN554" s="178"/>
      <c r="ODO554" s="178"/>
      <c r="ODP554" s="178"/>
      <c r="ODQ554" s="178"/>
      <c r="ODR554" s="178"/>
      <c r="ODS554" s="178"/>
      <c r="ODT554" s="178"/>
      <c r="ODU554" s="178"/>
      <c r="ODV554" s="178"/>
      <c r="ODW554" s="178"/>
      <c r="ODX554" s="178"/>
      <c r="ODY554" s="178"/>
      <c r="ODZ554" s="178"/>
      <c r="OEA554" s="178"/>
      <c r="OEB554" s="178"/>
      <c r="OEC554" s="178"/>
      <c r="OED554" s="178"/>
      <c r="OEE554" s="178"/>
      <c r="OEF554" s="178"/>
      <c r="OEG554" s="178"/>
      <c r="OEH554" s="178"/>
      <c r="OEI554" s="178"/>
      <c r="OEJ554" s="178"/>
      <c r="OEK554" s="178"/>
      <c r="OEL554" s="178"/>
      <c r="OEM554" s="178"/>
      <c r="OEN554" s="178"/>
      <c r="OEO554" s="178"/>
      <c r="OEP554" s="178"/>
      <c r="OEQ554" s="178"/>
      <c r="OER554" s="178"/>
      <c r="OES554" s="178"/>
      <c r="OET554" s="178"/>
      <c r="OEU554" s="178"/>
      <c r="OEV554" s="178"/>
      <c r="OEW554" s="178"/>
      <c r="OEX554" s="178"/>
      <c r="OEY554" s="178"/>
      <c r="OEZ554" s="178"/>
      <c r="OFA554" s="178"/>
      <c r="OFB554" s="178"/>
      <c r="OFC554" s="178"/>
      <c r="OFD554" s="178"/>
      <c r="OFE554" s="178"/>
      <c r="OFF554" s="178"/>
      <c r="OFG554" s="178"/>
      <c r="OFH554" s="178"/>
      <c r="OFI554" s="178"/>
      <c r="OFJ554" s="178"/>
      <c r="OFK554" s="178"/>
      <c r="OFL554" s="178"/>
      <c r="OFM554" s="178"/>
      <c r="OFN554" s="178"/>
      <c r="OFO554" s="178"/>
      <c r="OFP554" s="178"/>
      <c r="OFQ554" s="178"/>
      <c r="OFR554" s="178"/>
      <c r="OFS554" s="178"/>
      <c r="OFT554" s="178"/>
      <c r="OFU554" s="178"/>
      <c r="OFV554" s="178"/>
      <c r="OFW554" s="178"/>
      <c r="OFX554" s="178"/>
      <c r="OFY554" s="178"/>
      <c r="OFZ554" s="178"/>
      <c r="OGA554" s="178"/>
      <c r="OGB554" s="178"/>
      <c r="OGC554" s="178"/>
      <c r="OGD554" s="178"/>
      <c r="OGE554" s="178"/>
      <c r="OGF554" s="178"/>
      <c r="OGG554" s="178"/>
      <c r="OGH554" s="178"/>
      <c r="OGI554" s="178"/>
      <c r="OGJ554" s="178"/>
      <c r="OGK554" s="178"/>
      <c r="OGL554" s="178"/>
      <c r="OGM554" s="178"/>
      <c r="OGN554" s="178"/>
      <c r="OGO554" s="178"/>
      <c r="OGP554" s="178"/>
      <c r="OGQ554" s="178"/>
      <c r="OGR554" s="178"/>
      <c r="OGS554" s="178"/>
      <c r="OGT554" s="178"/>
      <c r="OGU554" s="178"/>
      <c r="OGV554" s="178"/>
      <c r="OGW554" s="178"/>
      <c r="OGX554" s="178"/>
      <c r="OGY554" s="178"/>
      <c r="OGZ554" s="178"/>
      <c r="OHA554" s="178"/>
      <c r="OHB554" s="178"/>
      <c r="OHC554" s="178"/>
      <c r="OHD554" s="178"/>
      <c r="OHE554" s="178"/>
      <c r="OHF554" s="178"/>
      <c r="OHG554" s="178"/>
      <c r="OHH554" s="178"/>
      <c r="OHI554" s="178"/>
      <c r="OHJ554" s="178"/>
      <c r="OHK554" s="178"/>
      <c r="OHL554" s="178"/>
      <c r="OHM554" s="178"/>
      <c r="OHN554" s="178"/>
      <c r="OHO554" s="178"/>
      <c r="OHP554" s="178"/>
      <c r="OHQ554" s="178"/>
      <c r="OHR554" s="178"/>
      <c r="OHS554" s="178"/>
      <c r="OHT554" s="178"/>
      <c r="OHU554" s="178"/>
      <c r="OHV554" s="178"/>
      <c r="OHW554" s="178"/>
      <c r="OHX554" s="178"/>
      <c r="OHY554" s="178"/>
      <c r="OHZ554" s="178"/>
      <c r="OIA554" s="178"/>
      <c r="OIB554" s="178"/>
      <c r="OIC554" s="178"/>
      <c r="OID554" s="178"/>
      <c r="OIE554" s="178"/>
      <c r="OIF554" s="178"/>
      <c r="OIG554" s="178"/>
      <c r="OIH554" s="178"/>
      <c r="OII554" s="178"/>
      <c r="OIJ554" s="178"/>
      <c r="OIK554" s="178"/>
      <c r="OIL554" s="178"/>
      <c r="OIM554" s="178"/>
      <c r="OIN554" s="178"/>
      <c r="OIO554" s="178"/>
      <c r="OIP554" s="178"/>
      <c r="OIQ554" s="178"/>
      <c r="OIR554" s="178"/>
      <c r="OIS554" s="178"/>
      <c r="OIT554" s="178"/>
      <c r="OIU554" s="178"/>
      <c r="OIV554" s="178"/>
      <c r="OIW554" s="178"/>
      <c r="OIX554" s="178"/>
      <c r="OIY554" s="178"/>
      <c r="OIZ554" s="178"/>
      <c r="OJA554" s="178"/>
      <c r="OJB554" s="178"/>
      <c r="OJC554" s="178"/>
      <c r="OJD554" s="178"/>
      <c r="OJE554" s="178"/>
      <c r="OJF554" s="178"/>
      <c r="OJG554" s="178"/>
      <c r="OJH554" s="178"/>
      <c r="OJI554" s="178"/>
      <c r="OJJ554" s="178"/>
      <c r="OJK554" s="178"/>
      <c r="OJL554" s="178"/>
      <c r="OJM554" s="178"/>
      <c r="OJN554" s="178"/>
      <c r="OJO554" s="178"/>
      <c r="OJP554" s="178"/>
      <c r="OJQ554" s="178"/>
      <c r="OJR554" s="178"/>
      <c r="OJS554" s="178"/>
      <c r="OJT554" s="178"/>
      <c r="OJU554" s="178"/>
      <c r="OJV554" s="178"/>
      <c r="OJW554" s="178"/>
      <c r="OJX554" s="178"/>
      <c r="OJY554" s="178"/>
      <c r="OJZ554" s="178"/>
      <c r="OKA554" s="178"/>
      <c r="OKB554" s="178"/>
      <c r="OKC554" s="178"/>
      <c r="OKD554" s="178"/>
      <c r="OKE554" s="178"/>
      <c r="OKF554" s="178"/>
      <c r="OKG554" s="178"/>
      <c r="OKH554" s="178"/>
      <c r="OKI554" s="178"/>
      <c r="OKJ554" s="178"/>
      <c r="OKK554" s="178"/>
      <c r="OKL554" s="178"/>
      <c r="OKM554" s="178"/>
      <c r="OKN554" s="178"/>
      <c r="OKO554" s="178"/>
      <c r="OKP554" s="178"/>
      <c r="OKQ554" s="178"/>
      <c r="OKR554" s="178"/>
      <c r="OKS554" s="178"/>
      <c r="OKT554" s="178"/>
      <c r="OKU554" s="178"/>
      <c r="OKV554" s="178"/>
      <c r="OKW554" s="178"/>
      <c r="OKX554" s="178"/>
      <c r="OKY554" s="178"/>
      <c r="OKZ554" s="178"/>
      <c r="OLA554" s="178"/>
      <c r="OLB554" s="178"/>
      <c r="OLC554" s="178"/>
      <c r="OLD554" s="178"/>
      <c r="OLE554" s="178"/>
      <c r="OLF554" s="178"/>
      <c r="OLG554" s="178"/>
      <c r="OLH554" s="178"/>
      <c r="OLI554" s="178"/>
      <c r="OLJ554" s="178"/>
      <c r="OLK554" s="178"/>
      <c r="OLL554" s="178"/>
      <c r="OLM554" s="178"/>
      <c r="OLN554" s="178"/>
      <c r="OLO554" s="178"/>
      <c r="OLP554" s="178"/>
      <c r="OLQ554" s="178"/>
      <c r="OLR554" s="178"/>
      <c r="OLS554" s="178"/>
      <c r="OLT554" s="178"/>
      <c r="OLU554" s="178"/>
      <c r="OLV554" s="178"/>
      <c r="OLW554" s="178"/>
      <c r="OLX554" s="178"/>
      <c r="OLY554" s="178"/>
      <c r="OLZ554" s="178"/>
      <c r="OMA554" s="178"/>
      <c r="OMB554" s="178"/>
      <c r="OMC554" s="178"/>
      <c r="OMD554" s="178"/>
      <c r="OME554" s="178"/>
      <c r="OMF554" s="178"/>
      <c r="OMG554" s="178"/>
      <c r="OMH554" s="178"/>
      <c r="OMI554" s="178"/>
      <c r="OMJ554" s="178"/>
      <c r="OMK554" s="178"/>
      <c r="OML554" s="178"/>
      <c r="OMM554" s="178"/>
      <c r="OMN554" s="178"/>
      <c r="OMO554" s="178"/>
      <c r="OMP554" s="178"/>
      <c r="OMQ554" s="178"/>
      <c r="OMR554" s="178"/>
      <c r="OMS554" s="178"/>
      <c r="OMT554" s="178"/>
      <c r="OMU554" s="178"/>
      <c r="OMV554" s="178"/>
      <c r="OMW554" s="178"/>
      <c r="OMX554" s="178"/>
      <c r="OMY554" s="178"/>
      <c r="OMZ554" s="178"/>
      <c r="ONA554" s="178"/>
      <c r="ONB554" s="178"/>
      <c r="ONC554" s="178"/>
      <c r="OND554" s="178"/>
      <c r="ONE554" s="178"/>
      <c r="ONF554" s="178"/>
      <c r="ONG554" s="178"/>
      <c r="ONH554" s="178"/>
      <c r="ONI554" s="178"/>
      <c r="ONJ554" s="178"/>
      <c r="ONK554" s="178"/>
      <c r="ONL554" s="178"/>
      <c r="ONM554" s="178"/>
      <c r="ONN554" s="178"/>
      <c r="ONO554" s="178"/>
      <c r="ONP554" s="178"/>
      <c r="ONQ554" s="178"/>
      <c r="ONR554" s="178"/>
      <c r="ONS554" s="178"/>
      <c r="ONT554" s="178"/>
      <c r="ONU554" s="178"/>
      <c r="ONV554" s="178"/>
      <c r="ONW554" s="178"/>
      <c r="ONX554" s="178"/>
      <c r="ONY554" s="178"/>
      <c r="ONZ554" s="178"/>
      <c r="OOA554" s="178"/>
      <c r="OOB554" s="178"/>
      <c r="OOC554" s="178"/>
      <c r="OOD554" s="178"/>
      <c r="OOE554" s="178"/>
      <c r="OOF554" s="178"/>
      <c r="OOG554" s="178"/>
      <c r="OOH554" s="178"/>
      <c r="OOI554" s="178"/>
      <c r="OOJ554" s="178"/>
      <c r="OOK554" s="178"/>
      <c r="OOL554" s="178"/>
      <c r="OOM554" s="178"/>
      <c r="OON554" s="178"/>
      <c r="OOO554" s="178"/>
      <c r="OOP554" s="178"/>
      <c r="OOQ554" s="178"/>
      <c r="OOR554" s="178"/>
      <c r="OOS554" s="178"/>
      <c r="OOT554" s="178"/>
      <c r="OOU554" s="178"/>
      <c r="OOV554" s="178"/>
      <c r="OOW554" s="178"/>
      <c r="OOX554" s="178"/>
      <c r="OOY554" s="178"/>
      <c r="OOZ554" s="178"/>
      <c r="OPA554" s="178"/>
      <c r="OPB554" s="178"/>
      <c r="OPC554" s="178"/>
      <c r="OPD554" s="178"/>
      <c r="OPE554" s="178"/>
      <c r="OPF554" s="178"/>
      <c r="OPG554" s="178"/>
      <c r="OPH554" s="178"/>
      <c r="OPI554" s="178"/>
      <c r="OPJ554" s="178"/>
      <c r="OPK554" s="178"/>
      <c r="OPL554" s="178"/>
      <c r="OPM554" s="178"/>
      <c r="OPN554" s="178"/>
      <c r="OPO554" s="178"/>
      <c r="OPP554" s="178"/>
      <c r="OPQ554" s="178"/>
      <c r="OPR554" s="178"/>
      <c r="OPS554" s="178"/>
      <c r="OPT554" s="178"/>
      <c r="OPU554" s="178"/>
      <c r="OPV554" s="178"/>
      <c r="OPW554" s="178"/>
      <c r="OPX554" s="178"/>
      <c r="OPY554" s="178"/>
      <c r="OPZ554" s="178"/>
      <c r="OQA554" s="178"/>
      <c r="OQB554" s="178"/>
      <c r="OQC554" s="178"/>
      <c r="OQD554" s="178"/>
      <c r="OQE554" s="178"/>
      <c r="OQF554" s="178"/>
      <c r="OQG554" s="178"/>
      <c r="OQH554" s="178"/>
      <c r="OQI554" s="178"/>
      <c r="OQJ554" s="178"/>
      <c r="OQK554" s="178"/>
      <c r="OQL554" s="178"/>
      <c r="OQM554" s="178"/>
      <c r="OQN554" s="178"/>
      <c r="OQO554" s="178"/>
      <c r="OQP554" s="178"/>
      <c r="OQQ554" s="178"/>
      <c r="OQR554" s="178"/>
      <c r="OQS554" s="178"/>
      <c r="OQT554" s="178"/>
      <c r="OQU554" s="178"/>
      <c r="OQV554" s="178"/>
      <c r="OQW554" s="178"/>
      <c r="OQX554" s="178"/>
      <c r="OQY554" s="178"/>
      <c r="OQZ554" s="178"/>
      <c r="ORA554" s="178"/>
      <c r="ORB554" s="178"/>
      <c r="ORC554" s="178"/>
      <c r="ORD554" s="178"/>
      <c r="ORE554" s="178"/>
      <c r="ORF554" s="178"/>
      <c r="ORG554" s="178"/>
      <c r="ORH554" s="178"/>
      <c r="ORI554" s="178"/>
      <c r="ORJ554" s="178"/>
      <c r="ORK554" s="178"/>
      <c r="ORL554" s="178"/>
      <c r="ORM554" s="178"/>
      <c r="ORN554" s="178"/>
      <c r="ORO554" s="178"/>
      <c r="ORP554" s="178"/>
      <c r="ORQ554" s="178"/>
      <c r="ORR554" s="178"/>
      <c r="ORS554" s="178"/>
      <c r="ORT554" s="178"/>
      <c r="ORU554" s="178"/>
      <c r="ORV554" s="178"/>
      <c r="ORW554" s="178"/>
      <c r="ORX554" s="178"/>
      <c r="ORY554" s="178"/>
      <c r="ORZ554" s="178"/>
      <c r="OSA554" s="178"/>
      <c r="OSB554" s="178"/>
      <c r="OSC554" s="178"/>
      <c r="OSD554" s="178"/>
      <c r="OSE554" s="178"/>
      <c r="OSF554" s="178"/>
      <c r="OSG554" s="178"/>
      <c r="OSH554" s="178"/>
      <c r="OSI554" s="178"/>
      <c r="OSJ554" s="178"/>
      <c r="OSK554" s="178"/>
      <c r="OSL554" s="178"/>
      <c r="OSM554" s="178"/>
      <c r="OSN554" s="178"/>
      <c r="OSO554" s="178"/>
      <c r="OSP554" s="178"/>
      <c r="OSQ554" s="178"/>
      <c r="OSR554" s="178"/>
      <c r="OSS554" s="178"/>
      <c r="OST554" s="178"/>
      <c r="OSU554" s="178"/>
      <c r="OSV554" s="178"/>
      <c r="OSW554" s="178"/>
      <c r="OSX554" s="178"/>
      <c r="OSY554" s="178"/>
      <c r="OSZ554" s="178"/>
      <c r="OTA554" s="178"/>
      <c r="OTB554" s="178"/>
      <c r="OTC554" s="178"/>
      <c r="OTD554" s="178"/>
      <c r="OTE554" s="178"/>
      <c r="OTF554" s="178"/>
      <c r="OTG554" s="178"/>
      <c r="OTH554" s="178"/>
      <c r="OTI554" s="178"/>
      <c r="OTJ554" s="178"/>
      <c r="OTK554" s="178"/>
      <c r="OTL554" s="178"/>
      <c r="OTM554" s="178"/>
      <c r="OTN554" s="178"/>
      <c r="OTO554" s="178"/>
      <c r="OTP554" s="178"/>
      <c r="OTQ554" s="178"/>
      <c r="OTR554" s="178"/>
      <c r="OTS554" s="178"/>
      <c r="OTT554" s="178"/>
      <c r="OTU554" s="178"/>
      <c r="OTV554" s="178"/>
      <c r="OTW554" s="178"/>
      <c r="OTX554" s="178"/>
      <c r="OTY554" s="178"/>
      <c r="OTZ554" s="178"/>
      <c r="OUA554" s="178"/>
      <c r="OUB554" s="178"/>
      <c r="OUC554" s="178"/>
      <c r="OUD554" s="178"/>
      <c r="OUE554" s="178"/>
      <c r="OUF554" s="178"/>
      <c r="OUG554" s="178"/>
      <c r="OUH554" s="178"/>
      <c r="OUI554" s="178"/>
      <c r="OUJ554" s="178"/>
      <c r="OUK554" s="178"/>
      <c r="OUL554" s="178"/>
      <c r="OUM554" s="178"/>
      <c r="OUN554" s="178"/>
      <c r="OUO554" s="178"/>
      <c r="OUP554" s="178"/>
      <c r="OUQ554" s="178"/>
      <c r="OUR554" s="178"/>
      <c r="OUS554" s="178"/>
      <c r="OUT554" s="178"/>
      <c r="OUU554" s="178"/>
      <c r="OUV554" s="178"/>
      <c r="OUW554" s="178"/>
      <c r="OUX554" s="178"/>
      <c r="OUY554" s="178"/>
      <c r="OUZ554" s="178"/>
      <c r="OVA554" s="178"/>
      <c r="OVB554" s="178"/>
      <c r="OVC554" s="178"/>
      <c r="OVD554" s="178"/>
      <c r="OVE554" s="178"/>
      <c r="OVF554" s="178"/>
      <c r="OVG554" s="178"/>
      <c r="OVH554" s="178"/>
      <c r="OVI554" s="178"/>
      <c r="OVJ554" s="178"/>
      <c r="OVK554" s="178"/>
      <c r="OVL554" s="178"/>
      <c r="OVM554" s="178"/>
      <c r="OVN554" s="178"/>
      <c r="OVO554" s="178"/>
      <c r="OVP554" s="178"/>
      <c r="OVQ554" s="178"/>
      <c r="OVR554" s="178"/>
      <c r="OVS554" s="178"/>
      <c r="OVT554" s="178"/>
      <c r="OVU554" s="178"/>
      <c r="OVV554" s="178"/>
      <c r="OVW554" s="178"/>
      <c r="OVX554" s="178"/>
      <c r="OVY554" s="178"/>
      <c r="OVZ554" s="178"/>
      <c r="OWA554" s="178"/>
      <c r="OWB554" s="178"/>
      <c r="OWC554" s="178"/>
      <c r="OWD554" s="178"/>
      <c r="OWE554" s="178"/>
      <c r="OWF554" s="178"/>
      <c r="OWG554" s="178"/>
      <c r="OWH554" s="178"/>
      <c r="OWI554" s="178"/>
      <c r="OWJ554" s="178"/>
      <c r="OWK554" s="178"/>
      <c r="OWL554" s="178"/>
      <c r="OWM554" s="178"/>
      <c r="OWN554" s="178"/>
      <c r="OWO554" s="178"/>
      <c r="OWP554" s="178"/>
      <c r="OWQ554" s="178"/>
      <c r="OWR554" s="178"/>
      <c r="OWS554" s="178"/>
      <c r="OWT554" s="178"/>
      <c r="OWU554" s="178"/>
      <c r="OWV554" s="178"/>
      <c r="OWW554" s="178"/>
      <c r="OWX554" s="178"/>
      <c r="OWY554" s="178"/>
      <c r="OWZ554" s="178"/>
      <c r="OXA554" s="178"/>
      <c r="OXB554" s="178"/>
      <c r="OXC554" s="178"/>
      <c r="OXD554" s="178"/>
      <c r="OXE554" s="178"/>
      <c r="OXF554" s="178"/>
      <c r="OXG554" s="178"/>
      <c r="OXH554" s="178"/>
      <c r="OXI554" s="178"/>
      <c r="OXJ554" s="178"/>
      <c r="OXK554" s="178"/>
      <c r="OXL554" s="178"/>
      <c r="OXM554" s="178"/>
      <c r="OXN554" s="178"/>
      <c r="OXO554" s="178"/>
      <c r="OXP554" s="178"/>
      <c r="OXQ554" s="178"/>
      <c r="OXR554" s="178"/>
      <c r="OXS554" s="178"/>
      <c r="OXT554" s="178"/>
      <c r="OXU554" s="178"/>
      <c r="OXV554" s="178"/>
      <c r="OXW554" s="178"/>
      <c r="OXX554" s="178"/>
      <c r="OXY554" s="178"/>
      <c r="OXZ554" s="178"/>
      <c r="OYA554" s="178"/>
      <c r="OYB554" s="178"/>
      <c r="OYC554" s="178"/>
      <c r="OYD554" s="178"/>
      <c r="OYE554" s="178"/>
      <c r="OYF554" s="178"/>
      <c r="OYG554" s="178"/>
      <c r="OYH554" s="178"/>
      <c r="OYI554" s="178"/>
      <c r="OYJ554" s="178"/>
      <c r="OYK554" s="178"/>
      <c r="OYL554" s="178"/>
      <c r="OYM554" s="178"/>
      <c r="OYN554" s="178"/>
      <c r="OYO554" s="178"/>
      <c r="OYP554" s="178"/>
      <c r="OYQ554" s="178"/>
      <c r="OYR554" s="178"/>
      <c r="OYS554" s="178"/>
      <c r="OYT554" s="178"/>
      <c r="OYU554" s="178"/>
      <c r="OYV554" s="178"/>
      <c r="OYW554" s="178"/>
      <c r="OYX554" s="178"/>
      <c r="OYY554" s="178"/>
      <c r="OYZ554" s="178"/>
      <c r="OZA554" s="178"/>
      <c r="OZB554" s="178"/>
      <c r="OZC554" s="178"/>
      <c r="OZD554" s="178"/>
      <c r="OZE554" s="178"/>
      <c r="OZF554" s="178"/>
      <c r="OZG554" s="178"/>
      <c r="OZH554" s="178"/>
      <c r="OZI554" s="178"/>
      <c r="OZJ554" s="178"/>
      <c r="OZK554" s="178"/>
      <c r="OZL554" s="178"/>
      <c r="OZM554" s="178"/>
      <c r="OZN554" s="178"/>
      <c r="OZO554" s="178"/>
      <c r="OZP554" s="178"/>
      <c r="OZQ554" s="178"/>
      <c r="OZR554" s="178"/>
      <c r="OZS554" s="178"/>
      <c r="OZT554" s="178"/>
      <c r="OZU554" s="178"/>
      <c r="OZV554" s="178"/>
      <c r="OZW554" s="178"/>
      <c r="OZX554" s="178"/>
      <c r="OZY554" s="178"/>
      <c r="OZZ554" s="178"/>
      <c r="PAA554" s="178"/>
      <c r="PAB554" s="178"/>
      <c r="PAC554" s="178"/>
      <c r="PAD554" s="178"/>
      <c r="PAE554" s="178"/>
      <c r="PAF554" s="178"/>
      <c r="PAG554" s="178"/>
      <c r="PAH554" s="178"/>
      <c r="PAI554" s="178"/>
      <c r="PAJ554" s="178"/>
      <c r="PAK554" s="178"/>
      <c r="PAL554" s="178"/>
      <c r="PAM554" s="178"/>
      <c r="PAN554" s="178"/>
      <c r="PAO554" s="178"/>
      <c r="PAP554" s="178"/>
      <c r="PAQ554" s="178"/>
      <c r="PAR554" s="178"/>
      <c r="PAS554" s="178"/>
      <c r="PAT554" s="178"/>
      <c r="PAU554" s="178"/>
      <c r="PAV554" s="178"/>
      <c r="PAW554" s="178"/>
      <c r="PAX554" s="178"/>
      <c r="PAY554" s="178"/>
      <c r="PAZ554" s="178"/>
      <c r="PBA554" s="178"/>
      <c r="PBB554" s="178"/>
      <c r="PBC554" s="178"/>
      <c r="PBD554" s="178"/>
      <c r="PBE554" s="178"/>
      <c r="PBF554" s="178"/>
      <c r="PBG554" s="178"/>
      <c r="PBH554" s="178"/>
      <c r="PBI554" s="178"/>
      <c r="PBJ554" s="178"/>
      <c r="PBK554" s="178"/>
      <c r="PBL554" s="178"/>
      <c r="PBM554" s="178"/>
      <c r="PBN554" s="178"/>
      <c r="PBO554" s="178"/>
      <c r="PBP554" s="178"/>
      <c r="PBQ554" s="178"/>
      <c r="PBR554" s="178"/>
      <c r="PBS554" s="178"/>
      <c r="PBT554" s="178"/>
      <c r="PBU554" s="178"/>
      <c r="PBV554" s="178"/>
      <c r="PBW554" s="178"/>
      <c r="PBX554" s="178"/>
      <c r="PBY554" s="178"/>
      <c r="PBZ554" s="178"/>
      <c r="PCA554" s="178"/>
      <c r="PCB554" s="178"/>
      <c r="PCC554" s="178"/>
      <c r="PCD554" s="178"/>
      <c r="PCE554" s="178"/>
      <c r="PCF554" s="178"/>
      <c r="PCG554" s="178"/>
      <c r="PCH554" s="178"/>
      <c r="PCI554" s="178"/>
      <c r="PCJ554" s="178"/>
      <c r="PCK554" s="178"/>
      <c r="PCL554" s="178"/>
      <c r="PCM554" s="178"/>
      <c r="PCN554" s="178"/>
      <c r="PCO554" s="178"/>
      <c r="PCP554" s="178"/>
      <c r="PCQ554" s="178"/>
      <c r="PCR554" s="178"/>
      <c r="PCS554" s="178"/>
      <c r="PCT554" s="178"/>
      <c r="PCU554" s="178"/>
      <c r="PCV554" s="178"/>
      <c r="PCW554" s="178"/>
      <c r="PCX554" s="178"/>
      <c r="PCY554" s="178"/>
      <c r="PCZ554" s="178"/>
      <c r="PDA554" s="178"/>
      <c r="PDB554" s="178"/>
      <c r="PDC554" s="178"/>
      <c r="PDD554" s="178"/>
      <c r="PDE554" s="178"/>
      <c r="PDF554" s="178"/>
      <c r="PDG554" s="178"/>
      <c r="PDH554" s="178"/>
      <c r="PDI554" s="178"/>
      <c r="PDJ554" s="178"/>
      <c r="PDK554" s="178"/>
      <c r="PDL554" s="178"/>
      <c r="PDM554" s="178"/>
      <c r="PDN554" s="178"/>
      <c r="PDO554" s="178"/>
      <c r="PDP554" s="178"/>
      <c r="PDQ554" s="178"/>
      <c r="PDR554" s="178"/>
      <c r="PDS554" s="178"/>
      <c r="PDT554" s="178"/>
      <c r="PDU554" s="178"/>
      <c r="PDV554" s="178"/>
      <c r="PDW554" s="178"/>
      <c r="PDX554" s="178"/>
      <c r="PDY554" s="178"/>
      <c r="PDZ554" s="178"/>
      <c r="PEA554" s="178"/>
      <c r="PEB554" s="178"/>
      <c r="PEC554" s="178"/>
      <c r="PED554" s="178"/>
      <c r="PEE554" s="178"/>
      <c r="PEF554" s="178"/>
      <c r="PEG554" s="178"/>
      <c r="PEH554" s="178"/>
      <c r="PEI554" s="178"/>
      <c r="PEJ554" s="178"/>
      <c r="PEK554" s="178"/>
      <c r="PEL554" s="178"/>
      <c r="PEM554" s="178"/>
      <c r="PEN554" s="178"/>
      <c r="PEO554" s="178"/>
      <c r="PEP554" s="178"/>
      <c r="PEQ554" s="178"/>
      <c r="PER554" s="178"/>
      <c r="PES554" s="178"/>
      <c r="PET554" s="178"/>
      <c r="PEU554" s="178"/>
      <c r="PEV554" s="178"/>
      <c r="PEW554" s="178"/>
      <c r="PEX554" s="178"/>
      <c r="PEY554" s="178"/>
      <c r="PEZ554" s="178"/>
      <c r="PFA554" s="178"/>
      <c r="PFB554" s="178"/>
      <c r="PFC554" s="178"/>
      <c r="PFD554" s="178"/>
      <c r="PFE554" s="178"/>
      <c r="PFF554" s="178"/>
      <c r="PFG554" s="178"/>
      <c r="PFH554" s="178"/>
      <c r="PFI554" s="178"/>
      <c r="PFJ554" s="178"/>
      <c r="PFK554" s="178"/>
      <c r="PFL554" s="178"/>
      <c r="PFM554" s="178"/>
      <c r="PFN554" s="178"/>
      <c r="PFO554" s="178"/>
      <c r="PFP554" s="178"/>
      <c r="PFQ554" s="178"/>
      <c r="PFR554" s="178"/>
      <c r="PFS554" s="178"/>
      <c r="PFT554" s="178"/>
      <c r="PFU554" s="178"/>
      <c r="PFV554" s="178"/>
      <c r="PFW554" s="178"/>
      <c r="PFX554" s="178"/>
      <c r="PFY554" s="178"/>
      <c r="PFZ554" s="178"/>
      <c r="PGA554" s="178"/>
      <c r="PGB554" s="178"/>
      <c r="PGC554" s="178"/>
      <c r="PGD554" s="178"/>
      <c r="PGE554" s="178"/>
      <c r="PGF554" s="178"/>
      <c r="PGG554" s="178"/>
      <c r="PGH554" s="178"/>
      <c r="PGI554" s="178"/>
      <c r="PGJ554" s="178"/>
      <c r="PGK554" s="178"/>
      <c r="PGL554" s="178"/>
      <c r="PGM554" s="178"/>
      <c r="PGN554" s="178"/>
      <c r="PGO554" s="178"/>
      <c r="PGP554" s="178"/>
      <c r="PGQ554" s="178"/>
      <c r="PGR554" s="178"/>
      <c r="PGS554" s="178"/>
      <c r="PGT554" s="178"/>
      <c r="PGU554" s="178"/>
      <c r="PGV554" s="178"/>
      <c r="PGW554" s="178"/>
      <c r="PGX554" s="178"/>
      <c r="PGY554" s="178"/>
      <c r="PGZ554" s="178"/>
      <c r="PHA554" s="178"/>
      <c r="PHB554" s="178"/>
      <c r="PHC554" s="178"/>
      <c r="PHD554" s="178"/>
      <c r="PHE554" s="178"/>
      <c r="PHF554" s="178"/>
      <c r="PHG554" s="178"/>
      <c r="PHH554" s="178"/>
      <c r="PHI554" s="178"/>
      <c r="PHJ554" s="178"/>
      <c r="PHK554" s="178"/>
      <c r="PHL554" s="178"/>
      <c r="PHM554" s="178"/>
      <c r="PHN554" s="178"/>
      <c r="PHO554" s="178"/>
      <c r="PHP554" s="178"/>
      <c r="PHQ554" s="178"/>
      <c r="PHR554" s="178"/>
      <c r="PHS554" s="178"/>
      <c r="PHT554" s="178"/>
      <c r="PHU554" s="178"/>
      <c r="PHV554" s="178"/>
      <c r="PHW554" s="178"/>
      <c r="PHX554" s="178"/>
      <c r="PHY554" s="178"/>
      <c r="PHZ554" s="178"/>
      <c r="PIA554" s="178"/>
      <c r="PIB554" s="178"/>
      <c r="PIC554" s="178"/>
      <c r="PID554" s="178"/>
      <c r="PIE554" s="178"/>
      <c r="PIF554" s="178"/>
      <c r="PIG554" s="178"/>
      <c r="PIH554" s="178"/>
      <c r="PII554" s="178"/>
      <c r="PIJ554" s="178"/>
      <c r="PIK554" s="178"/>
      <c r="PIL554" s="178"/>
      <c r="PIM554" s="178"/>
      <c r="PIN554" s="178"/>
      <c r="PIO554" s="178"/>
      <c r="PIP554" s="178"/>
      <c r="PIQ554" s="178"/>
      <c r="PIR554" s="178"/>
      <c r="PIS554" s="178"/>
      <c r="PIT554" s="178"/>
      <c r="PIU554" s="178"/>
      <c r="PIV554" s="178"/>
      <c r="PIW554" s="178"/>
      <c r="PIX554" s="178"/>
      <c r="PIY554" s="178"/>
      <c r="PIZ554" s="178"/>
      <c r="PJA554" s="178"/>
      <c r="PJB554" s="178"/>
      <c r="PJC554" s="178"/>
      <c r="PJD554" s="178"/>
      <c r="PJE554" s="178"/>
      <c r="PJF554" s="178"/>
      <c r="PJG554" s="178"/>
      <c r="PJH554" s="178"/>
      <c r="PJI554" s="178"/>
      <c r="PJJ554" s="178"/>
      <c r="PJK554" s="178"/>
      <c r="PJL554" s="178"/>
      <c r="PJM554" s="178"/>
      <c r="PJN554" s="178"/>
      <c r="PJO554" s="178"/>
      <c r="PJP554" s="178"/>
      <c r="PJQ554" s="178"/>
      <c r="PJR554" s="178"/>
      <c r="PJS554" s="178"/>
      <c r="PJT554" s="178"/>
      <c r="PJU554" s="178"/>
      <c r="PJV554" s="178"/>
      <c r="PJW554" s="178"/>
      <c r="PJX554" s="178"/>
      <c r="PJY554" s="178"/>
      <c r="PJZ554" s="178"/>
      <c r="PKA554" s="178"/>
      <c r="PKB554" s="178"/>
      <c r="PKC554" s="178"/>
      <c r="PKD554" s="178"/>
      <c r="PKE554" s="178"/>
      <c r="PKF554" s="178"/>
      <c r="PKG554" s="178"/>
      <c r="PKH554" s="178"/>
      <c r="PKI554" s="178"/>
      <c r="PKJ554" s="178"/>
      <c r="PKK554" s="178"/>
      <c r="PKL554" s="178"/>
      <c r="PKM554" s="178"/>
      <c r="PKN554" s="178"/>
      <c r="PKO554" s="178"/>
      <c r="PKP554" s="178"/>
      <c r="PKQ554" s="178"/>
      <c r="PKR554" s="178"/>
      <c r="PKS554" s="178"/>
      <c r="PKT554" s="178"/>
      <c r="PKU554" s="178"/>
      <c r="PKV554" s="178"/>
      <c r="PKW554" s="178"/>
      <c r="PKX554" s="178"/>
      <c r="PKY554" s="178"/>
      <c r="PKZ554" s="178"/>
      <c r="PLA554" s="178"/>
      <c r="PLB554" s="178"/>
      <c r="PLC554" s="178"/>
      <c r="PLD554" s="178"/>
      <c r="PLE554" s="178"/>
      <c r="PLF554" s="178"/>
      <c r="PLG554" s="178"/>
      <c r="PLH554" s="178"/>
      <c r="PLI554" s="178"/>
      <c r="PLJ554" s="178"/>
      <c r="PLK554" s="178"/>
      <c r="PLL554" s="178"/>
      <c r="PLM554" s="178"/>
      <c r="PLN554" s="178"/>
      <c r="PLO554" s="178"/>
      <c r="PLP554" s="178"/>
      <c r="PLQ554" s="178"/>
      <c r="PLR554" s="178"/>
      <c r="PLS554" s="178"/>
      <c r="PLT554" s="178"/>
      <c r="PLU554" s="178"/>
      <c r="PLV554" s="178"/>
      <c r="PLW554" s="178"/>
      <c r="PLX554" s="178"/>
      <c r="PLY554" s="178"/>
      <c r="PLZ554" s="178"/>
      <c r="PMA554" s="178"/>
      <c r="PMB554" s="178"/>
      <c r="PMC554" s="178"/>
      <c r="PMD554" s="178"/>
      <c r="PME554" s="178"/>
      <c r="PMF554" s="178"/>
      <c r="PMG554" s="178"/>
      <c r="PMH554" s="178"/>
      <c r="PMI554" s="178"/>
      <c r="PMJ554" s="178"/>
      <c r="PMK554" s="178"/>
      <c r="PML554" s="178"/>
      <c r="PMM554" s="178"/>
      <c r="PMN554" s="178"/>
      <c r="PMO554" s="178"/>
      <c r="PMP554" s="178"/>
      <c r="PMQ554" s="178"/>
      <c r="PMR554" s="178"/>
      <c r="PMS554" s="178"/>
      <c r="PMT554" s="178"/>
      <c r="PMU554" s="178"/>
      <c r="PMV554" s="178"/>
      <c r="PMW554" s="178"/>
      <c r="PMX554" s="178"/>
      <c r="PMY554" s="178"/>
      <c r="PMZ554" s="178"/>
      <c r="PNA554" s="178"/>
      <c r="PNB554" s="178"/>
      <c r="PNC554" s="178"/>
      <c r="PND554" s="178"/>
      <c r="PNE554" s="178"/>
      <c r="PNF554" s="178"/>
      <c r="PNG554" s="178"/>
      <c r="PNH554" s="178"/>
      <c r="PNI554" s="178"/>
      <c r="PNJ554" s="178"/>
      <c r="PNK554" s="178"/>
      <c r="PNL554" s="178"/>
      <c r="PNM554" s="178"/>
      <c r="PNN554" s="178"/>
      <c r="PNO554" s="178"/>
      <c r="PNP554" s="178"/>
      <c r="PNQ554" s="178"/>
      <c r="PNR554" s="178"/>
      <c r="PNS554" s="178"/>
      <c r="PNT554" s="178"/>
      <c r="PNU554" s="178"/>
      <c r="PNV554" s="178"/>
      <c r="PNW554" s="178"/>
      <c r="PNX554" s="178"/>
      <c r="PNY554" s="178"/>
      <c r="PNZ554" s="178"/>
      <c r="POA554" s="178"/>
      <c r="POB554" s="178"/>
      <c r="POC554" s="178"/>
      <c r="POD554" s="178"/>
      <c r="POE554" s="178"/>
      <c r="POF554" s="178"/>
      <c r="POG554" s="178"/>
      <c r="POH554" s="178"/>
      <c r="POI554" s="178"/>
      <c r="POJ554" s="178"/>
      <c r="POK554" s="178"/>
      <c r="POL554" s="178"/>
      <c r="POM554" s="178"/>
      <c r="PON554" s="178"/>
      <c r="POO554" s="178"/>
      <c r="POP554" s="178"/>
      <c r="POQ554" s="178"/>
      <c r="POR554" s="178"/>
      <c r="POS554" s="178"/>
      <c r="POT554" s="178"/>
      <c r="POU554" s="178"/>
      <c r="POV554" s="178"/>
      <c r="POW554" s="178"/>
      <c r="POX554" s="178"/>
      <c r="POY554" s="178"/>
      <c r="POZ554" s="178"/>
      <c r="PPA554" s="178"/>
      <c r="PPB554" s="178"/>
      <c r="PPC554" s="178"/>
      <c r="PPD554" s="178"/>
      <c r="PPE554" s="178"/>
      <c r="PPF554" s="178"/>
      <c r="PPG554" s="178"/>
      <c r="PPH554" s="178"/>
      <c r="PPI554" s="178"/>
      <c r="PPJ554" s="178"/>
      <c r="PPK554" s="178"/>
      <c r="PPL554" s="178"/>
      <c r="PPM554" s="178"/>
      <c r="PPN554" s="178"/>
      <c r="PPO554" s="178"/>
      <c r="PPP554" s="178"/>
      <c r="PPQ554" s="178"/>
      <c r="PPR554" s="178"/>
      <c r="PPS554" s="178"/>
      <c r="PPT554" s="178"/>
      <c r="PPU554" s="178"/>
      <c r="PPV554" s="178"/>
      <c r="PPW554" s="178"/>
      <c r="PPX554" s="178"/>
      <c r="PPY554" s="178"/>
      <c r="PPZ554" s="178"/>
      <c r="PQA554" s="178"/>
      <c r="PQB554" s="178"/>
      <c r="PQC554" s="178"/>
      <c r="PQD554" s="178"/>
      <c r="PQE554" s="178"/>
      <c r="PQF554" s="178"/>
      <c r="PQG554" s="178"/>
      <c r="PQH554" s="178"/>
      <c r="PQI554" s="178"/>
      <c r="PQJ554" s="178"/>
      <c r="PQK554" s="178"/>
      <c r="PQL554" s="178"/>
      <c r="PQM554" s="178"/>
      <c r="PQN554" s="178"/>
      <c r="PQO554" s="178"/>
      <c r="PQP554" s="178"/>
      <c r="PQQ554" s="178"/>
      <c r="PQR554" s="178"/>
      <c r="PQS554" s="178"/>
      <c r="PQT554" s="178"/>
      <c r="PQU554" s="178"/>
      <c r="PQV554" s="178"/>
      <c r="PQW554" s="178"/>
      <c r="PQX554" s="178"/>
      <c r="PQY554" s="178"/>
      <c r="PQZ554" s="178"/>
      <c r="PRA554" s="178"/>
      <c r="PRB554" s="178"/>
      <c r="PRC554" s="178"/>
      <c r="PRD554" s="178"/>
      <c r="PRE554" s="178"/>
      <c r="PRF554" s="178"/>
      <c r="PRG554" s="178"/>
      <c r="PRH554" s="178"/>
      <c r="PRI554" s="178"/>
      <c r="PRJ554" s="178"/>
      <c r="PRK554" s="178"/>
      <c r="PRL554" s="178"/>
      <c r="PRM554" s="178"/>
      <c r="PRN554" s="178"/>
      <c r="PRO554" s="178"/>
      <c r="PRP554" s="178"/>
      <c r="PRQ554" s="178"/>
      <c r="PRR554" s="178"/>
      <c r="PRS554" s="178"/>
      <c r="PRT554" s="178"/>
      <c r="PRU554" s="178"/>
      <c r="PRV554" s="178"/>
      <c r="PRW554" s="178"/>
      <c r="PRX554" s="178"/>
      <c r="PRY554" s="178"/>
      <c r="PRZ554" s="178"/>
      <c r="PSA554" s="178"/>
      <c r="PSB554" s="178"/>
      <c r="PSC554" s="178"/>
      <c r="PSD554" s="178"/>
      <c r="PSE554" s="178"/>
      <c r="PSF554" s="178"/>
      <c r="PSG554" s="178"/>
      <c r="PSH554" s="178"/>
      <c r="PSI554" s="178"/>
      <c r="PSJ554" s="178"/>
      <c r="PSK554" s="178"/>
      <c r="PSL554" s="178"/>
      <c r="PSM554" s="178"/>
      <c r="PSN554" s="178"/>
      <c r="PSO554" s="178"/>
      <c r="PSP554" s="178"/>
      <c r="PSQ554" s="178"/>
      <c r="PSR554" s="178"/>
      <c r="PSS554" s="178"/>
      <c r="PST554" s="178"/>
      <c r="PSU554" s="178"/>
      <c r="PSV554" s="178"/>
      <c r="PSW554" s="178"/>
      <c r="PSX554" s="178"/>
      <c r="PSY554" s="178"/>
      <c r="PSZ554" s="178"/>
      <c r="PTA554" s="178"/>
      <c r="PTB554" s="178"/>
      <c r="PTC554" s="178"/>
      <c r="PTD554" s="178"/>
      <c r="PTE554" s="178"/>
      <c r="PTF554" s="178"/>
      <c r="PTG554" s="178"/>
      <c r="PTH554" s="178"/>
      <c r="PTI554" s="178"/>
      <c r="PTJ554" s="178"/>
      <c r="PTK554" s="178"/>
      <c r="PTL554" s="178"/>
      <c r="PTM554" s="178"/>
      <c r="PTN554" s="178"/>
      <c r="PTO554" s="178"/>
      <c r="PTP554" s="178"/>
      <c r="PTQ554" s="178"/>
      <c r="PTR554" s="178"/>
      <c r="PTS554" s="178"/>
      <c r="PTT554" s="178"/>
      <c r="PTU554" s="178"/>
      <c r="PTV554" s="178"/>
      <c r="PTW554" s="178"/>
      <c r="PTX554" s="178"/>
      <c r="PTY554" s="178"/>
      <c r="PTZ554" s="178"/>
      <c r="PUA554" s="178"/>
      <c r="PUB554" s="178"/>
      <c r="PUC554" s="178"/>
      <c r="PUD554" s="178"/>
      <c r="PUE554" s="178"/>
      <c r="PUF554" s="178"/>
      <c r="PUG554" s="178"/>
      <c r="PUH554" s="178"/>
      <c r="PUI554" s="178"/>
      <c r="PUJ554" s="178"/>
      <c r="PUK554" s="178"/>
      <c r="PUL554" s="178"/>
      <c r="PUM554" s="178"/>
      <c r="PUN554" s="178"/>
      <c r="PUO554" s="178"/>
      <c r="PUP554" s="178"/>
      <c r="PUQ554" s="178"/>
      <c r="PUR554" s="178"/>
      <c r="PUS554" s="178"/>
      <c r="PUT554" s="178"/>
      <c r="PUU554" s="178"/>
      <c r="PUV554" s="178"/>
      <c r="PUW554" s="178"/>
      <c r="PUX554" s="178"/>
      <c r="PUY554" s="178"/>
      <c r="PUZ554" s="178"/>
      <c r="PVA554" s="178"/>
      <c r="PVB554" s="178"/>
      <c r="PVC554" s="178"/>
      <c r="PVD554" s="178"/>
      <c r="PVE554" s="178"/>
      <c r="PVF554" s="178"/>
      <c r="PVG554" s="178"/>
      <c r="PVH554" s="178"/>
      <c r="PVI554" s="178"/>
      <c r="PVJ554" s="178"/>
      <c r="PVK554" s="178"/>
      <c r="PVL554" s="178"/>
      <c r="PVM554" s="178"/>
      <c r="PVN554" s="178"/>
      <c r="PVO554" s="178"/>
      <c r="PVP554" s="178"/>
      <c r="PVQ554" s="178"/>
      <c r="PVR554" s="178"/>
      <c r="PVS554" s="178"/>
      <c r="PVT554" s="178"/>
      <c r="PVU554" s="178"/>
      <c r="PVV554" s="178"/>
      <c r="PVW554" s="178"/>
      <c r="PVX554" s="178"/>
      <c r="PVY554" s="178"/>
      <c r="PVZ554" s="178"/>
      <c r="PWA554" s="178"/>
      <c r="PWB554" s="178"/>
      <c r="PWC554" s="178"/>
      <c r="PWD554" s="178"/>
      <c r="PWE554" s="178"/>
      <c r="PWF554" s="178"/>
      <c r="PWG554" s="178"/>
      <c r="PWH554" s="178"/>
      <c r="PWI554" s="178"/>
      <c r="PWJ554" s="178"/>
      <c r="PWK554" s="178"/>
      <c r="PWL554" s="178"/>
      <c r="PWM554" s="178"/>
      <c r="PWN554" s="178"/>
      <c r="PWO554" s="178"/>
      <c r="PWP554" s="178"/>
      <c r="PWQ554" s="178"/>
      <c r="PWR554" s="178"/>
      <c r="PWS554" s="178"/>
      <c r="PWT554" s="178"/>
      <c r="PWU554" s="178"/>
      <c r="PWV554" s="178"/>
      <c r="PWW554" s="178"/>
      <c r="PWX554" s="178"/>
      <c r="PWY554" s="178"/>
      <c r="PWZ554" s="178"/>
      <c r="PXA554" s="178"/>
      <c r="PXB554" s="178"/>
      <c r="PXC554" s="178"/>
      <c r="PXD554" s="178"/>
      <c r="PXE554" s="178"/>
      <c r="PXF554" s="178"/>
      <c r="PXG554" s="178"/>
      <c r="PXH554" s="178"/>
      <c r="PXI554" s="178"/>
      <c r="PXJ554" s="178"/>
      <c r="PXK554" s="178"/>
      <c r="PXL554" s="178"/>
      <c r="PXM554" s="178"/>
      <c r="PXN554" s="178"/>
      <c r="PXO554" s="178"/>
      <c r="PXP554" s="178"/>
      <c r="PXQ554" s="178"/>
      <c r="PXR554" s="178"/>
      <c r="PXS554" s="178"/>
      <c r="PXT554" s="178"/>
      <c r="PXU554" s="178"/>
      <c r="PXV554" s="178"/>
      <c r="PXW554" s="178"/>
      <c r="PXX554" s="178"/>
      <c r="PXY554" s="178"/>
      <c r="PXZ554" s="178"/>
      <c r="PYA554" s="178"/>
      <c r="PYB554" s="178"/>
      <c r="PYC554" s="178"/>
      <c r="PYD554" s="178"/>
      <c r="PYE554" s="178"/>
      <c r="PYF554" s="178"/>
      <c r="PYG554" s="178"/>
      <c r="PYH554" s="178"/>
      <c r="PYI554" s="178"/>
      <c r="PYJ554" s="178"/>
      <c r="PYK554" s="178"/>
      <c r="PYL554" s="178"/>
      <c r="PYM554" s="178"/>
      <c r="PYN554" s="178"/>
      <c r="PYO554" s="178"/>
      <c r="PYP554" s="178"/>
      <c r="PYQ554" s="178"/>
      <c r="PYR554" s="178"/>
      <c r="PYS554" s="178"/>
      <c r="PYT554" s="178"/>
      <c r="PYU554" s="178"/>
      <c r="PYV554" s="178"/>
      <c r="PYW554" s="178"/>
      <c r="PYX554" s="178"/>
      <c r="PYY554" s="178"/>
      <c r="PYZ554" s="178"/>
      <c r="PZA554" s="178"/>
      <c r="PZB554" s="178"/>
      <c r="PZC554" s="178"/>
      <c r="PZD554" s="178"/>
      <c r="PZE554" s="178"/>
      <c r="PZF554" s="178"/>
      <c r="PZG554" s="178"/>
      <c r="PZH554" s="178"/>
      <c r="PZI554" s="178"/>
      <c r="PZJ554" s="178"/>
      <c r="PZK554" s="178"/>
      <c r="PZL554" s="178"/>
      <c r="PZM554" s="178"/>
      <c r="PZN554" s="178"/>
      <c r="PZO554" s="178"/>
      <c r="PZP554" s="178"/>
      <c r="PZQ554" s="178"/>
      <c r="PZR554" s="178"/>
      <c r="PZS554" s="178"/>
      <c r="PZT554" s="178"/>
      <c r="PZU554" s="178"/>
      <c r="PZV554" s="178"/>
      <c r="PZW554" s="178"/>
      <c r="PZX554" s="178"/>
      <c r="PZY554" s="178"/>
      <c r="PZZ554" s="178"/>
      <c r="QAA554" s="178"/>
      <c r="QAB554" s="178"/>
      <c r="QAC554" s="178"/>
      <c r="QAD554" s="178"/>
      <c r="QAE554" s="178"/>
      <c r="QAF554" s="178"/>
      <c r="QAG554" s="178"/>
      <c r="QAH554" s="178"/>
      <c r="QAI554" s="178"/>
      <c r="QAJ554" s="178"/>
      <c r="QAK554" s="178"/>
      <c r="QAL554" s="178"/>
      <c r="QAM554" s="178"/>
      <c r="QAN554" s="178"/>
      <c r="QAO554" s="178"/>
      <c r="QAP554" s="178"/>
      <c r="QAQ554" s="178"/>
      <c r="QAR554" s="178"/>
      <c r="QAS554" s="178"/>
      <c r="QAT554" s="178"/>
      <c r="QAU554" s="178"/>
      <c r="QAV554" s="178"/>
      <c r="QAW554" s="178"/>
      <c r="QAX554" s="178"/>
      <c r="QAY554" s="178"/>
      <c r="QAZ554" s="178"/>
      <c r="QBA554" s="178"/>
      <c r="QBB554" s="178"/>
      <c r="QBC554" s="178"/>
      <c r="QBD554" s="178"/>
      <c r="QBE554" s="178"/>
      <c r="QBF554" s="178"/>
      <c r="QBG554" s="178"/>
      <c r="QBH554" s="178"/>
      <c r="QBI554" s="178"/>
      <c r="QBJ554" s="178"/>
      <c r="QBK554" s="178"/>
      <c r="QBL554" s="178"/>
      <c r="QBM554" s="178"/>
      <c r="QBN554" s="178"/>
      <c r="QBO554" s="178"/>
      <c r="QBP554" s="178"/>
      <c r="QBQ554" s="178"/>
      <c r="QBR554" s="178"/>
      <c r="QBS554" s="178"/>
      <c r="QBT554" s="178"/>
      <c r="QBU554" s="178"/>
      <c r="QBV554" s="178"/>
      <c r="QBW554" s="178"/>
      <c r="QBX554" s="178"/>
      <c r="QBY554" s="178"/>
      <c r="QBZ554" s="178"/>
      <c r="QCA554" s="178"/>
      <c r="QCB554" s="178"/>
      <c r="QCC554" s="178"/>
      <c r="QCD554" s="178"/>
      <c r="QCE554" s="178"/>
      <c r="QCF554" s="178"/>
      <c r="QCG554" s="178"/>
      <c r="QCH554" s="178"/>
      <c r="QCI554" s="178"/>
      <c r="QCJ554" s="178"/>
      <c r="QCK554" s="178"/>
      <c r="QCL554" s="178"/>
      <c r="QCM554" s="178"/>
      <c r="QCN554" s="178"/>
      <c r="QCO554" s="178"/>
      <c r="QCP554" s="178"/>
      <c r="QCQ554" s="178"/>
      <c r="QCR554" s="178"/>
      <c r="QCS554" s="178"/>
      <c r="QCT554" s="178"/>
      <c r="QCU554" s="178"/>
      <c r="QCV554" s="178"/>
      <c r="QCW554" s="178"/>
      <c r="QCX554" s="178"/>
      <c r="QCY554" s="178"/>
      <c r="QCZ554" s="178"/>
      <c r="QDA554" s="178"/>
      <c r="QDB554" s="178"/>
      <c r="QDC554" s="178"/>
      <c r="QDD554" s="178"/>
      <c r="QDE554" s="178"/>
      <c r="QDF554" s="178"/>
      <c r="QDG554" s="178"/>
      <c r="QDH554" s="178"/>
      <c r="QDI554" s="178"/>
      <c r="QDJ554" s="178"/>
      <c r="QDK554" s="178"/>
      <c r="QDL554" s="178"/>
      <c r="QDM554" s="178"/>
      <c r="QDN554" s="178"/>
      <c r="QDO554" s="178"/>
      <c r="QDP554" s="178"/>
      <c r="QDQ554" s="178"/>
      <c r="QDR554" s="178"/>
      <c r="QDS554" s="178"/>
      <c r="QDT554" s="178"/>
      <c r="QDU554" s="178"/>
      <c r="QDV554" s="178"/>
      <c r="QDW554" s="178"/>
      <c r="QDX554" s="178"/>
      <c r="QDY554" s="178"/>
      <c r="QDZ554" s="178"/>
      <c r="QEA554" s="178"/>
      <c r="QEB554" s="178"/>
      <c r="QEC554" s="178"/>
      <c r="QED554" s="178"/>
      <c r="QEE554" s="178"/>
      <c r="QEF554" s="178"/>
      <c r="QEG554" s="178"/>
      <c r="QEH554" s="178"/>
      <c r="QEI554" s="178"/>
      <c r="QEJ554" s="178"/>
      <c r="QEK554" s="178"/>
      <c r="QEL554" s="178"/>
      <c r="QEM554" s="178"/>
      <c r="QEN554" s="178"/>
      <c r="QEO554" s="178"/>
      <c r="QEP554" s="178"/>
      <c r="QEQ554" s="178"/>
      <c r="QER554" s="178"/>
      <c r="QES554" s="178"/>
      <c r="QET554" s="178"/>
      <c r="QEU554" s="178"/>
      <c r="QEV554" s="178"/>
      <c r="QEW554" s="178"/>
      <c r="QEX554" s="178"/>
      <c r="QEY554" s="178"/>
      <c r="QEZ554" s="178"/>
      <c r="QFA554" s="178"/>
      <c r="QFB554" s="178"/>
      <c r="QFC554" s="178"/>
      <c r="QFD554" s="178"/>
      <c r="QFE554" s="178"/>
      <c r="QFF554" s="178"/>
      <c r="QFG554" s="178"/>
      <c r="QFH554" s="178"/>
      <c r="QFI554" s="178"/>
      <c r="QFJ554" s="178"/>
      <c r="QFK554" s="178"/>
      <c r="QFL554" s="178"/>
      <c r="QFM554" s="178"/>
      <c r="QFN554" s="178"/>
      <c r="QFO554" s="178"/>
      <c r="QFP554" s="178"/>
      <c r="QFQ554" s="178"/>
      <c r="QFR554" s="178"/>
      <c r="QFS554" s="178"/>
      <c r="QFT554" s="178"/>
      <c r="QFU554" s="178"/>
      <c r="QFV554" s="178"/>
      <c r="QFW554" s="178"/>
      <c r="QFX554" s="178"/>
      <c r="QFY554" s="178"/>
      <c r="QFZ554" s="178"/>
      <c r="QGA554" s="178"/>
      <c r="QGB554" s="178"/>
      <c r="QGC554" s="178"/>
      <c r="QGD554" s="178"/>
      <c r="QGE554" s="178"/>
      <c r="QGF554" s="178"/>
      <c r="QGG554" s="178"/>
      <c r="QGH554" s="178"/>
      <c r="QGI554" s="178"/>
      <c r="QGJ554" s="178"/>
      <c r="QGK554" s="178"/>
      <c r="QGL554" s="178"/>
      <c r="QGM554" s="178"/>
      <c r="QGN554" s="178"/>
      <c r="QGO554" s="178"/>
      <c r="QGP554" s="178"/>
      <c r="QGQ554" s="178"/>
      <c r="QGR554" s="178"/>
      <c r="QGS554" s="178"/>
      <c r="QGT554" s="178"/>
      <c r="QGU554" s="178"/>
      <c r="QGV554" s="178"/>
      <c r="QGW554" s="178"/>
      <c r="QGX554" s="178"/>
      <c r="QGY554" s="178"/>
      <c r="QGZ554" s="178"/>
      <c r="QHA554" s="178"/>
      <c r="QHB554" s="178"/>
      <c r="QHC554" s="178"/>
      <c r="QHD554" s="178"/>
      <c r="QHE554" s="178"/>
      <c r="QHF554" s="178"/>
      <c r="QHG554" s="178"/>
      <c r="QHH554" s="178"/>
      <c r="QHI554" s="178"/>
      <c r="QHJ554" s="178"/>
      <c r="QHK554" s="178"/>
      <c r="QHL554" s="178"/>
      <c r="QHM554" s="178"/>
      <c r="QHN554" s="178"/>
      <c r="QHO554" s="178"/>
      <c r="QHP554" s="178"/>
      <c r="QHQ554" s="178"/>
      <c r="QHR554" s="178"/>
      <c r="QHS554" s="178"/>
      <c r="QHT554" s="178"/>
      <c r="QHU554" s="178"/>
      <c r="QHV554" s="178"/>
      <c r="QHW554" s="178"/>
      <c r="QHX554" s="178"/>
      <c r="QHY554" s="178"/>
      <c r="QHZ554" s="178"/>
      <c r="QIA554" s="178"/>
      <c r="QIB554" s="178"/>
      <c r="QIC554" s="178"/>
      <c r="QID554" s="178"/>
      <c r="QIE554" s="178"/>
      <c r="QIF554" s="178"/>
      <c r="QIG554" s="178"/>
      <c r="QIH554" s="178"/>
      <c r="QII554" s="178"/>
      <c r="QIJ554" s="178"/>
      <c r="QIK554" s="178"/>
      <c r="QIL554" s="178"/>
      <c r="QIM554" s="178"/>
      <c r="QIN554" s="178"/>
      <c r="QIO554" s="178"/>
      <c r="QIP554" s="178"/>
      <c r="QIQ554" s="178"/>
      <c r="QIR554" s="178"/>
      <c r="QIS554" s="178"/>
      <c r="QIT554" s="178"/>
      <c r="QIU554" s="178"/>
      <c r="QIV554" s="178"/>
      <c r="QIW554" s="178"/>
      <c r="QIX554" s="178"/>
      <c r="QIY554" s="178"/>
      <c r="QIZ554" s="178"/>
      <c r="QJA554" s="178"/>
      <c r="QJB554" s="178"/>
      <c r="QJC554" s="178"/>
      <c r="QJD554" s="178"/>
      <c r="QJE554" s="178"/>
      <c r="QJF554" s="178"/>
      <c r="QJG554" s="178"/>
      <c r="QJH554" s="178"/>
      <c r="QJI554" s="178"/>
      <c r="QJJ554" s="178"/>
      <c r="QJK554" s="178"/>
      <c r="QJL554" s="178"/>
      <c r="QJM554" s="178"/>
      <c r="QJN554" s="178"/>
      <c r="QJO554" s="178"/>
      <c r="QJP554" s="178"/>
      <c r="QJQ554" s="178"/>
      <c r="QJR554" s="178"/>
      <c r="QJS554" s="178"/>
      <c r="QJT554" s="178"/>
      <c r="QJU554" s="178"/>
      <c r="QJV554" s="178"/>
      <c r="QJW554" s="178"/>
      <c r="QJX554" s="178"/>
      <c r="QJY554" s="178"/>
      <c r="QJZ554" s="178"/>
      <c r="QKA554" s="178"/>
      <c r="QKB554" s="178"/>
      <c r="QKC554" s="178"/>
      <c r="QKD554" s="178"/>
      <c r="QKE554" s="178"/>
      <c r="QKF554" s="178"/>
      <c r="QKG554" s="178"/>
      <c r="QKH554" s="178"/>
      <c r="QKI554" s="178"/>
      <c r="QKJ554" s="178"/>
      <c r="QKK554" s="178"/>
      <c r="QKL554" s="178"/>
      <c r="QKM554" s="178"/>
      <c r="QKN554" s="178"/>
      <c r="QKO554" s="178"/>
      <c r="QKP554" s="178"/>
      <c r="QKQ554" s="178"/>
      <c r="QKR554" s="178"/>
      <c r="QKS554" s="178"/>
      <c r="QKT554" s="178"/>
      <c r="QKU554" s="178"/>
      <c r="QKV554" s="178"/>
      <c r="QKW554" s="178"/>
      <c r="QKX554" s="178"/>
      <c r="QKY554" s="178"/>
      <c r="QKZ554" s="178"/>
      <c r="QLA554" s="178"/>
      <c r="QLB554" s="178"/>
      <c r="QLC554" s="178"/>
      <c r="QLD554" s="178"/>
      <c r="QLE554" s="178"/>
      <c r="QLF554" s="178"/>
      <c r="QLG554" s="178"/>
      <c r="QLH554" s="178"/>
      <c r="QLI554" s="178"/>
      <c r="QLJ554" s="178"/>
      <c r="QLK554" s="178"/>
      <c r="QLL554" s="178"/>
      <c r="QLM554" s="178"/>
      <c r="QLN554" s="178"/>
      <c r="QLO554" s="178"/>
      <c r="QLP554" s="178"/>
      <c r="QLQ554" s="178"/>
      <c r="QLR554" s="178"/>
      <c r="QLS554" s="178"/>
      <c r="QLT554" s="178"/>
      <c r="QLU554" s="178"/>
      <c r="QLV554" s="178"/>
      <c r="QLW554" s="178"/>
      <c r="QLX554" s="178"/>
      <c r="QLY554" s="178"/>
      <c r="QLZ554" s="178"/>
      <c r="QMA554" s="178"/>
      <c r="QMB554" s="178"/>
      <c r="QMC554" s="178"/>
      <c r="QMD554" s="178"/>
      <c r="QME554" s="178"/>
      <c r="QMF554" s="178"/>
      <c r="QMG554" s="178"/>
      <c r="QMH554" s="178"/>
      <c r="QMI554" s="178"/>
      <c r="QMJ554" s="178"/>
      <c r="QMK554" s="178"/>
      <c r="QML554" s="178"/>
      <c r="QMM554" s="178"/>
      <c r="QMN554" s="178"/>
      <c r="QMO554" s="178"/>
      <c r="QMP554" s="178"/>
      <c r="QMQ554" s="178"/>
      <c r="QMR554" s="178"/>
      <c r="QMS554" s="178"/>
      <c r="QMT554" s="178"/>
      <c r="QMU554" s="178"/>
      <c r="QMV554" s="178"/>
      <c r="QMW554" s="178"/>
      <c r="QMX554" s="178"/>
      <c r="QMY554" s="178"/>
      <c r="QMZ554" s="178"/>
      <c r="QNA554" s="178"/>
      <c r="QNB554" s="178"/>
      <c r="QNC554" s="178"/>
      <c r="QND554" s="178"/>
      <c r="QNE554" s="178"/>
      <c r="QNF554" s="178"/>
      <c r="QNG554" s="178"/>
      <c r="QNH554" s="178"/>
      <c r="QNI554" s="178"/>
      <c r="QNJ554" s="178"/>
      <c r="QNK554" s="178"/>
      <c r="QNL554" s="178"/>
      <c r="QNM554" s="178"/>
      <c r="QNN554" s="178"/>
      <c r="QNO554" s="178"/>
      <c r="QNP554" s="178"/>
      <c r="QNQ554" s="178"/>
      <c r="QNR554" s="178"/>
      <c r="QNS554" s="178"/>
      <c r="QNT554" s="178"/>
      <c r="QNU554" s="178"/>
      <c r="QNV554" s="178"/>
      <c r="QNW554" s="178"/>
      <c r="QNX554" s="178"/>
      <c r="QNY554" s="178"/>
      <c r="QNZ554" s="178"/>
      <c r="QOA554" s="178"/>
      <c r="QOB554" s="178"/>
      <c r="QOC554" s="178"/>
      <c r="QOD554" s="178"/>
      <c r="QOE554" s="178"/>
      <c r="QOF554" s="178"/>
      <c r="QOG554" s="178"/>
      <c r="QOH554" s="178"/>
      <c r="QOI554" s="178"/>
      <c r="QOJ554" s="178"/>
      <c r="QOK554" s="178"/>
      <c r="QOL554" s="178"/>
      <c r="QOM554" s="178"/>
      <c r="QON554" s="178"/>
      <c r="QOO554" s="178"/>
      <c r="QOP554" s="178"/>
      <c r="QOQ554" s="178"/>
      <c r="QOR554" s="178"/>
      <c r="QOS554" s="178"/>
      <c r="QOT554" s="178"/>
      <c r="QOU554" s="178"/>
      <c r="QOV554" s="178"/>
      <c r="QOW554" s="178"/>
      <c r="QOX554" s="178"/>
      <c r="QOY554" s="178"/>
      <c r="QOZ554" s="178"/>
      <c r="QPA554" s="178"/>
      <c r="QPB554" s="178"/>
      <c r="QPC554" s="178"/>
      <c r="QPD554" s="178"/>
      <c r="QPE554" s="178"/>
      <c r="QPF554" s="178"/>
      <c r="QPG554" s="178"/>
      <c r="QPH554" s="178"/>
      <c r="QPI554" s="178"/>
      <c r="QPJ554" s="178"/>
      <c r="QPK554" s="178"/>
      <c r="QPL554" s="178"/>
      <c r="QPM554" s="178"/>
      <c r="QPN554" s="178"/>
      <c r="QPO554" s="178"/>
      <c r="QPP554" s="178"/>
      <c r="QPQ554" s="178"/>
      <c r="QPR554" s="178"/>
      <c r="QPS554" s="178"/>
      <c r="QPT554" s="178"/>
      <c r="QPU554" s="178"/>
      <c r="QPV554" s="178"/>
      <c r="QPW554" s="178"/>
      <c r="QPX554" s="178"/>
      <c r="QPY554" s="178"/>
      <c r="QPZ554" s="178"/>
      <c r="QQA554" s="178"/>
      <c r="QQB554" s="178"/>
      <c r="QQC554" s="178"/>
      <c r="QQD554" s="178"/>
      <c r="QQE554" s="178"/>
      <c r="QQF554" s="178"/>
      <c r="QQG554" s="178"/>
      <c r="QQH554" s="178"/>
      <c r="QQI554" s="178"/>
      <c r="QQJ554" s="178"/>
      <c r="QQK554" s="178"/>
      <c r="QQL554" s="178"/>
      <c r="QQM554" s="178"/>
      <c r="QQN554" s="178"/>
      <c r="QQO554" s="178"/>
      <c r="QQP554" s="178"/>
      <c r="QQQ554" s="178"/>
      <c r="QQR554" s="178"/>
      <c r="QQS554" s="178"/>
      <c r="QQT554" s="178"/>
      <c r="QQU554" s="178"/>
      <c r="QQV554" s="178"/>
      <c r="QQW554" s="178"/>
      <c r="QQX554" s="178"/>
      <c r="QQY554" s="178"/>
      <c r="QQZ554" s="178"/>
      <c r="QRA554" s="178"/>
      <c r="QRB554" s="178"/>
      <c r="QRC554" s="178"/>
      <c r="QRD554" s="178"/>
      <c r="QRE554" s="178"/>
      <c r="QRF554" s="178"/>
      <c r="QRG554" s="178"/>
      <c r="QRH554" s="178"/>
      <c r="QRI554" s="178"/>
      <c r="QRJ554" s="178"/>
      <c r="QRK554" s="178"/>
      <c r="QRL554" s="178"/>
      <c r="QRM554" s="178"/>
      <c r="QRN554" s="178"/>
      <c r="QRO554" s="178"/>
      <c r="QRP554" s="178"/>
      <c r="QRQ554" s="178"/>
      <c r="QRR554" s="178"/>
      <c r="QRS554" s="178"/>
      <c r="QRT554" s="178"/>
      <c r="QRU554" s="178"/>
      <c r="QRV554" s="178"/>
      <c r="QRW554" s="178"/>
      <c r="QRX554" s="178"/>
      <c r="QRY554" s="178"/>
      <c r="QRZ554" s="178"/>
      <c r="QSA554" s="178"/>
      <c r="QSB554" s="178"/>
      <c r="QSC554" s="178"/>
      <c r="QSD554" s="178"/>
      <c r="QSE554" s="178"/>
      <c r="QSF554" s="178"/>
      <c r="QSG554" s="178"/>
      <c r="QSH554" s="178"/>
      <c r="QSI554" s="178"/>
      <c r="QSJ554" s="178"/>
      <c r="QSK554" s="178"/>
      <c r="QSL554" s="178"/>
      <c r="QSM554" s="178"/>
      <c r="QSN554" s="178"/>
      <c r="QSO554" s="178"/>
      <c r="QSP554" s="178"/>
      <c r="QSQ554" s="178"/>
      <c r="QSR554" s="178"/>
      <c r="QSS554" s="178"/>
      <c r="QST554" s="178"/>
      <c r="QSU554" s="178"/>
      <c r="QSV554" s="178"/>
      <c r="QSW554" s="178"/>
      <c r="QSX554" s="178"/>
      <c r="QSY554" s="178"/>
      <c r="QSZ554" s="178"/>
      <c r="QTA554" s="178"/>
      <c r="QTB554" s="178"/>
      <c r="QTC554" s="178"/>
      <c r="QTD554" s="178"/>
      <c r="QTE554" s="178"/>
      <c r="QTF554" s="178"/>
      <c r="QTG554" s="178"/>
      <c r="QTH554" s="178"/>
      <c r="QTI554" s="178"/>
      <c r="QTJ554" s="178"/>
      <c r="QTK554" s="178"/>
      <c r="QTL554" s="178"/>
      <c r="QTM554" s="178"/>
      <c r="QTN554" s="178"/>
      <c r="QTO554" s="178"/>
      <c r="QTP554" s="178"/>
      <c r="QTQ554" s="178"/>
      <c r="QTR554" s="178"/>
      <c r="QTS554" s="178"/>
      <c r="QTT554" s="178"/>
      <c r="QTU554" s="178"/>
      <c r="QTV554" s="178"/>
      <c r="QTW554" s="178"/>
      <c r="QTX554" s="178"/>
      <c r="QTY554" s="178"/>
      <c r="QTZ554" s="178"/>
      <c r="QUA554" s="178"/>
      <c r="QUB554" s="178"/>
      <c r="QUC554" s="178"/>
      <c r="QUD554" s="178"/>
      <c r="QUE554" s="178"/>
      <c r="QUF554" s="178"/>
      <c r="QUG554" s="178"/>
      <c r="QUH554" s="178"/>
      <c r="QUI554" s="178"/>
      <c r="QUJ554" s="178"/>
      <c r="QUK554" s="178"/>
      <c r="QUL554" s="178"/>
      <c r="QUM554" s="178"/>
      <c r="QUN554" s="178"/>
      <c r="QUO554" s="178"/>
      <c r="QUP554" s="178"/>
      <c r="QUQ554" s="178"/>
      <c r="QUR554" s="178"/>
      <c r="QUS554" s="178"/>
      <c r="QUT554" s="178"/>
      <c r="QUU554" s="178"/>
      <c r="QUV554" s="178"/>
      <c r="QUW554" s="178"/>
      <c r="QUX554" s="178"/>
      <c r="QUY554" s="178"/>
      <c r="QUZ554" s="178"/>
      <c r="QVA554" s="178"/>
      <c r="QVB554" s="178"/>
      <c r="QVC554" s="178"/>
      <c r="QVD554" s="178"/>
      <c r="QVE554" s="178"/>
      <c r="QVF554" s="178"/>
      <c r="QVG554" s="178"/>
      <c r="QVH554" s="178"/>
      <c r="QVI554" s="178"/>
      <c r="QVJ554" s="178"/>
      <c r="QVK554" s="178"/>
      <c r="QVL554" s="178"/>
      <c r="QVM554" s="178"/>
      <c r="QVN554" s="178"/>
      <c r="QVO554" s="178"/>
      <c r="QVP554" s="178"/>
      <c r="QVQ554" s="178"/>
      <c r="QVR554" s="178"/>
      <c r="QVS554" s="178"/>
      <c r="QVT554" s="178"/>
      <c r="QVU554" s="178"/>
      <c r="QVV554" s="178"/>
      <c r="QVW554" s="178"/>
      <c r="QVX554" s="178"/>
      <c r="QVY554" s="178"/>
      <c r="QVZ554" s="178"/>
      <c r="QWA554" s="178"/>
      <c r="QWB554" s="178"/>
      <c r="QWC554" s="178"/>
      <c r="QWD554" s="178"/>
      <c r="QWE554" s="178"/>
      <c r="QWF554" s="178"/>
      <c r="QWG554" s="178"/>
      <c r="QWH554" s="178"/>
      <c r="QWI554" s="178"/>
      <c r="QWJ554" s="178"/>
      <c r="QWK554" s="178"/>
      <c r="QWL554" s="178"/>
      <c r="QWM554" s="178"/>
      <c r="QWN554" s="178"/>
      <c r="QWO554" s="178"/>
      <c r="QWP554" s="178"/>
      <c r="QWQ554" s="178"/>
      <c r="QWR554" s="178"/>
      <c r="QWS554" s="178"/>
      <c r="QWT554" s="178"/>
      <c r="QWU554" s="178"/>
      <c r="QWV554" s="178"/>
      <c r="QWW554" s="178"/>
      <c r="QWX554" s="178"/>
      <c r="QWY554" s="178"/>
      <c r="QWZ554" s="178"/>
      <c r="QXA554" s="178"/>
      <c r="QXB554" s="178"/>
      <c r="QXC554" s="178"/>
      <c r="QXD554" s="178"/>
      <c r="QXE554" s="178"/>
      <c r="QXF554" s="178"/>
      <c r="QXG554" s="178"/>
      <c r="QXH554" s="178"/>
      <c r="QXI554" s="178"/>
      <c r="QXJ554" s="178"/>
      <c r="QXK554" s="178"/>
      <c r="QXL554" s="178"/>
      <c r="QXM554" s="178"/>
      <c r="QXN554" s="178"/>
      <c r="QXO554" s="178"/>
      <c r="QXP554" s="178"/>
      <c r="QXQ554" s="178"/>
      <c r="QXR554" s="178"/>
      <c r="QXS554" s="178"/>
      <c r="QXT554" s="178"/>
      <c r="QXU554" s="178"/>
      <c r="QXV554" s="178"/>
      <c r="QXW554" s="178"/>
      <c r="QXX554" s="178"/>
      <c r="QXY554" s="178"/>
      <c r="QXZ554" s="178"/>
      <c r="QYA554" s="178"/>
      <c r="QYB554" s="178"/>
      <c r="QYC554" s="178"/>
      <c r="QYD554" s="178"/>
      <c r="QYE554" s="178"/>
      <c r="QYF554" s="178"/>
      <c r="QYG554" s="178"/>
      <c r="QYH554" s="178"/>
      <c r="QYI554" s="178"/>
      <c r="QYJ554" s="178"/>
      <c r="QYK554" s="178"/>
      <c r="QYL554" s="178"/>
      <c r="QYM554" s="178"/>
      <c r="QYN554" s="178"/>
      <c r="QYO554" s="178"/>
      <c r="QYP554" s="178"/>
      <c r="QYQ554" s="178"/>
      <c r="QYR554" s="178"/>
      <c r="QYS554" s="178"/>
      <c r="QYT554" s="178"/>
      <c r="QYU554" s="178"/>
      <c r="QYV554" s="178"/>
      <c r="QYW554" s="178"/>
      <c r="QYX554" s="178"/>
      <c r="QYY554" s="178"/>
      <c r="QYZ554" s="178"/>
      <c r="QZA554" s="178"/>
      <c r="QZB554" s="178"/>
      <c r="QZC554" s="178"/>
      <c r="QZD554" s="178"/>
      <c r="QZE554" s="178"/>
      <c r="QZF554" s="178"/>
      <c r="QZG554" s="178"/>
      <c r="QZH554" s="178"/>
      <c r="QZI554" s="178"/>
      <c r="QZJ554" s="178"/>
      <c r="QZK554" s="178"/>
      <c r="QZL554" s="178"/>
      <c r="QZM554" s="178"/>
      <c r="QZN554" s="178"/>
      <c r="QZO554" s="178"/>
      <c r="QZP554" s="178"/>
      <c r="QZQ554" s="178"/>
      <c r="QZR554" s="178"/>
      <c r="QZS554" s="178"/>
      <c r="QZT554" s="178"/>
      <c r="QZU554" s="178"/>
      <c r="QZV554" s="178"/>
      <c r="QZW554" s="178"/>
      <c r="QZX554" s="178"/>
      <c r="QZY554" s="178"/>
      <c r="QZZ554" s="178"/>
      <c r="RAA554" s="178"/>
      <c r="RAB554" s="178"/>
      <c r="RAC554" s="178"/>
      <c r="RAD554" s="178"/>
      <c r="RAE554" s="178"/>
      <c r="RAF554" s="178"/>
      <c r="RAG554" s="178"/>
      <c r="RAH554" s="178"/>
      <c r="RAI554" s="178"/>
      <c r="RAJ554" s="178"/>
      <c r="RAK554" s="178"/>
      <c r="RAL554" s="178"/>
      <c r="RAM554" s="178"/>
      <c r="RAN554" s="178"/>
      <c r="RAO554" s="178"/>
      <c r="RAP554" s="178"/>
      <c r="RAQ554" s="178"/>
      <c r="RAR554" s="178"/>
      <c r="RAS554" s="178"/>
      <c r="RAT554" s="178"/>
      <c r="RAU554" s="178"/>
      <c r="RAV554" s="178"/>
      <c r="RAW554" s="178"/>
      <c r="RAX554" s="178"/>
      <c r="RAY554" s="178"/>
      <c r="RAZ554" s="178"/>
      <c r="RBA554" s="178"/>
      <c r="RBB554" s="178"/>
      <c r="RBC554" s="178"/>
      <c r="RBD554" s="178"/>
      <c r="RBE554" s="178"/>
      <c r="RBF554" s="178"/>
      <c r="RBG554" s="178"/>
      <c r="RBH554" s="178"/>
      <c r="RBI554" s="178"/>
      <c r="RBJ554" s="178"/>
      <c r="RBK554" s="178"/>
      <c r="RBL554" s="178"/>
      <c r="RBM554" s="178"/>
      <c r="RBN554" s="178"/>
      <c r="RBO554" s="178"/>
      <c r="RBP554" s="178"/>
      <c r="RBQ554" s="178"/>
      <c r="RBR554" s="178"/>
      <c r="RBS554" s="178"/>
      <c r="RBT554" s="178"/>
      <c r="RBU554" s="178"/>
      <c r="RBV554" s="178"/>
      <c r="RBW554" s="178"/>
      <c r="RBX554" s="178"/>
      <c r="RBY554" s="178"/>
      <c r="RBZ554" s="178"/>
      <c r="RCA554" s="178"/>
      <c r="RCB554" s="178"/>
      <c r="RCC554" s="178"/>
      <c r="RCD554" s="178"/>
      <c r="RCE554" s="178"/>
      <c r="RCF554" s="178"/>
      <c r="RCG554" s="178"/>
      <c r="RCH554" s="178"/>
      <c r="RCI554" s="178"/>
      <c r="RCJ554" s="178"/>
      <c r="RCK554" s="178"/>
      <c r="RCL554" s="178"/>
      <c r="RCM554" s="178"/>
      <c r="RCN554" s="178"/>
      <c r="RCO554" s="178"/>
      <c r="RCP554" s="178"/>
      <c r="RCQ554" s="178"/>
      <c r="RCR554" s="178"/>
      <c r="RCS554" s="178"/>
      <c r="RCT554" s="178"/>
      <c r="RCU554" s="178"/>
      <c r="RCV554" s="178"/>
      <c r="RCW554" s="178"/>
      <c r="RCX554" s="178"/>
      <c r="RCY554" s="178"/>
      <c r="RCZ554" s="178"/>
      <c r="RDA554" s="178"/>
      <c r="RDB554" s="178"/>
      <c r="RDC554" s="178"/>
      <c r="RDD554" s="178"/>
      <c r="RDE554" s="178"/>
      <c r="RDF554" s="178"/>
      <c r="RDG554" s="178"/>
      <c r="RDH554" s="178"/>
      <c r="RDI554" s="178"/>
      <c r="RDJ554" s="178"/>
      <c r="RDK554" s="178"/>
      <c r="RDL554" s="178"/>
      <c r="RDM554" s="178"/>
      <c r="RDN554" s="178"/>
      <c r="RDO554" s="178"/>
      <c r="RDP554" s="178"/>
      <c r="RDQ554" s="178"/>
      <c r="RDR554" s="178"/>
      <c r="RDS554" s="178"/>
      <c r="RDT554" s="178"/>
      <c r="RDU554" s="178"/>
      <c r="RDV554" s="178"/>
      <c r="RDW554" s="178"/>
      <c r="RDX554" s="178"/>
      <c r="RDY554" s="178"/>
      <c r="RDZ554" s="178"/>
      <c r="REA554" s="178"/>
      <c r="REB554" s="178"/>
      <c r="REC554" s="178"/>
      <c r="RED554" s="178"/>
      <c r="REE554" s="178"/>
      <c r="REF554" s="178"/>
      <c r="REG554" s="178"/>
      <c r="REH554" s="178"/>
      <c r="REI554" s="178"/>
      <c r="REJ554" s="178"/>
      <c r="REK554" s="178"/>
      <c r="REL554" s="178"/>
      <c r="REM554" s="178"/>
      <c r="REN554" s="178"/>
      <c r="REO554" s="178"/>
      <c r="REP554" s="178"/>
      <c r="REQ554" s="178"/>
      <c r="RER554" s="178"/>
      <c r="RES554" s="178"/>
      <c r="RET554" s="178"/>
      <c r="REU554" s="178"/>
      <c r="REV554" s="178"/>
      <c r="REW554" s="178"/>
      <c r="REX554" s="178"/>
      <c r="REY554" s="178"/>
      <c r="REZ554" s="178"/>
      <c r="RFA554" s="178"/>
      <c r="RFB554" s="178"/>
      <c r="RFC554" s="178"/>
      <c r="RFD554" s="178"/>
      <c r="RFE554" s="178"/>
      <c r="RFF554" s="178"/>
      <c r="RFG554" s="178"/>
      <c r="RFH554" s="178"/>
      <c r="RFI554" s="178"/>
      <c r="RFJ554" s="178"/>
      <c r="RFK554" s="178"/>
      <c r="RFL554" s="178"/>
      <c r="RFM554" s="178"/>
      <c r="RFN554" s="178"/>
      <c r="RFO554" s="178"/>
      <c r="RFP554" s="178"/>
      <c r="RFQ554" s="178"/>
      <c r="RFR554" s="178"/>
      <c r="RFS554" s="178"/>
      <c r="RFT554" s="178"/>
      <c r="RFU554" s="178"/>
      <c r="RFV554" s="178"/>
      <c r="RFW554" s="178"/>
      <c r="RFX554" s="178"/>
      <c r="RFY554" s="178"/>
      <c r="RFZ554" s="178"/>
      <c r="RGA554" s="178"/>
      <c r="RGB554" s="178"/>
      <c r="RGC554" s="178"/>
      <c r="RGD554" s="178"/>
      <c r="RGE554" s="178"/>
      <c r="RGF554" s="178"/>
      <c r="RGG554" s="178"/>
      <c r="RGH554" s="178"/>
      <c r="RGI554" s="178"/>
      <c r="RGJ554" s="178"/>
      <c r="RGK554" s="178"/>
      <c r="RGL554" s="178"/>
      <c r="RGM554" s="178"/>
      <c r="RGN554" s="178"/>
      <c r="RGO554" s="178"/>
      <c r="RGP554" s="178"/>
      <c r="RGQ554" s="178"/>
      <c r="RGR554" s="178"/>
      <c r="RGS554" s="178"/>
      <c r="RGT554" s="178"/>
      <c r="RGU554" s="178"/>
      <c r="RGV554" s="178"/>
      <c r="RGW554" s="178"/>
      <c r="RGX554" s="178"/>
      <c r="RGY554" s="178"/>
      <c r="RGZ554" s="178"/>
      <c r="RHA554" s="178"/>
      <c r="RHB554" s="178"/>
      <c r="RHC554" s="178"/>
      <c r="RHD554" s="178"/>
      <c r="RHE554" s="178"/>
      <c r="RHF554" s="178"/>
      <c r="RHG554" s="178"/>
      <c r="RHH554" s="178"/>
      <c r="RHI554" s="178"/>
      <c r="RHJ554" s="178"/>
      <c r="RHK554" s="178"/>
      <c r="RHL554" s="178"/>
      <c r="RHM554" s="178"/>
      <c r="RHN554" s="178"/>
      <c r="RHO554" s="178"/>
      <c r="RHP554" s="178"/>
      <c r="RHQ554" s="178"/>
      <c r="RHR554" s="178"/>
      <c r="RHS554" s="178"/>
      <c r="RHT554" s="178"/>
      <c r="RHU554" s="178"/>
      <c r="RHV554" s="178"/>
      <c r="RHW554" s="178"/>
      <c r="RHX554" s="178"/>
      <c r="RHY554" s="178"/>
      <c r="RHZ554" s="178"/>
      <c r="RIA554" s="178"/>
      <c r="RIB554" s="178"/>
      <c r="RIC554" s="178"/>
      <c r="RID554" s="178"/>
      <c r="RIE554" s="178"/>
      <c r="RIF554" s="178"/>
      <c r="RIG554" s="178"/>
      <c r="RIH554" s="178"/>
      <c r="RII554" s="178"/>
      <c r="RIJ554" s="178"/>
      <c r="RIK554" s="178"/>
      <c r="RIL554" s="178"/>
      <c r="RIM554" s="178"/>
      <c r="RIN554" s="178"/>
      <c r="RIO554" s="178"/>
      <c r="RIP554" s="178"/>
      <c r="RIQ554" s="178"/>
      <c r="RIR554" s="178"/>
      <c r="RIS554" s="178"/>
      <c r="RIT554" s="178"/>
      <c r="RIU554" s="178"/>
      <c r="RIV554" s="178"/>
      <c r="RIW554" s="178"/>
      <c r="RIX554" s="178"/>
      <c r="RIY554" s="178"/>
      <c r="RIZ554" s="178"/>
      <c r="RJA554" s="178"/>
      <c r="RJB554" s="178"/>
      <c r="RJC554" s="178"/>
      <c r="RJD554" s="178"/>
      <c r="RJE554" s="178"/>
      <c r="RJF554" s="178"/>
      <c r="RJG554" s="178"/>
      <c r="RJH554" s="178"/>
      <c r="RJI554" s="178"/>
      <c r="RJJ554" s="178"/>
      <c r="RJK554" s="178"/>
      <c r="RJL554" s="178"/>
      <c r="RJM554" s="178"/>
      <c r="RJN554" s="178"/>
      <c r="RJO554" s="178"/>
      <c r="RJP554" s="178"/>
      <c r="RJQ554" s="178"/>
      <c r="RJR554" s="178"/>
      <c r="RJS554" s="178"/>
      <c r="RJT554" s="178"/>
      <c r="RJU554" s="178"/>
      <c r="RJV554" s="178"/>
      <c r="RJW554" s="178"/>
      <c r="RJX554" s="178"/>
      <c r="RJY554" s="178"/>
      <c r="RJZ554" s="178"/>
      <c r="RKA554" s="178"/>
      <c r="RKB554" s="178"/>
      <c r="RKC554" s="178"/>
      <c r="RKD554" s="178"/>
      <c r="RKE554" s="178"/>
      <c r="RKF554" s="178"/>
      <c r="RKG554" s="178"/>
      <c r="RKH554" s="178"/>
      <c r="RKI554" s="178"/>
      <c r="RKJ554" s="178"/>
      <c r="RKK554" s="178"/>
      <c r="RKL554" s="178"/>
      <c r="RKM554" s="178"/>
      <c r="RKN554" s="178"/>
      <c r="RKO554" s="178"/>
      <c r="RKP554" s="178"/>
      <c r="RKQ554" s="178"/>
      <c r="RKR554" s="178"/>
      <c r="RKS554" s="178"/>
      <c r="RKT554" s="178"/>
      <c r="RKU554" s="178"/>
      <c r="RKV554" s="178"/>
      <c r="RKW554" s="178"/>
      <c r="RKX554" s="178"/>
      <c r="RKY554" s="178"/>
      <c r="RKZ554" s="178"/>
      <c r="RLA554" s="178"/>
      <c r="RLB554" s="178"/>
      <c r="RLC554" s="178"/>
      <c r="RLD554" s="178"/>
      <c r="RLE554" s="178"/>
      <c r="RLF554" s="178"/>
      <c r="RLG554" s="178"/>
      <c r="RLH554" s="178"/>
      <c r="RLI554" s="178"/>
      <c r="RLJ554" s="178"/>
      <c r="RLK554" s="178"/>
      <c r="RLL554" s="178"/>
      <c r="RLM554" s="178"/>
      <c r="RLN554" s="178"/>
      <c r="RLO554" s="178"/>
      <c r="RLP554" s="178"/>
      <c r="RLQ554" s="178"/>
      <c r="RLR554" s="178"/>
      <c r="RLS554" s="178"/>
      <c r="RLT554" s="178"/>
      <c r="RLU554" s="178"/>
      <c r="RLV554" s="178"/>
      <c r="RLW554" s="178"/>
      <c r="RLX554" s="178"/>
      <c r="RLY554" s="178"/>
      <c r="RLZ554" s="178"/>
      <c r="RMA554" s="178"/>
      <c r="RMB554" s="178"/>
      <c r="RMC554" s="178"/>
      <c r="RMD554" s="178"/>
      <c r="RME554" s="178"/>
      <c r="RMF554" s="178"/>
      <c r="RMG554" s="178"/>
      <c r="RMH554" s="178"/>
      <c r="RMI554" s="178"/>
      <c r="RMJ554" s="178"/>
      <c r="RMK554" s="178"/>
      <c r="RML554" s="178"/>
      <c r="RMM554" s="178"/>
      <c r="RMN554" s="178"/>
      <c r="RMO554" s="178"/>
      <c r="RMP554" s="178"/>
      <c r="RMQ554" s="178"/>
      <c r="RMR554" s="178"/>
      <c r="RMS554" s="178"/>
      <c r="RMT554" s="178"/>
      <c r="RMU554" s="178"/>
      <c r="RMV554" s="178"/>
      <c r="RMW554" s="178"/>
      <c r="RMX554" s="178"/>
      <c r="RMY554" s="178"/>
      <c r="RMZ554" s="178"/>
      <c r="RNA554" s="178"/>
      <c r="RNB554" s="178"/>
      <c r="RNC554" s="178"/>
      <c r="RND554" s="178"/>
      <c r="RNE554" s="178"/>
      <c r="RNF554" s="178"/>
      <c r="RNG554" s="178"/>
      <c r="RNH554" s="178"/>
      <c r="RNI554" s="178"/>
      <c r="RNJ554" s="178"/>
      <c r="RNK554" s="178"/>
      <c r="RNL554" s="178"/>
      <c r="RNM554" s="178"/>
      <c r="RNN554" s="178"/>
      <c r="RNO554" s="178"/>
      <c r="RNP554" s="178"/>
      <c r="RNQ554" s="178"/>
      <c r="RNR554" s="178"/>
      <c r="RNS554" s="178"/>
      <c r="RNT554" s="178"/>
      <c r="RNU554" s="178"/>
      <c r="RNV554" s="178"/>
      <c r="RNW554" s="178"/>
      <c r="RNX554" s="178"/>
      <c r="RNY554" s="178"/>
      <c r="RNZ554" s="178"/>
      <c r="ROA554" s="178"/>
      <c r="ROB554" s="178"/>
      <c r="ROC554" s="178"/>
      <c r="ROD554" s="178"/>
      <c r="ROE554" s="178"/>
      <c r="ROF554" s="178"/>
      <c r="ROG554" s="178"/>
      <c r="ROH554" s="178"/>
      <c r="ROI554" s="178"/>
      <c r="ROJ554" s="178"/>
      <c r="ROK554" s="178"/>
      <c r="ROL554" s="178"/>
      <c r="ROM554" s="178"/>
      <c r="RON554" s="178"/>
      <c r="ROO554" s="178"/>
      <c r="ROP554" s="178"/>
      <c r="ROQ554" s="178"/>
      <c r="ROR554" s="178"/>
      <c r="ROS554" s="178"/>
      <c r="ROT554" s="178"/>
      <c r="ROU554" s="178"/>
      <c r="ROV554" s="178"/>
      <c r="ROW554" s="178"/>
      <c r="ROX554" s="178"/>
      <c r="ROY554" s="178"/>
      <c r="ROZ554" s="178"/>
      <c r="RPA554" s="178"/>
      <c r="RPB554" s="178"/>
      <c r="RPC554" s="178"/>
      <c r="RPD554" s="178"/>
      <c r="RPE554" s="178"/>
      <c r="RPF554" s="178"/>
      <c r="RPG554" s="178"/>
      <c r="RPH554" s="178"/>
      <c r="RPI554" s="178"/>
      <c r="RPJ554" s="178"/>
      <c r="RPK554" s="178"/>
      <c r="RPL554" s="178"/>
      <c r="RPM554" s="178"/>
      <c r="RPN554" s="178"/>
      <c r="RPO554" s="178"/>
      <c r="RPP554" s="178"/>
      <c r="RPQ554" s="178"/>
      <c r="RPR554" s="178"/>
      <c r="RPS554" s="178"/>
      <c r="RPT554" s="178"/>
      <c r="RPU554" s="178"/>
      <c r="RPV554" s="178"/>
      <c r="RPW554" s="178"/>
      <c r="RPX554" s="178"/>
      <c r="RPY554" s="178"/>
      <c r="RPZ554" s="178"/>
      <c r="RQA554" s="178"/>
      <c r="RQB554" s="178"/>
      <c r="RQC554" s="178"/>
      <c r="RQD554" s="178"/>
      <c r="RQE554" s="178"/>
      <c r="RQF554" s="178"/>
      <c r="RQG554" s="178"/>
      <c r="RQH554" s="178"/>
      <c r="RQI554" s="178"/>
      <c r="RQJ554" s="178"/>
      <c r="RQK554" s="178"/>
      <c r="RQL554" s="178"/>
      <c r="RQM554" s="178"/>
      <c r="RQN554" s="178"/>
      <c r="RQO554" s="178"/>
      <c r="RQP554" s="178"/>
      <c r="RQQ554" s="178"/>
      <c r="RQR554" s="178"/>
      <c r="RQS554" s="178"/>
      <c r="RQT554" s="178"/>
      <c r="RQU554" s="178"/>
      <c r="RQV554" s="178"/>
      <c r="RQW554" s="178"/>
      <c r="RQX554" s="178"/>
      <c r="RQY554" s="178"/>
      <c r="RQZ554" s="178"/>
      <c r="RRA554" s="178"/>
      <c r="RRB554" s="178"/>
      <c r="RRC554" s="178"/>
      <c r="RRD554" s="178"/>
      <c r="RRE554" s="178"/>
      <c r="RRF554" s="178"/>
      <c r="RRG554" s="178"/>
      <c r="RRH554" s="178"/>
      <c r="RRI554" s="178"/>
      <c r="RRJ554" s="178"/>
      <c r="RRK554" s="178"/>
      <c r="RRL554" s="178"/>
      <c r="RRM554" s="178"/>
      <c r="RRN554" s="178"/>
      <c r="RRO554" s="178"/>
      <c r="RRP554" s="178"/>
      <c r="RRQ554" s="178"/>
      <c r="RRR554" s="178"/>
      <c r="RRS554" s="178"/>
      <c r="RRT554" s="178"/>
      <c r="RRU554" s="178"/>
      <c r="RRV554" s="178"/>
      <c r="RRW554" s="178"/>
      <c r="RRX554" s="178"/>
      <c r="RRY554" s="178"/>
      <c r="RRZ554" s="178"/>
      <c r="RSA554" s="178"/>
      <c r="RSB554" s="178"/>
      <c r="RSC554" s="178"/>
      <c r="RSD554" s="178"/>
      <c r="RSE554" s="178"/>
      <c r="RSF554" s="178"/>
      <c r="RSG554" s="178"/>
      <c r="RSH554" s="178"/>
      <c r="RSI554" s="178"/>
      <c r="RSJ554" s="178"/>
      <c r="RSK554" s="178"/>
      <c r="RSL554" s="178"/>
      <c r="RSM554" s="178"/>
      <c r="RSN554" s="178"/>
      <c r="RSO554" s="178"/>
      <c r="RSP554" s="178"/>
      <c r="RSQ554" s="178"/>
      <c r="RSR554" s="178"/>
      <c r="RSS554" s="178"/>
      <c r="RST554" s="178"/>
      <c r="RSU554" s="178"/>
      <c r="RSV554" s="178"/>
      <c r="RSW554" s="178"/>
      <c r="RSX554" s="178"/>
      <c r="RSY554" s="178"/>
      <c r="RSZ554" s="178"/>
      <c r="RTA554" s="178"/>
      <c r="RTB554" s="178"/>
      <c r="RTC554" s="178"/>
      <c r="RTD554" s="178"/>
      <c r="RTE554" s="178"/>
      <c r="RTF554" s="178"/>
      <c r="RTG554" s="178"/>
      <c r="RTH554" s="178"/>
      <c r="RTI554" s="178"/>
      <c r="RTJ554" s="178"/>
      <c r="RTK554" s="178"/>
      <c r="RTL554" s="178"/>
      <c r="RTM554" s="178"/>
      <c r="RTN554" s="178"/>
      <c r="RTO554" s="178"/>
      <c r="RTP554" s="178"/>
      <c r="RTQ554" s="178"/>
      <c r="RTR554" s="178"/>
      <c r="RTS554" s="178"/>
      <c r="RTT554" s="178"/>
      <c r="RTU554" s="178"/>
      <c r="RTV554" s="178"/>
      <c r="RTW554" s="178"/>
      <c r="RTX554" s="178"/>
      <c r="RTY554" s="178"/>
      <c r="RTZ554" s="178"/>
      <c r="RUA554" s="178"/>
      <c r="RUB554" s="178"/>
      <c r="RUC554" s="178"/>
      <c r="RUD554" s="178"/>
      <c r="RUE554" s="178"/>
      <c r="RUF554" s="178"/>
      <c r="RUG554" s="178"/>
      <c r="RUH554" s="178"/>
      <c r="RUI554" s="178"/>
      <c r="RUJ554" s="178"/>
      <c r="RUK554" s="178"/>
      <c r="RUL554" s="178"/>
      <c r="RUM554" s="178"/>
      <c r="RUN554" s="178"/>
      <c r="RUO554" s="178"/>
      <c r="RUP554" s="178"/>
      <c r="RUQ554" s="178"/>
      <c r="RUR554" s="178"/>
      <c r="RUS554" s="178"/>
      <c r="RUT554" s="178"/>
      <c r="RUU554" s="178"/>
      <c r="RUV554" s="178"/>
      <c r="RUW554" s="178"/>
      <c r="RUX554" s="178"/>
      <c r="RUY554" s="178"/>
      <c r="RUZ554" s="178"/>
      <c r="RVA554" s="178"/>
      <c r="RVB554" s="178"/>
      <c r="RVC554" s="178"/>
      <c r="RVD554" s="178"/>
      <c r="RVE554" s="178"/>
      <c r="RVF554" s="178"/>
      <c r="RVG554" s="178"/>
      <c r="RVH554" s="178"/>
      <c r="RVI554" s="178"/>
      <c r="RVJ554" s="178"/>
      <c r="RVK554" s="178"/>
      <c r="RVL554" s="178"/>
      <c r="RVM554" s="178"/>
      <c r="RVN554" s="178"/>
      <c r="RVO554" s="178"/>
      <c r="RVP554" s="178"/>
      <c r="RVQ554" s="178"/>
      <c r="RVR554" s="178"/>
      <c r="RVS554" s="178"/>
      <c r="RVT554" s="178"/>
      <c r="RVU554" s="178"/>
      <c r="RVV554" s="178"/>
      <c r="RVW554" s="178"/>
      <c r="RVX554" s="178"/>
      <c r="RVY554" s="178"/>
      <c r="RVZ554" s="178"/>
      <c r="RWA554" s="178"/>
      <c r="RWB554" s="178"/>
      <c r="RWC554" s="178"/>
      <c r="RWD554" s="178"/>
      <c r="RWE554" s="178"/>
      <c r="RWF554" s="178"/>
      <c r="RWG554" s="178"/>
      <c r="RWH554" s="178"/>
      <c r="RWI554" s="178"/>
      <c r="RWJ554" s="178"/>
      <c r="RWK554" s="178"/>
      <c r="RWL554" s="178"/>
      <c r="RWM554" s="178"/>
      <c r="RWN554" s="178"/>
      <c r="RWO554" s="178"/>
      <c r="RWP554" s="178"/>
      <c r="RWQ554" s="178"/>
      <c r="RWR554" s="178"/>
      <c r="RWS554" s="178"/>
      <c r="RWT554" s="178"/>
      <c r="RWU554" s="178"/>
      <c r="RWV554" s="178"/>
      <c r="RWW554" s="178"/>
      <c r="RWX554" s="178"/>
      <c r="RWY554" s="178"/>
      <c r="RWZ554" s="178"/>
      <c r="RXA554" s="178"/>
      <c r="RXB554" s="178"/>
      <c r="RXC554" s="178"/>
      <c r="RXD554" s="178"/>
      <c r="RXE554" s="178"/>
      <c r="RXF554" s="178"/>
      <c r="RXG554" s="178"/>
      <c r="RXH554" s="178"/>
      <c r="RXI554" s="178"/>
      <c r="RXJ554" s="178"/>
      <c r="RXK554" s="178"/>
      <c r="RXL554" s="178"/>
      <c r="RXM554" s="178"/>
      <c r="RXN554" s="178"/>
      <c r="RXO554" s="178"/>
      <c r="RXP554" s="178"/>
      <c r="RXQ554" s="178"/>
      <c r="RXR554" s="178"/>
      <c r="RXS554" s="178"/>
      <c r="RXT554" s="178"/>
      <c r="RXU554" s="178"/>
      <c r="RXV554" s="178"/>
      <c r="RXW554" s="178"/>
      <c r="RXX554" s="178"/>
      <c r="RXY554" s="178"/>
      <c r="RXZ554" s="178"/>
      <c r="RYA554" s="178"/>
      <c r="RYB554" s="178"/>
      <c r="RYC554" s="178"/>
      <c r="RYD554" s="178"/>
      <c r="RYE554" s="178"/>
      <c r="RYF554" s="178"/>
      <c r="RYG554" s="178"/>
      <c r="RYH554" s="178"/>
      <c r="RYI554" s="178"/>
      <c r="RYJ554" s="178"/>
      <c r="RYK554" s="178"/>
      <c r="RYL554" s="178"/>
      <c r="RYM554" s="178"/>
      <c r="RYN554" s="178"/>
      <c r="RYO554" s="178"/>
      <c r="RYP554" s="178"/>
      <c r="RYQ554" s="178"/>
      <c r="RYR554" s="178"/>
      <c r="RYS554" s="178"/>
      <c r="RYT554" s="178"/>
      <c r="RYU554" s="178"/>
      <c r="RYV554" s="178"/>
      <c r="RYW554" s="178"/>
      <c r="RYX554" s="178"/>
      <c r="RYY554" s="178"/>
      <c r="RYZ554" s="178"/>
      <c r="RZA554" s="178"/>
      <c r="RZB554" s="178"/>
      <c r="RZC554" s="178"/>
      <c r="RZD554" s="178"/>
      <c r="RZE554" s="178"/>
      <c r="RZF554" s="178"/>
      <c r="RZG554" s="178"/>
      <c r="RZH554" s="178"/>
      <c r="RZI554" s="178"/>
      <c r="RZJ554" s="178"/>
      <c r="RZK554" s="178"/>
      <c r="RZL554" s="178"/>
      <c r="RZM554" s="178"/>
      <c r="RZN554" s="178"/>
      <c r="RZO554" s="178"/>
      <c r="RZP554" s="178"/>
      <c r="RZQ554" s="178"/>
      <c r="RZR554" s="178"/>
      <c r="RZS554" s="178"/>
      <c r="RZT554" s="178"/>
      <c r="RZU554" s="178"/>
      <c r="RZV554" s="178"/>
      <c r="RZW554" s="178"/>
      <c r="RZX554" s="178"/>
      <c r="RZY554" s="178"/>
      <c r="RZZ554" s="178"/>
      <c r="SAA554" s="178"/>
      <c r="SAB554" s="178"/>
      <c r="SAC554" s="178"/>
      <c r="SAD554" s="178"/>
      <c r="SAE554" s="178"/>
      <c r="SAF554" s="178"/>
      <c r="SAG554" s="178"/>
      <c r="SAH554" s="178"/>
      <c r="SAI554" s="178"/>
      <c r="SAJ554" s="178"/>
      <c r="SAK554" s="178"/>
      <c r="SAL554" s="178"/>
      <c r="SAM554" s="178"/>
      <c r="SAN554" s="178"/>
      <c r="SAO554" s="178"/>
      <c r="SAP554" s="178"/>
      <c r="SAQ554" s="178"/>
      <c r="SAR554" s="178"/>
      <c r="SAS554" s="178"/>
      <c r="SAT554" s="178"/>
      <c r="SAU554" s="178"/>
      <c r="SAV554" s="178"/>
      <c r="SAW554" s="178"/>
      <c r="SAX554" s="178"/>
      <c r="SAY554" s="178"/>
      <c r="SAZ554" s="178"/>
      <c r="SBA554" s="178"/>
      <c r="SBB554" s="178"/>
      <c r="SBC554" s="178"/>
      <c r="SBD554" s="178"/>
      <c r="SBE554" s="178"/>
      <c r="SBF554" s="178"/>
      <c r="SBG554" s="178"/>
      <c r="SBH554" s="178"/>
      <c r="SBI554" s="178"/>
      <c r="SBJ554" s="178"/>
      <c r="SBK554" s="178"/>
      <c r="SBL554" s="178"/>
      <c r="SBM554" s="178"/>
      <c r="SBN554" s="178"/>
      <c r="SBO554" s="178"/>
      <c r="SBP554" s="178"/>
      <c r="SBQ554" s="178"/>
      <c r="SBR554" s="178"/>
      <c r="SBS554" s="178"/>
      <c r="SBT554" s="178"/>
      <c r="SBU554" s="178"/>
      <c r="SBV554" s="178"/>
      <c r="SBW554" s="178"/>
      <c r="SBX554" s="178"/>
      <c r="SBY554" s="178"/>
      <c r="SBZ554" s="178"/>
      <c r="SCA554" s="178"/>
      <c r="SCB554" s="178"/>
      <c r="SCC554" s="178"/>
      <c r="SCD554" s="178"/>
      <c r="SCE554" s="178"/>
      <c r="SCF554" s="178"/>
      <c r="SCG554" s="178"/>
      <c r="SCH554" s="178"/>
      <c r="SCI554" s="178"/>
      <c r="SCJ554" s="178"/>
      <c r="SCK554" s="178"/>
      <c r="SCL554" s="178"/>
      <c r="SCM554" s="178"/>
      <c r="SCN554" s="178"/>
      <c r="SCO554" s="178"/>
      <c r="SCP554" s="178"/>
      <c r="SCQ554" s="178"/>
      <c r="SCR554" s="178"/>
      <c r="SCS554" s="178"/>
      <c r="SCT554" s="178"/>
      <c r="SCU554" s="178"/>
      <c r="SCV554" s="178"/>
      <c r="SCW554" s="178"/>
      <c r="SCX554" s="178"/>
      <c r="SCY554" s="178"/>
      <c r="SCZ554" s="178"/>
      <c r="SDA554" s="178"/>
      <c r="SDB554" s="178"/>
      <c r="SDC554" s="178"/>
      <c r="SDD554" s="178"/>
      <c r="SDE554" s="178"/>
      <c r="SDF554" s="178"/>
      <c r="SDG554" s="178"/>
      <c r="SDH554" s="178"/>
      <c r="SDI554" s="178"/>
      <c r="SDJ554" s="178"/>
      <c r="SDK554" s="178"/>
      <c r="SDL554" s="178"/>
      <c r="SDM554" s="178"/>
      <c r="SDN554" s="178"/>
      <c r="SDO554" s="178"/>
      <c r="SDP554" s="178"/>
      <c r="SDQ554" s="178"/>
      <c r="SDR554" s="178"/>
      <c r="SDS554" s="178"/>
      <c r="SDT554" s="178"/>
      <c r="SDU554" s="178"/>
      <c r="SDV554" s="178"/>
      <c r="SDW554" s="178"/>
      <c r="SDX554" s="178"/>
      <c r="SDY554" s="178"/>
      <c r="SDZ554" s="178"/>
      <c r="SEA554" s="178"/>
      <c r="SEB554" s="178"/>
      <c r="SEC554" s="178"/>
      <c r="SED554" s="178"/>
      <c r="SEE554" s="178"/>
      <c r="SEF554" s="178"/>
      <c r="SEG554" s="178"/>
      <c r="SEH554" s="178"/>
      <c r="SEI554" s="178"/>
      <c r="SEJ554" s="178"/>
      <c r="SEK554" s="178"/>
      <c r="SEL554" s="178"/>
      <c r="SEM554" s="178"/>
      <c r="SEN554" s="178"/>
      <c r="SEO554" s="178"/>
      <c r="SEP554" s="178"/>
      <c r="SEQ554" s="178"/>
      <c r="SER554" s="178"/>
      <c r="SES554" s="178"/>
      <c r="SET554" s="178"/>
      <c r="SEU554" s="178"/>
      <c r="SEV554" s="178"/>
      <c r="SEW554" s="178"/>
      <c r="SEX554" s="178"/>
      <c r="SEY554" s="178"/>
      <c r="SEZ554" s="178"/>
      <c r="SFA554" s="178"/>
      <c r="SFB554" s="178"/>
      <c r="SFC554" s="178"/>
      <c r="SFD554" s="178"/>
      <c r="SFE554" s="178"/>
      <c r="SFF554" s="178"/>
      <c r="SFG554" s="178"/>
      <c r="SFH554" s="178"/>
      <c r="SFI554" s="178"/>
      <c r="SFJ554" s="178"/>
      <c r="SFK554" s="178"/>
      <c r="SFL554" s="178"/>
      <c r="SFM554" s="178"/>
      <c r="SFN554" s="178"/>
      <c r="SFO554" s="178"/>
      <c r="SFP554" s="178"/>
      <c r="SFQ554" s="178"/>
      <c r="SFR554" s="178"/>
      <c r="SFS554" s="178"/>
      <c r="SFT554" s="178"/>
      <c r="SFU554" s="178"/>
      <c r="SFV554" s="178"/>
      <c r="SFW554" s="178"/>
      <c r="SFX554" s="178"/>
      <c r="SFY554" s="178"/>
      <c r="SFZ554" s="178"/>
      <c r="SGA554" s="178"/>
      <c r="SGB554" s="178"/>
      <c r="SGC554" s="178"/>
      <c r="SGD554" s="178"/>
      <c r="SGE554" s="178"/>
      <c r="SGF554" s="178"/>
      <c r="SGG554" s="178"/>
      <c r="SGH554" s="178"/>
      <c r="SGI554" s="178"/>
      <c r="SGJ554" s="178"/>
      <c r="SGK554" s="178"/>
      <c r="SGL554" s="178"/>
      <c r="SGM554" s="178"/>
      <c r="SGN554" s="178"/>
      <c r="SGO554" s="178"/>
      <c r="SGP554" s="178"/>
      <c r="SGQ554" s="178"/>
      <c r="SGR554" s="178"/>
      <c r="SGS554" s="178"/>
      <c r="SGT554" s="178"/>
      <c r="SGU554" s="178"/>
      <c r="SGV554" s="178"/>
      <c r="SGW554" s="178"/>
      <c r="SGX554" s="178"/>
      <c r="SGY554" s="178"/>
      <c r="SGZ554" s="178"/>
      <c r="SHA554" s="178"/>
      <c r="SHB554" s="178"/>
      <c r="SHC554" s="178"/>
      <c r="SHD554" s="178"/>
      <c r="SHE554" s="178"/>
      <c r="SHF554" s="178"/>
      <c r="SHG554" s="178"/>
      <c r="SHH554" s="178"/>
      <c r="SHI554" s="178"/>
      <c r="SHJ554" s="178"/>
      <c r="SHK554" s="178"/>
      <c r="SHL554" s="178"/>
      <c r="SHM554" s="178"/>
      <c r="SHN554" s="178"/>
      <c r="SHO554" s="178"/>
      <c r="SHP554" s="178"/>
      <c r="SHQ554" s="178"/>
      <c r="SHR554" s="178"/>
      <c r="SHS554" s="178"/>
      <c r="SHT554" s="178"/>
      <c r="SHU554" s="178"/>
      <c r="SHV554" s="178"/>
      <c r="SHW554" s="178"/>
      <c r="SHX554" s="178"/>
      <c r="SHY554" s="178"/>
      <c r="SHZ554" s="178"/>
      <c r="SIA554" s="178"/>
      <c r="SIB554" s="178"/>
      <c r="SIC554" s="178"/>
      <c r="SID554" s="178"/>
      <c r="SIE554" s="178"/>
      <c r="SIF554" s="178"/>
      <c r="SIG554" s="178"/>
      <c r="SIH554" s="178"/>
      <c r="SII554" s="178"/>
      <c r="SIJ554" s="178"/>
      <c r="SIK554" s="178"/>
      <c r="SIL554" s="178"/>
      <c r="SIM554" s="178"/>
      <c r="SIN554" s="178"/>
      <c r="SIO554" s="178"/>
      <c r="SIP554" s="178"/>
      <c r="SIQ554" s="178"/>
      <c r="SIR554" s="178"/>
      <c r="SIS554" s="178"/>
      <c r="SIT554" s="178"/>
      <c r="SIU554" s="178"/>
      <c r="SIV554" s="178"/>
      <c r="SIW554" s="178"/>
      <c r="SIX554" s="178"/>
      <c r="SIY554" s="178"/>
      <c r="SIZ554" s="178"/>
      <c r="SJA554" s="178"/>
      <c r="SJB554" s="178"/>
      <c r="SJC554" s="178"/>
      <c r="SJD554" s="178"/>
      <c r="SJE554" s="178"/>
      <c r="SJF554" s="178"/>
      <c r="SJG554" s="178"/>
      <c r="SJH554" s="178"/>
      <c r="SJI554" s="178"/>
      <c r="SJJ554" s="178"/>
      <c r="SJK554" s="178"/>
      <c r="SJL554" s="178"/>
      <c r="SJM554" s="178"/>
      <c r="SJN554" s="178"/>
      <c r="SJO554" s="178"/>
      <c r="SJP554" s="178"/>
      <c r="SJQ554" s="178"/>
      <c r="SJR554" s="178"/>
      <c r="SJS554" s="178"/>
      <c r="SJT554" s="178"/>
      <c r="SJU554" s="178"/>
      <c r="SJV554" s="178"/>
      <c r="SJW554" s="178"/>
      <c r="SJX554" s="178"/>
      <c r="SJY554" s="178"/>
      <c r="SJZ554" s="178"/>
      <c r="SKA554" s="178"/>
      <c r="SKB554" s="178"/>
      <c r="SKC554" s="178"/>
      <c r="SKD554" s="178"/>
      <c r="SKE554" s="178"/>
      <c r="SKF554" s="178"/>
      <c r="SKG554" s="178"/>
      <c r="SKH554" s="178"/>
      <c r="SKI554" s="178"/>
      <c r="SKJ554" s="178"/>
      <c r="SKK554" s="178"/>
      <c r="SKL554" s="178"/>
      <c r="SKM554" s="178"/>
      <c r="SKN554" s="178"/>
      <c r="SKO554" s="178"/>
      <c r="SKP554" s="178"/>
      <c r="SKQ554" s="178"/>
      <c r="SKR554" s="178"/>
      <c r="SKS554" s="178"/>
      <c r="SKT554" s="178"/>
      <c r="SKU554" s="178"/>
      <c r="SKV554" s="178"/>
      <c r="SKW554" s="178"/>
      <c r="SKX554" s="178"/>
      <c r="SKY554" s="178"/>
      <c r="SKZ554" s="178"/>
      <c r="SLA554" s="178"/>
      <c r="SLB554" s="178"/>
      <c r="SLC554" s="178"/>
      <c r="SLD554" s="178"/>
      <c r="SLE554" s="178"/>
      <c r="SLF554" s="178"/>
      <c r="SLG554" s="178"/>
      <c r="SLH554" s="178"/>
      <c r="SLI554" s="178"/>
      <c r="SLJ554" s="178"/>
      <c r="SLK554" s="178"/>
      <c r="SLL554" s="178"/>
      <c r="SLM554" s="178"/>
      <c r="SLN554" s="178"/>
      <c r="SLO554" s="178"/>
      <c r="SLP554" s="178"/>
      <c r="SLQ554" s="178"/>
      <c r="SLR554" s="178"/>
      <c r="SLS554" s="178"/>
      <c r="SLT554" s="178"/>
      <c r="SLU554" s="178"/>
      <c r="SLV554" s="178"/>
      <c r="SLW554" s="178"/>
      <c r="SLX554" s="178"/>
      <c r="SLY554" s="178"/>
      <c r="SLZ554" s="178"/>
      <c r="SMA554" s="178"/>
      <c r="SMB554" s="178"/>
      <c r="SMC554" s="178"/>
      <c r="SMD554" s="178"/>
      <c r="SME554" s="178"/>
      <c r="SMF554" s="178"/>
      <c r="SMG554" s="178"/>
      <c r="SMH554" s="178"/>
      <c r="SMI554" s="178"/>
      <c r="SMJ554" s="178"/>
      <c r="SMK554" s="178"/>
      <c r="SML554" s="178"/>
      <c r="SMM554" s="178"/>
      <c r="SMN554" s="178"/>
      <c r="SMO554" s="178"/>
      <c r="SMP554" s="178"/>
      <c r="SMQ554" s="178"/>
      <c r="SMR554" s="178"/>
      <c r="SMS554" s="178"/>
      <c r="SMT554" s="178"/>
      <c r="SMU554" s="178"/>
      <c r="SMV554" s="178"/>
      <c r="SMW554" s="178"/>
      <c r="SMX554" s="178"/>
      <c r="SMY554" s="178"/>
      <c r="SMZ554" s="178"/>
      <c r="SNA554" s="178"/>
      <c r="SNB554" s="178"/>
      <c r="SNC554" s="178"/>
      <c r="SND554" s="178"/>
      <c r="SNE554" s="178"/>
      <c r="SNF554" s="178"/>
      <c r="SNG554" s="178"/>
      <c r="SNH554" s="178"/>
      <c r="SNI554" s="178"/>
      <c r="SNJ554" s="178"/>
      <c r="SNK554" s="178"/>
      <c r="SNL554" s="178"/>
      <c r="SNM554" s="178"/>
      <c r="SNN554" s="178"/>
      <c r="SNO554" s="178"/>
      <c r="SNP554" s="178"/>
      <c r="SNQ554" s="178"/>
      <c r="SNR554" s="178"/>
      <c r="SNS554" s="178"/>
      <c r="SNT554" s="178"/>
      <c r="SNU554" s="178"/>
      <c r="SNV554" s="178"/>
      <c r="SNW554" s="178"/>
      <c r="SNX554" s="178"/>
      <c r="SNY554" s="178"/>
      <c r="SNZ554" s="178"/>
      <c r="SOA554" s="178"/>
      <c r="SOB554" s="178"/>
      <c r="SOC554" s="178"/>
      <c r="SOD554" s="178"/>
      <c r="SOE554" s="178"/>
      <c r="SOF554" s="178"/>
      <c r="SOG554" s="178"/>
      <c r="SOH554" s="178"/>
      <c r="SOI554" s="178"/>
      <c r="SOJ554" s="178"/>
      <c r="SOK554" s="178"/>
      <c r="SOL554" s="178"/>
      <c r="SOM554" s="178"/>
      <c r="SON554" s="178"/>
      <c r="SOO554" s="178"/>
      <c r="SOP554" s="178"/>
      <c r="SOQ554" s="178"/>
      <c r="SOR554" s="178"/>
      <c r="SOS554" s="178"/>
      <c r="SOT554" s="178"/>
      <c r="SOU554" s="178"/>
      <c r="SOV554" s="178"/>
      <c r="SOW554" s="178"/>
      <c r="SOX554" s="178"/>
      <c r="SOY554" s="178"/>
      <c r="SOZ554" s="178"/>
      <c r="SPA554" s="178"/>
      <c r="SPB554" s="178"/>
      <c r="SPC554" s="178"/>
      <c r="SPD554" s="178"/>
      <c r="SPE554" s="178"/>
      <c r="SPF554" s="178"/>
      <c r="SPG554" s="178"/>
      <c r="SPH554" s="178"/>
      <c r="SPI554" s="178"/>
      <c r="SPJ554" s="178"/>
      <c r="SPK554" s="178"/>
      <c r="SPL554" s="178"/>
      <c r="SPM554" s="178"/>
      <c r="SPN554" s="178"/>
      <c r="SPO554" s="178"/>
      <c r="SPP554" s="178"/>
      <c r="SPQ554" s="178"/>
      <c r="SPR554" s="178"/>
      <c r="SPS554" s="178"/>
      <c r="SPT554" s="178"/>
      <c r="SPU554" s="178"/>
      <c r="SPV554" s="178"/>
      <c r="SPW554" s="178"/>
      <c r="SPX554" s="178"/>
      <c r="SPY554" s="178"/>
      <c r="SPZ554" s="178"/>
      <c r="SQA554" s="178"/>
      <c r="SQB554" s="178"/>
      <c r="SQC554" s="178"/>
      <c r="SQD554" s="178"/>
      <c r="SQE554" s="178"/>
      <c r="SQF554" s="178"/>
      <c r="SQG554" s="178"/>
      <c r="SQH554" s="178"/>
      <c r="SQI554" s="178"/>
      <c r="SQJ554" s="178"/>
      <c r="SQK554" s="178"/>
      <c r="SQL554" s="178"/>
      <c r="SQM554" s="178"/>
      <c r="SQN554" s="178"/>
      <c r="SQO554" s="178"/>
      <c r="SQP554" s="178"/>
      <c r="SQQ554" s="178"/>
      <c r="SQR554" s="178"/>
      <c r="SQS554" s="178"/>
      <c r="SQT554" s="178"/>
      <c r="SQU554" s="178"/>
      <c r="SQV554" s="178"/>
      <c r="SQW554" s="178"/>
      <c r="SQX554" s="178"/>
      <c r="SQY554" s="178"/>
      <c r="SQZ554" s="178"/>
      <c r="SRA554" s="178"/>
      <c r="SRB554" s="178"/>
      <c r="SRC554" s="178"/>
      <c r="SRD554" s="178"/>
      <c r="SRE554" s="178"/>
      <c r="SRF554" s="178"/>
      <c r="SRG554" s="178"/>
      <c r="SRH554" s="178"/>
      <c r="SRI554" s="178"/>
      <c r="SRJ554" s="178"/>
      <c r="SRK554" s="178"/>
      <c r="SRL554" s="178"/>
      <c r="SRM554" s="178"/>
      <c r="SRN554" s="178"/>
      <c r="SRO554" s="178"/>
      <c r="SRP554" s="178"/>
      <c r="SRQ554" s="178"/>
      <c r="SRR554" s="178"/>
      <c r="SRS554" s="178"/>
      <c r="SRT554" s="178"/>
      <c r="SRU554" s="178"/>
      <c r="SRV554" s="178"/>
      <c r="SRW554" s="178"/>
      <c r="SRX554" s="178"/>
      <c r="SRY554" s="178"/>
      <c r="SRZ554" s="178"/>
      <c r="SSA554" s="178"/>
      <c r="SSB554" s="178"/>
      <c r="SSC554" s="178"/>
      <c r="SSD554" s="178"/>
      <c r="SSE554" s="178"/>
      <c r="SSF554" s="178"/>
      <c r="SSG554" s="178"/>
      <c r="SSH554" s="178"/>
      <c r="SSI554" s="178"/>
      <c r="SSJ554" s="178"/>
      <c r="SSK554" s="178"/>
      <c r="SSL554" s="178"/>
      <c r="SSM554" s="178"/>
      <c r="SSN554" s="178"/>
      <c r="SSO554" s="178"/>
      <c r="SSP554" s="178"/>
      <c r="SSQ554" s="178"/>
      <c r="SSR554" s="178"/>
      <c r="SSS554" s="178"/>
      <c r="SST554" s="178"/>
      <c r="SSU554" s="178"/>
      <c r="SSV554" s="178"/>
      <c r="SSW554" s="178"/>
      <c r="SSX554" s="178"/>
      <c r="SSY554" s="178"/>
      <c r="SSZ554" s="178"/>
      <c r="STA554" s="178"/>
      <c r="STB554" s="178"/>
      <c r="STC554" s="178"/>
      <c r="STD554" s="178"/>
      <c r="STE554" s="178"/>
      <c r="STF554" s="178"/>
      <c r="STG554" s="178"/>
      <c r="STH554" s="178"/>
      <c r="STI554" s="178"/>
      <c r="STJ554" s="178"/>
      <c r="STK554" s="178"/>
      <c r="STL554" s="178"/>
      <c r="STM554" s="178"/>
      <c r="STN554" s="178"/>
      <c r="STO554" s="178"/>
      <c r="STP554" s="178"/>
      <c r="STQ554" s="178"/>
      <c r="STR554" s="178"/>
      <c r="STS554" s="178"/>
      <c r="STT554" s="178"/>
      <c r="STU554" s="178"/>
      <c r="STV554" s="178"/>
      <c r="STW554" s="178"/>
      <c r="STX554" s="178"/>
      <c r="STY554" s="178"/>
      <c r="STZ554" s="178"/>
      <c r="SUA554" s="178"/>
      <c r="SUB554" s="178"/>
      <c r="SUC554" s="178"/>
      <c r="SUD554" s="178"/>
      <c r="SUE554" s="178"/>
      <c r="SUF554" s="178"/>
      <c r="SUG554" s="178"/>
      <c r="SUH554" s="178"/>
      <c r="SUI554" s="178"/>
      <c r="SUJ554" s="178"/>
      <c r="SUK554" s="178"/>
      <c r="SUL554" s="178"/>
      <c r="SUM554" s="178"/>
      <c r="SUN554" s="178"/>
      <c r="SUO554" s="178"/>
      <c r="SUP554" s="178"/>
      <c r="SUQ554" s="178"/>
      <c r="SUR554" s="178"/>
      <c r="SUS554" s="178"/>
      <c r="SUT554" s="178"/>
      <c r="SUU554" s="178"/>
      <c r="SUV554" s="178"/>
      <c r="SUW554" s="178"/>
      <c r="SUX554" s="178"/>
      <c r="SUY554" s="178"/>
      <c r="SUZ554" s="178"/>
      <c r="SVA554" s="178"/>
      <c r="SVB554" s="178"/>
      <c r="SVC554" s="178"/>
      <c r="SVD554" s="178"/>
      <c r="SVE554" s="178"/>
      <c r="SVF554" s="178"/>
      <c r="SVG554" s="178"/>
      <c r="SVH554" s="178"/>
      <c r="SVI554" s="178"/>
      <c r="SVJ554" s="178"/>
      <c r="SVK554" s="178"/>
      <c r="SVL554" s="178"/>
      <c r="SVM554" s="178"/>
      <c r="SVN554" s="178"/>
      <c r="SVO554" s="178"/>
      <c r="SVP554" s="178"/>
      <c r="SVQ554" s="178"/>
      <c r="SVR554" s="178"/>
      <c r="SVS554" s="178"/>
      <c r="SVT554" s="178"/>
      <c r="SVU554" s="178"/>
      <c r="SVV554" s="178"/>
      <c r="SVW554" s="178"/>
      <c r="SVX554" s="178"/>
      <c r="SVY554" s="178"/>
      <c r="SVZ554" s="178"/>
      <c r="SWA554" s="178"/>
      <c r="SWB554" s="178"/>
      <c r="SWC554" s="178"/>
      <c r="SWD554" s="178"/>
      <c r="SWE554" s="178"/>
      <c r="SWF554" s="178"/>
      <c r="SWG554" s="178"/>
      <c r="SWH554" s="178"/>
      <c r="SWI554" s="178"/>
      <c r="SWJ554" s="178"/>
      <c r="SWK554" s="178"/>
      <c r="SWL554" s="178"/>
      <c r="SWM554" s="178"/>
      <c r="SWN554" s="178"/>
      <c r="SWO554" s="178"/>
      <c r="SWP554" s="178"/>
      <c r="SWQ554" s="178"/>
      <c r="SWR554" s="178"/>
      <c r="SWS554" s="178"/>
      <c r="SWT554" s="178"/>
      <c r="SWU554" s="178"/>
      <c r="SWV554" s="178"/>
      <c r="SWW554" s="178"/>
      <c r="SWX554" s="178"/>
      <c r="SWY554" s="178"/>
      <c r="SWZ554" s="178"/>
      <c r="SXA554" s="178"/>
      <c r="SXB554" s="178"/>
      <c r="SXC554" s="178"/>
      <c r="SXD554" s="178"/>
      <c r="SXE554" s="178"/>
      <c r="SXF554" s="178"/>
      <c r="SXG554" s="178"/>
      <c r="SXH554" s="178"/>
      <c r="SXI554" s="178"/>
      <c r="SXJ554" s="178"/>
      <c r="SXK554" s="178"/>
      <c r="SXL554" s="178"/>
      <c r="SXM554" s="178"/>
      <c r="SXN554" s="178"/>
      <c r="SXO554" s="178"/>
      <c r="SXP554" s="178"/>
      <c r="SXQ554" s="178"/>
      <c r="SXR554" s="178"/>
      <c r="SXS554" s="178"/>
      <c r="SXT554" s="178"/>
      <c r="SXU554" s="178"/>
      <c r="SXV554" s="178"/>
      <c r="SXW554" s="178"/>
      <c r="SXX554" s="178"/>
      <c r="SXY554" s="178"/>
      <c r="SXZ554" s="178"/>
      <c r="SYA554" s="178"/>
      <c r="SYB554" s="178"/>
      <c r="SYC554" s="178"/>
      <c r="SYD554" s="178"/>
      <c r="SYE554" s="178"/>
      <c r="SYF554" s="178"/>
      <c r="SYG554" s="178"/>
      <c r="SYH554" s="178"/>
      <c r="SYI554" s="178"/>
      <c r="SYJ554" s="178"/>
      <c r="SYK554" s="178"/>
      <c r="SYL554" s="178"/>
      <c r="SYM554" s="178"/>
      <c r="SYN554" s="178"/>
      <c r="SYO554" s="178"/>
      <c r="SYP554" s="178"/>
      <c r="SYQ554" s="178"/>
      <c r="SYR554" s="178"/>
      <c r="SYS554" s="178"/>
      <c r="SYT554" s="178"/>
      <c r="SYU554" s="178"/>
      <c r="SYV554" s="178"/>
      <c r="SYW554" s="178"/>
      <c r="SYX554" s="178"/>
      <c r="SYY554" s="178"/>
      <c r="SYZ554" s="178"/>
      <c r="SZA554" s="178"/>
      <c r="SZB554" s="178"/>
      <c r="SZC554" s="178"/>
      <c r="SZD554" s="178"/>
      <c r="SZE554" s="178"/>
      <c r="SZF554" s="178"/>
      <c r="SZG554" s="178"/>
      <c r="SZH554" s="178"/>
      <c r="SZI554" s="178"/>
      <c r="SZJ554" s="178"/>
      <c r="SZK554" s="178"/>
      <c r="SZL554" s="178"/>
      <c r="SZM554" s="178"/>
      <c r="SZN554" s="178"/>
      <c r="SZO554" s="178"/>
      <c r="SZP554" s="178"/>
      <c r="SZQ554" s="178"/>
      <c r="SZR554" s="178"/>
      <c r="SZS554" s="178"/>
      <c r="SZT554" s="178"/>
      <c r="SZU554" s="178"/>
      <c r="SZV554" s="178"/>
      <c r="SZW554" s="178"/>
      <c r="SZX554" s="178"/>
      <c r="SZY554" s="178"/>
      <c r="SZZ554" s="178"/>
      <c r="TAA554" s="178"/>
      <c r="TAB554" s="178"/>
      <c r="TAC554" s="178"/>
      <c r="TAD554" s="178"/>
      <c r="TAE554" s="178"/>
      <c r="TAF554" s="178"/>
      <c r="TAG554" s="178"/>
      <c r="TAH554" s="178"/>
      <c r="TAI554" s="178"/>
      <c r="TAJ554" s="178"/>
      <c r="TAK554" s="178"/>
      <c r="TAL554" s="178"/>
      <c r="TAM554" s="178"/>
      <c r="TAN554" s="178"/>
      <c r="TAO554" s="178"/>
      <c r="TAP554" s="178"/>
      <c r="TAQ554" s="178"/>
      <c r="TAR554" s="178"/>
      <c r="TAS554" s="178"/>
      <c r="TAT554" s="178"/>
      <c r="TAU554" s="178"/>
      <c r="TAV554" s="178"/>
      <c r="TAW554" s="178"/>
      <c r="TAX554" s="178"/>
      <c r="TAY554" s="178"/>
      <c r="TAZ554" s="178"/>
      <c r="TBA554" s="178"/>
      <c r="TBB554" s="178"/>
      <c r="TBC554" s="178"/>
      <c r="TBD554" s="178"/>
      <c r="TBE554" s="178"/>
      <c r="TBF554" s="178"/>
      <c r="TBG554" s="178"/>
      <c r="TBH554" s="178"/>
      <c r="TBI554" s="178"/>
      <c r="TBJ554" s="178"/>
      <c r="TBK554" s="178"/>
      <c r="TBL554" s="178"/>
      <c r="TBM554" s="178"/>
      <c r="TBN554" s="178"/>
      <c r="TBO554" s="178"/>
      <c r="TBP554" s="178"/>
      <c r="TBQ554" s="178"/>
      <c r="TBR554" s="178"/>
      <c r="TBS554" s="178"/>
      <c r="TBT554" s="178"/>
      <c r="TBU554" s="178"/>
      <c r="TBV554" s="178"/>
      <c r="TBW554" s="178"/>
      <c r="TBX554" s="178"/>
      <c r="TBY554" s="178"/>
      <c r="TBZ554" s="178"/>
      <c r="TCA554" s="178"/>
      <c r="TCB554" s="178"/>
      <c r="TCC554" s="178"/>
      <c r="TCD554" s="178"/>
      <c r="TCE554" s="178"/>
      <c r="TCF554" s="178"/>
      <c r="TCG554" s="178"/>
      <c r="TCH554" s="178"/>
      <c r="TCI554" s="178"/>
      <c r="TCJ554" s="178"/>
      <c r="TCK554" s="178"/>
      <c r="TCL554" s="178"/>
      <c r="TCM554" s="178"/>
      <c r="TCN554" s="178"/>
      <c r="TCO554" s="178"/>
      <c r="TCP554" s="178"/>
      <c r="TCQ554" s="178"/>
      <c r="TCR554" s="178"/>
      <c r="TCS554" s="178"/>
      <c r="TCT554" s="178"/>
      <c r="TCU554" s="178"/>
      <c r="TCV554" s="178"/>
      <c r="TCW554" s="178"/>
      <c r="TCX554" s="178"/>
      <c r="TCY554" s="178"/>
      <c r="TCZ554" s="178"/>
      <c r="TDA554" s="178"/>
      <c r="TDB554" s="178"/>
      <c r="TDC554" s="178"/>
      <c r="TDD554" s="178"/>
      <c r="TDE554" s="178"/>
      <c r="TDF554" s="178"/>
      <c r="TDG554" s="178"/>
      <c r="TDH554" s="178"/>
      <c r="TDI554" s="178"/>
      <c r="TDJ554" s="178"/>
      <c r="TDK554" s="178"/>
      <c r="TDL554" s="178"/>
      <c r="TDM554" s="178"/>
      <c r="TDN554" s="178"/>
      <c r="TDO554" s="178"/>
      <c r="TDP554" s="178"/>
      <c r="TDQ554" s="178"/>
      <c r="TDR554" s="178"/>
      <c r="TDS554" s="178"/>
      <c r="TDT554" s="178"/>
      <c r="TDU554" s="178"/>
      <c r="TDV554" s="178"/>
      <c r="TDW554" s="178"/>
      <c r="TDX554" s="178"/>
      <c r="TDY554" s="178"/>
      <c r="TDZ554" s="178"/>
      <c r="TEA554" s="178"/>
      <c r="TEB554" s="178"/>
      <c r="TEC554" s="178"/>
      <c r="TED554" s="178"/>
      <c r="TEE554" s="178"/>
      <c r="TEF554" s="178"/>
      <c r="TEG554" s="178"/>
      <c r="TEH554" s="178"/>
      <c r="TEI554" s="178"/>
      <c r="TEJ554" s="178"/>
      <c r="TEK554" s="178"/>
      <c r="TEL554" s="178"/>
      <c r="TEM554" s="178"/>
      <c r="TEN554" s="178"/>
      <c r="TEO554" s="178"/>
      <c r="TEP554" s="178"/>
      <c r="TEQ554" s="178"/>
      <c r="TER554" s="178"/>
      <c r="TES554" s="178"/>
      <c r="TET554" s="178"/>
      <c r="TEU554" s="178"/>
      <c r="TEV554" s="178"/>
      <c r="TEW554" s="178"/>
      <c r="TEX554" s="178"/>
      <c r="TEY554" s="178"/>
      <c r="TEZ554" s="178"/>
      <c r="TFA554" s="178"/>
      <c r="TFB554" s="178"/>
      <c r="TFC554" s="178"/>
      <c r="TFD554" s="178"/>
      <c r="TFE554" s="178"/>
      <c r="TFF554" s="178"/>
      <c r="TFG554" s="178"/>
      <c r="TFH554" s="178"/>
      <c r="TFI554" s="178"/>
      <c r="TFJ554" s="178"/>
      <c r="TFK554" s="178"/>
      <c r="TFL554" s="178"/>
      <c r="TFM554" s="178"/>
      <c r="TFN554" s="178"/>
      <c r="TFO554" s="178"/>
      <c r="TFP554" s="178"/>
      <c r="TFQ554" s="178"/>
      <c r="TFR554" s="178"/>
      <c r="TFS554" s="178"/>
      <c r="TFT554" s="178"/>
      <c r="TFU554" s="178"/>
      <c r="TFV554" s="178"/>
      <c r="TFW554" s="178"/>
      <c r="TFX554" s="178"/>
      <c r="TFY554" s="178"/>
      <c r="TFZ554" s="178"/>
      <c r="TGA554" s="178"/>
      <c r="TGB554" s="178"/>
      <c r="TGC554" s="178"/>
      <c r="TGD554" s="178"/>
      <c r="TGE554" s="178"/>
      <c r="TGF554" s="178"/>
      <c r="TGG554" s="178"/>
      <c r="TGH554" s="178"/>
      <c r="TGI554" s="178"/>
      <c r="TGJ554" s="178"/>
      <c r="TGK554" s="178"/>
      <c r="TGL554" s="178"/>
      <c r="TGM554" s="178"/>
      <c r="TGN554" s="178"/>
      <c r="TGO554" s="178"/>
      <c r="TGP554" s="178"/>
      <c r="TGQ554" s="178"/>
      <c r="TGR554" s="178"/>
      <c r="TGS554" s="178"/>
      <c r="TGT554" s="178"/>
      <c r="TGU554" s="178"/>
      <c r="TGV554" s="178"/>
      <c r="TGW554" s="178"/>
      <c r="TGX554" s="178"/>
      <c r="TGY554" s="178"/>
      <c r="TGZ554" s="178"/>
      <c r="THA554" s="178"/>
      <c r="THB554" s="178"/>
      <c r="THC554" s="178"/>
      <c r="THD554" s="178"/>
      <c r="THE554" s="178"/>
      <c r="THF554" s="178"/>
      <c r="THG554" s="178"/>
      <c r="THH554" s="178"/>
      <c r="THI554" s="178"/>
      <c r="THJ554" s="178"/>
      <c r="THK554" s="178"/>
      <c r="THL554" s="178"/>
      <c r="THM554" s="178"/>
      <c r="THN554" s="178"/>
      <c r="THO554" s="178"/>
      <c r="THP554" s="178"/>
      <c r="THQ554" s="178"/>
      <c r="THR554" s="178"/>
      <c r="THS554" s="178"/>
      <c r="THT554" s="178"/>
      <c r="THU554" s="178"/>
      <c r="THV554" s="178"/>
      <c r="THW554" s="178"/>
      <c r="THX554" s="178"/>
      <c r="THY554" s="178"/>
      <c r="THZ554" s="178"/>
      <c r="TIA554" s="178"/>
      <c r="TIB554" s="178"/>
      <c r="TIC554" s="178"/>
      <c r="TID554" s="178"/>
      <c r="TIE554" s="178"/>
      <c r="TIF554" s="178"/>
      <c r="TIG554" s="178"/>
      <c r="TIH554" s="178"/>
      <c r="TII554" s="178"/>
      <c r="TIJ554" s="178"/>
      <c r="TIK554" s="178"/>
      <c r="TIL554" s="178"/>
      <c r="TIM554" s="178"/>
      <c r="TIN554" s="178"/>
      <c r="TIO554" s="178"/>
      <c r="TIP554" s="178"/>
      <c r="TIQ554" s="178"/>
      <c r="TIR554" s="178"/>
      <c r="TIS554" s="178"/>
      <c r="TIT554" s="178"/>
      <c r="TIU554" s="178"/>
      <c r="TIV554" s="178"/>
      <c r="TIW554" s="178"/>
      <c r="TIX554" s="178"/>
      <c r="TIY554" s="178"/>
      <c r="TIZ554" s="178"/>
      <c r="TJA554" s="178"/>
      <c r="TJB554" s="178"/>
      <c r="TJC554" s="178"/>
      <c r="TJD554" s="178"/>
      <c r="TJE554" s="178"/>
      <c r="TJF554" s="178"/>
      <c r="TJG554" s="178"/>
      <c r="TJH554" s="178"/>
      <c r="TJI554" s="178"/>
      <c r="TJJ554" s="178"/>
      <c r="TJK554" s="178"/>
      <c r="TJL554" s="178"/>
      <c r="TJM554" s="178"/>
      <c r="TJN554" s="178"/>
      <c r="TJO554" s="178"/>
      <c r="TJP554" s="178"/>
      <c r="TJQ554" s="178"/>
      <c r="TJR554" s="178"/>
      <c r="TJS554" s="178"/>
      <c r="TJT554" s="178"/>
      <c r="TJU554" s="178"/>
      <c r="TJV554" s="178"/>
      <c r="TJW554" s="178"/>
      <c r="TJX554" s="178"/>
      <c r="TJY554" s="178"/>
      <c r="TJZ554" s="178"/>
      <c r="TKA554" s="178"/>
      <c r="TKB554" s="178"/>
      <c r="TKC554" s="178"/>
      <c r="TKD554" s="178"/>
      <c r="TKE554" s="178"/>
      <c r="TKF554" s="178"/>
      <c r="TKG554" s="178"/>
      <c r="TKH554" s="178"/>
      <c r="TKI554" s="178"/>
      <c r="TKJ554" s="178"/>
      <c r="TKK554" s="178"/>
      <c r="TKL554" s="178"/>
      <c r="TKM554" s="178"/>
      <c r="TKN554" s="178"/>
      <c r="TKO554" s="178"/>
      <c r="TKP554" s="178"/>
      <c r="TKQ554" s="178"/>
      <c r="TKR554" s="178"/>
      <c r="TKS554" s="178"/>
      <c r="TKT554" s="178"/>
      <c r="TKU554" s="178"/>
      <c r="TKV554" s="178"/>
      <c r="TKW554" s="178"/>
      <c r="TKX554" s="178"/>
      <c r="TKY554" s="178"/>
      <c r="TKZ554" s="178"/>
      <c r="TLA554" s="178"/>
      <c r="TLB554" s="178"/>
      <c r="TLC554" s="178"/>
      <c r="TLD554" s="178"/>
      <c r="TLE554" s="178"/>
      <c r="TLF554" s="178"/>
      <c r="TLG554" s="178"/>
      <c r="TLH554" s="178"/>
      <c r="TLI554" s="178"/>
      <c r="TLJ554" s="178"/>
      <c r="TLK554" s="178"/>
      <c r="TLL554" s="178"/>
      <c r="TLM554" s="178"/>
      <c r="TLN554" s="178"/>
      <c r="TLO554" s="178"/>
      <c r="TLP554" s="178"/>
      <c r="TLQ554" s="178"/>
      <c r="TLR554" s="178"/>
      <c r="TLS554" s="178"/>
      <c r="TLT554" s="178"/>
      <c r="TLU554" s="178"/>
      <c r="TLV554" s="178"/>
      <c r="TLW554" s="178"/>
      <c r="TLX554" s="178"/>
      <c r="TLY554" s="178"/>
      <c r="TLZ554" s="178"/>
      <c r="TMA554" s="178"/>
      <c r="TMB554" s="178"/>
      <c r="TMC554" s="178"/>
      <c r="TMD554" s="178"/>
      <c r="TME554" s="178"/>
      <c r="TMF554" s="178"/>
      <c r="TMG554" s="178"/>
      <c r="TMH554" s="178"/>
      <c r="TMI554" s="178"/>
      <c r="TMJ554" s="178"/>
      <c r="TMK554" s="178"/>
      <c r="TML554" s="178"/>
      <c r="TMM554" s="178"/>
      <c r="TMN554" s="178"/>
      <c r="TMO554" s="178"/>
      <c r="TMP554" s="178"/>
      <c r="TMQ554" s="178"/>
      <c r="TMR554" s="178"/>
      <c r="TMS554" s="178"/>
      <c r="TMT554" s="178"/>
      <c r="TMU554" s="178"/>
      <c r="TMV554" s="178"/>
      <c r="TMW554" s="178"/>
      <c r="TMX554" s="178"/>
      <c r="TMY554" s="178"/>
      <c r="TMZ554" s="178"/>
      <c r="TNA554" s="178"/>
      <c r="TNB554" s="178"/>
      <c r="TNC554" s="178"/>
      <c r="TND554" s="178"/>
      <c r="TNE554" s="178"/>
      <c r="TNF554" s="178"/>
      <c r="TNG554" s="178"/>
      <c r="TNH554" s="178"/>
      <c r="TNI554" s="178"/>
      <c r="TNJ554" s="178"/>
      <c r="TNK554" s="178"/>
      <c r="TNL554" s="178"/>
      <c r="TNM554" s="178"/>
      <c r="TNN554" s="178"/>
      <c r="TNO554" s="178"/>
      <c r="TNP554" s="178"/>
      <c r="TNQ554" s="178"/>
      <c r="TNR554" s="178"/>
      <c r="TNS554" s="178"/>
      <c r="TNT554" s="178"/>
      <c r="TNU554" s="178"/>
      <c r="TNV554" s="178"/>
      <c r="TNW554" s="178"/>
      <c r="TNX554" s="178"/>
      <c r="TNY554" s="178"/>
      <c r="TNZ554" s="178"/>
      <c r="TOA554" s="178"/>
      <c r="TOB554" s="178"/>
      <c r="TOC554" s="178"/>
      <c r="TOD554" s="178"/>
      <c r="TOE554" s="178"/>
      <c r="TOF554" s="178"/>
      <c r="TOG554" s="178"/>
      <c r="TOH554" s="178"/>
      <c r="TOI554" s="178"/>
      <c r="TOJ554" s="178"/>
      <c r="TOK554" s="178"/>
      <c r="TOL554" s="178"/>
      <c r="TOM554" s="178"/>
      <c r="TON554" s="178"/>
      <c r="TOO554" s="178"/>
      <c r="TOP554" s="178"/>
      <c r="TOQ554" s="178"/>
      <c r="TOR554" s="178"/>
      <c r="TOS554" s="178"/>
      <c r="TOT554" s="178"/>
      <c r="TOU554" s="178"/>
      <c r="TOV554" s="178"/>
      <c r="TOW554" s="178"/>
      <c r="TOX554" s="178"/>
      <c r="TOY554" s="178"/>
      <c r="TOZ554" s="178"/>
      <c r="TPA554" s="178"/>
      <c r="TPB554" s="178"/>
      <c r="TPC554" s="178"/>
      <c r="TPD554" s="178"/>
      <c r="TPE554" s="178"/>
      <c r="TPF554" s="178"/>
      <c r="TPG554" s="178"/>
      <c r="TPH554" s="178"/>
      <c r="TPI554" s="178"/>
      <c r="TPJ554" s="178"/>
      <c r="TPK554" s="178"/>
      <c r="TPL554" s="178"/>
      <c r="TPM554" s="178"/>
      <c r="TPN554" s="178"/>
      <c r="TPO554" s="178"/>
      <c r="TPP554" s="178"/>
      <c r="TPQ554" s="178"/>
      <c r="TPR554" s="178"/>
      <c r="TPS554" s="178"/>
      <c r="TPT554" s="178"/>
      <c r="TPU554" s="178"/>
      <c r="TPV554" s="178"/>
      <c r="TPW554" s="178"/>
      <c r="TPX554" s="178"/>
      <c r="TPY554" s="178"/>
      <c r="TPZ554" s="178"/>
      <c r="TQA554" s="178"/>
      <c r="TQB554" s="178"/>
      <c r="TQC554" s="178"/>
      <c r="TQD554" s="178"/>
      <c r="TQE554" s="178"/>
      <c r="TQF554" s="178"/>
      <c r="TQG554" s="178"/>
      <c r="TQH554" s="178"/>
      <c r="TQI554" s="178"/>
      <c r="TQJ554" s="178"/>
      <c r="TQK554" s="178"/>
      <c r="TQL554" s="178"/>
      <c r="TQM554" s="178"/>
      <c r="TQN554" s="178"/>
      <c r="TQO554" s="178"/>
      <c r="TQP554" s="178"/>
      <c r="TQQ554" s="178"/>
      <c r="TQR554" s="178"/>
      <c r="TQS554" s="178"/>
      <c r="TQT554" s="178"/>
      <c r="TQU554" s="178"/>
      <c r="TQV554" s="178"/>
      <c r="TQW554" s="178"/>
      <c r="TQX554" s="178"/>
      <c r="TQY554" s="178"/>
      <c r="TQZ554" s="178"/>
      <c r="TRA554" s="178"/>
      <c r="TRB554" s="178"/>
      <c r="TRC554" s="178"/>
      <c r="TRD554" s="178"/>
      <c r="TRE554" s="178"/>
      <c r="TRF554" s="178"/>
      <c r="TRG554" s="178"/>
      <c r="TRH554" s="178"/>
      <c r="TRI554" s="178"/>
      <c r="TRJ554" s="178"/>
      <c r="TRK554" s="178"/>
      <c r="TRL554" s="178"/>
      <c r="TRM554" s="178"/>
      <c r="TRN554" s="178"/>
      <c r="TRO554" s="178"/>
      <c r="TRP554" s="178"/>
      <c r="TRQ554" s="178"/>
      <c r="TRR554" s="178"/>
      <c r="TRS554" s="178"/>
      <c r="TRT554" s="178"/>
      <c r="TRU554" s="178"/>
      <c r="TRV554" s="178"/>
      <c r="TRW554" s="178"/>
      <c r="TRX554" s="178"/>
      <c r="TRY554" s="178"/>
      <c r="TRZ554" s="178"/>
      <c r="TSA554" s="178"/>
      <c r="TSB554" s="178"/>
      <c r="TSC554" s="178"/>
      <c r="TSD554" s="178"/>
      <c r="TSE554" s="178"/>
      <c r="TSF554" s="178"/>
      <c r="TSG554" s="178"/>
      <c r="TSH554" s="178"/>
      <c r="TSI554" s="178"/>
      <c r="TSJ554" s="178"/>
      <c r="TSK554" s="178"/>
      <c r="TSL554" s="178"/>
      <c r="TSM554" s="178"/>
      <c r="TSN554" s="178"/>
      <c r="TSO554" s="178"/>
      <c r="TSP554" s="178"/>
      <c r="TSQ554" s="178"/>
      <c r="TSR554" s="178"/>
      <c r="TSS554" s="178"/>
      <c r="TST554" s="178"/>
      <c r="TSU554" s="178"/>
      <c r="TSV554" s="178"/>
      <c r="TSW554" s="178"/>
      <c r="TSX554" s="178"/>
      <c r="TSY554" s="178"/>
      <c r="TSZ554" s="178"/>
      <c r="TTA554" s="178"/>
      <c r="TTB554" s="178"/>
      <c r="TTC554" s="178"/>
      <c r="TTD554" s="178"/>
      <c r="TTE554" s="178"/>
      <c r="TTF554" s="178"/>
      <c r="TTG554" s="178"/>
      <c r="TTH554" s="178"/>
      <c r="TTI554" s="178"/>
      <c r="TTJ554" s="178"/>
      <c r="TTK554" s="178"/>
      <c r="TTL554" s="178"/>
      <c r="TTM554" s="178"/>
      <c r="TTN554" s="178"/>
      <c r="TTO554" s="178"/>
      <c r="TTP554" s="178"/>
      <c r="TTQ554" s="178"/>
      <c r="TTR554" s="178"/>
      <c r="TTS554" s="178"/>
      <c r="TTT554" s="178"/>
      <c r="TTU554" s="178"/>
      <c r="TTV554" s="178"/>
      <c r="TTW554" s="178"/>
      <c r="TTX554" s="178"/>
      <c r="TTY554" s="178"/>
      <c r="TTZ554" s="178"/>
      <c r="TUA554" s="178"/>
      <c r="TUB554" s="178"/>
      <c r="TUC554" s="178"/>
      <c r="TUD554" s="178"/>
      <c r="TUE554" s="178"/>
      <c r="TUF554" s="178"/>
      <c r="TUG554" s="178"/>
      <c r="TUH554" s="178"/>
      <c r="TUI554" s="178"/>
      <c r="TUJ554" s="178"/>
      <c r="TUK554" s="178"/>
      <c r="TUL554" s="178"/>
      <c r="TUM554" s="178"/>
      <c r="TUN554" s="178"/>
      <c r="TUO554" s="178"/>
      <c r="TUP554" s="178"/>
      <c r="TUQ554" s="178"/>
      <c r="TUR554" s="178"/>
      <c r="TUS554" s="178"/>
      <c r="TUT554" s="178"/>
      <c r="TUU554" s="178"/>
      <c r="TUV554" s="178"/>
      <c r="TUW554" s="178"/>
      <c r="TUX554" s="178"/>
      <c r="TUY554" s="178"/>
      <c r="TUZ554" s="178"/>
      <c r="TVA554" s="178"/>
      <c r="TVB554" s="178"/>
      <c r="TVC554" s="178"/>
      <c r="TVD554" s="178"/>
      <c r="TVE554" s="178"/>
      <c r="TVF554" s="178"/>
      <c r="TVG554" s="178"/>
      <c r="TVH554" s="178"/>
      <c r="TVI554" s="178"/>
      <c r="TVJ554" s="178"/>
      <c r="TVK554" s="178"/>
      <c r="TVL554" s="178"/>
      <c r="TVM554" s="178"/>
      <c r="TVN554" s="178"/>
      <c r="TVO554" s="178"/>
      <c r="TVP554" s="178"/>
      <c r="TVQ554" s="178"/>
      <c r="TVR554" s="178"/>
      <c r="TVS554" s="178"/>
      <c r="TVT554" s="178"/>
      <c r="TVU554" s="178"/>
      <c r="TVV554" s="178"/>
      <c r="TVW554" s="178"/>
      <c r="TVX554" s="178"/>
      <c r="TVY554" s="178"/>
      <c r="TVZ554" s="178"/>
      <c r="TWA554" s="178"/>
      <c r="TWB554" s="178"/>
      <c r="TWC554" s="178"/>
      <c r="TWD554" s="178"/>
      <c r="TWE554" s="178"/>
      <c r="TWF554" s="178"/>
      <c r="TWG554" s="178"/>
      <c r="TWH554" s="178"/>
      <c r="TWI554" s="178"/>
      <c r="TWJ554" s="178"/>
      <c r="TWK554" s="178"/>
      <c r="TWL554" s="178"/>
      <c r="TWM554" s="178"/>
      <c r="TWN554" s="178"/>
      <c r="TWO554" s="178"/>
      <c r="TWP554" s="178"/>
      <c r="TWQ554" s="178"/>
      <c r="TWR554" s="178"/>
      <c r="TWS554" s="178"/>
      <c r="TWT554" s="178"/>
      <c r="TWU554" s="178"/>
      <c r="TWV554" s="178"/>
      <c r="TWW554" s="178"/>
      <c r="TWX554" s="178"/>
      <c r="TWY554" s="178"/>
      <c r="TWZ554" s="178"/>
      <c r="TXA554" s="178"/>
      <c r="TXB554" s="178"/>
      <c r="TXC554" s="178"/>
      <c r="TXD554" s="178"/>
      <c r="TXE554" s="178"/>
      <c r="TXF554" s="178"/>
      <c r="TXG554" s="178"/>
      <c r="TXH554" s="178"/>
      <c r="TXI554" s="178"/>
      <c r="TXJ554" s="178"/>
      <c r="TXK554" s="178"/>
      <c r="TXL554" s="178"/>
      <c r="TXM554" s="178"/>
      <c r="TXN554" s="178"/>
      <c r="TXO554" s="178"/>
      <c r="TXP554" s="178"/>
      <c r="TXQ554" s="178"/>
      <c r="TXR554" s="178"/>
      <c r="TXS554" s="178"/>
      <c r="TXT554" s="178"/>
      <c r="TXU554" s="178"/>
      <c r="TXV554" s="178"/>
      <c r="TXW554" s="178"/>
      <c r="TXX554" s="178"/>
      <c r="TXY554" s="178"/>
      <c r="TXZ554" s="178"/>
      <c r="TYA554" s="178"/>
      <c r="TYB554" s="178"/>
      <c r="TYC554" s="178"/>
      <c r="TYD554" s="178"/>
      <c r="TYE554" s="178"/>
      <c r="TYF554" s="178"/>
      <c r="TYG554" s="178"/>
      <c r="TYH554" s="178"/>
      <c r="TYI554" s="178"/>
      <c r="TYJ554" s="178"/>
      <c r="TYK554" s="178"/>
      <c r="TYL554" s="178"/>
      <c r="TYM554" s="178"/>
      <c r="TYN554" s="178"/>
      <c r="TYO554" s="178"/>
      <c r="TYP554" s="178"/>
      <c r="TYQ554" s="178"/>
      <c r="TYR554" s="178"/>
      <c r="TYS554" s="178"/>
      <c r="TYT554" s="178"/>
      <c r="TYU554" s="178"/>
      <c r="TYV554" s="178"/>
      <c r="TYW554" s="178"/>
      <c r="TYX554" s="178"/>
      <c r="TYY554" s="178"/>
      <c r="TYZ554" s="178"/>
      <c r="TZA554" s="178"/>
      <c r="TZB554" s="178"/>
      <c r="TZC554" s="178"/>
      <c r="TZD554" s="178"/>
      <c r="TZE554" s="178"/>
      <c r="TZF554" s="178"/>
      <c r="TZG554" s="178"/>
      <c r="TZH554" s="178"/>
      <c r="TZI554" s="178"/>
      <c r="TZJ554" s="178"/>
      <c r="TZK554" s="178"/>
      <c r="TZL554" s="178"/>
      <c r="TZM554" s="178"/>
      <c r="TZN554" s="178"/>
      <c r="TZO554" s="178"/>
      <c r="TZP554" s="178"/>
      <c r="TZQ554" s="178"/>
      <c r="TZR554" s="178"/>
      <c r="TZS554" s="178"/>
      <c r="TZT554" s="178"/>
      <c r="TZU554" s="178"/>
      <c r="TZV554" s="178"/>
      <c r="TZW554" s="178"/>
      <c r="TZX554" s="178"/>
      <c r="TZY554" s="178"/>
      <c r="TZZ554" s="178"/>
      <c r="UAA554" s="178"/>
      <c r="UAB554" s="178"/>
      <c r="UAC554" s="178"/>
      <c r="UAD554" s="178"/>
      <c r="UAE554" s="178"/>
      <c r="UAF554" s="178"/>
      <c r="UAG554" s="178"/>
      <c r="UAH554" s="178"/>
      <c r="UAI554" s="178"/>
      <c r="UAJ554" s="178"/>
      <c r="UAK554" s="178"/>
      <c r="UAL554" s="178"/>
      <c r="UAM554" s="178"/>
      <c r="UAN554" s="178"/>
      <c r="UAO554" s="178"/>
      <c r="UAP554" s="178"/>
      <c r="UAQ554" s="178"/>
      <c r="UAR554" s="178"/>
      <c r="UAS554" s="178"/>
      <c r="UAT554" s="178"/>
      <c r="UAU554" s="178"/>
      <c r="UAV554" s="178"/>
      <c r="UAW554" s="178"/>
      <c r="UAX554" s="178"/>
      <c r="UAY554" s="178"/>
      <c r="UAZ554" s="178"/>
      <c r="UBA554" s="178"/>
      <c r="UBB554" s="178"/>
      <c r="UBC554" s="178"/>
      <c r="UBD554" s="178"/>
      <c r="UBE554" s="178"/>
      <c r="UBF554" s="178"/>
      <c r="UBG554" s="178"/>
      <c r="UBH554" s="178"/>
      <c r="UBI554" s="178"/>
      <c r="UBJ554" s="178"/>
      <c r="UBK554" s="178"/>
      <c r="UBL554" s="178"/>
      <c r="UBM554" s="178"/>
      <c r="UBN554" s="178"/>
      <c r="UBO554" s="178"/>
      <c r="UBP554" s="178"/>
      <c r="UBQ554" s="178"/>
      <c r="UBR554" s="178"/>
      <c r="UBS554" s="178"/>
      <c r="UBT554" s="178"/>
      <c r="UBU554" s="178"/>
      <c r="UBV554" s="178"/>
      <c r="UBW554" s="178"/>
      <c r="UBX554" s="178"/>
      <c r="UBY554" s="178"/>
      <c r="UBZ554" s="178"/>
      <c r="UCA554" s="178"/>
      <c r="UCB554" s="178"/>
      <c r="UCC554" s="178"/>
      <c r="UCD554" s="178"/>
      <c r="UCE554" s="178"/>
      <c r="UCF554" s="178"/>
      <c r="UCG554" s="178"/>
      <c r="UCH554" s="178"/>
      <c r="UCI554" s="178"/>
      <c r="UCJ554" s="178"/>
      <c r="UCK554" s="178"/>
      <c r="UCL554" s="178"/>
      <c r="UCM554" s="178"/>
      <c r="UCN554" s="178"/>
      <c r="UCO554" s="178"/>
      <c r="UCP554" s="178"/>
      <c r="UCQ554" s="178"/>
      <c r="UCR554" s="178"/>
      <c r="UCS554" s="178"/>
      <c r="UCT554" s="178"/>
      <c r="UCU554" s="178"/>
      <c r="UCV554" s="178"/>
      <c r="UCW554" s="178"/>
      <c r="UCX554" s="178"/>
      <c r="UCY554" s="178"/>
      <c r="UCZ554" s="178"/>
      <c r="UDA554" s="178"/>
      <c r="UDB554" s="178"/>
      <c r="UDC554" s="178"/>
      <c r="UDD554" s="178"/>
      <c r="UDE554" s="178"/>
      <c r="UDF554" s="178"/>
      <c r="UDG554" s="178"/>
      <c r="UDH554" s="178"/>
      <c r="UDI554" s="178"/>
      <c r="UDJ554" s="178"/>
      <c r="UDK554" s="178"/>
      <c r="UDL554" s="178"/>
      <c r="UDM554" s="178"/>
      <c r="UDN554" s="178"/>
      <c r="UDO554" s="178"/>
      <c r="UDP554" s="178"/>
      <c r="UDQ554" s="178"/>
      <c r="UDR554" s="178"/>
      <c r="UDS554" s="178"/>
      <c r="UDT554" s="178"/>
      <c r="UDU554" s="178"/>
      <c r="UDV554" s="178"/>
      <c r="UDW554" s="178"/>
      <c r="UDX554" s="178"/>
      <c r="UDY554" s="178"/>
      <c r="UDZ554" s="178"/>
      <c r="UEA554" s="178"/>
      <c r="UEB554" s="178"/>
      <c r="UEC554" s="178"/>
      <c r="UED554" s="178"/>
      <c r="UEE554" s="178"/>
      <c r="UEF554" s="178"/>
      <c r="UEG554" s="178"/>
      <c r="UEH554" s="178"/>
      <c r="UEI554" s="178"/>
      <c r="UEJ554" s="178"/>
      <c r="UEK554" s="178"/>
      <c r="UEL554" s="178"/>
      <c r="UEM554" s="178"/>
      <c r="UEN554" s="178"/>
      <c r="UEO554" s="178"/>
      <c r="UEP554" s="178"/>
      <c r="UEQ554" s="178"/>
      <c r="UER554" s="178"/>
      <c r="UES554" s="178"/>
      <c r="UET554" s="178"/>
      <c r="UEU554" s="178"/>
      <c r="UEV554" s="178"/>
      <c r="UEW554" s="178"/>
      <c r="UEX554" s="178"/>
      <c r="UEY554" s="178"/>
      <c r="UEZ554" s="178"/>
      <c r="UFA554" s="178"/>
      <c r="UFB554" s="178"/>
      <c r="UFC554" s="178"/>
      <c r="UFD554" s="178"/>
      <c r="UFE554" s="178"/>
      <c r="UFF554" s="178"/>
      <c r="UFG554" s="178"/>
      <c r="UFH554" s="178"/>
      <c r="UFI554" s="178"/>
      <c r="UFJ554" s="178"/>
      <c r="UFK554" s="178"/>
      <c r="UFL554" s="178"/>
      <c r="UFM554" s="178"/>
      <c r="UFN554" s="178"/>
      <c r="UFO554" s="178"/>
      <c r="UFP554" s="178"/>
      <c r="UFQ554" s="178"/>
      <c r="UFR554" s="178"/>
      <c r="UFS554" s="178"/>
      <c r="UFT554" s="178"/>
      <c r="UFU554" s="178"/>
      <c r="UFV554" s="178"/>
      <c r="UFW554" s="178"/>
      <c r="UFX554" s="178"/>
      <c r="UFY554" s="178"/>
      <c r="UFZ554" s="178"/>
      <c r="UGA554" s="178"/>
      <c r="UGB554" s="178"/>
      <c r="UGC554" s="178"/>
      <c r="UGD554" s="178"/>
      <c r="UGE554" s="178"/>
      <c r="UGF554" s="178"/>
      <c r="UGG554" s="178"/>
      <c r="UGH554" s="178"/>
      <c r="UGI554" s="178"/>
      <c r="UGJ554" s="178"/>
      <c r="UGK554" s="178"/>
      <c r="UGL554" s="178"/>
      <c r="UGM554" s="178"/>
      <c r="UGN554" s="178"/>
      <c r="UGO554" s="178"/>
      <c r="UGP554" s="178"/>
      <c r="UGQ554" s="178"/>
      <c r="UGR554" s="178"/>
      <c r="UGS554" s="178"/>
      <c r="UGT554" s="178"/>
      <c r="UGU554" s="178"/>
      <c r="UGV554" s="178"/>
      <c r="UGW554" s="178"/>
      <c r="UGX554" s="178"/>
      <c r="UGY554" s="178"/>
      <c r="UGZ554" s="178"/>
      <c r="UHA554" s="178"/>
      <c r="UHB554" s="178"/>
      <c r="UHC554" s="178"/>
      <c r="UHD554" s="178"/>
      <c r="UHE554" s="178"/>
      <c r="UHF554" s="178"/>
      <c r="UHG554" s="178"/>
      <c r="UHH554" s="178"/>
      <c r="UHI554" s="178"/>
      <c r="UHJ554" s="178"/>
      <c r="UHK554" s="178"/>
      <c r="UHL554" s="178"/>
      <c r="UHM554" s="178"/>
      <c r="UHN554" s="178"/>
      <c r="UHO554" s="178"/>
      <c r="UHP554" s="178"/>
      <c r="UHQ554" s="178"/>
      <c r="UHR554" s="178"/>
      <c r="UHS554" s="178"/>
      <c r="UHT554" s="178"/>
      <c r="UHU554" s="178"/>
      <c r="UHV554" s="178"/>
      <c r="UHW554" s="178"/>
      <c r="UHX554" s="178"/>
      <c r="UHY554" s="178"/>
      <c r="UHZ554" s="178"/>
      <c r="UIA554" s="178"/>
      <c r="UIB554" s="178"/>
      <c r="UIC554" s="178"/>
      <c r="UID554" s="178"/>
      <c r="UIE554" s="178"/>
      <c r="UIF554" s="178"/>
      <c r="UIG554" s="178"/>
      <c r="UIH554" s="178"/>
      <c r="UII554" s="178"/>
      <c r="UIJ554" s="178"/>
      <c r="UIK554" s="178"/>
      <c r="UIL554" s="178"/>
      <c r="UIM554" s="178"/>
      <c r="UIN554" s="178"/>
      <c r="UIO554" s="178"/>
      <c r="UIP554" s="178"/>
      <c r="UIQ554" s="178"/>
      <c r="UIR554" s="178"/>
      <c r="UIS554" s="178"/>
      <c r="UIT554" s="178"/>
      <c r="UIU554" s="178"/>
      <c r="UIV554" s="178"/>
      <c r="UIW554" s="178"/>
      <c r="UIX554" s="178"/>
      <c r="UIY554" s="178"/>
      <c r="UIZ554" s="178"/>
      <c r="UJA554" s="178"/>
      <c r="UJB554" s="178"/>
      <c r="UJC554" s="178"/>
      <c r="UJD554" s="178"/>
      <c r="UJE554" s="178"/>
      <c r="UJF554" s="178"/>
      <c r="UJG554" s="178"/>
      <c r="UJH554" s="178"/>
      <c r="UJI554" s="178"/>
      <c r="UJJ554" s="178"/>
      <c r="UJK554" s="178"/>
      <c r="UJL554" s="178"/>
      <c r="UJM554" s="178"/>
      <c r="UJN554" s="178"/>
      <c r="UJO554" s="178"/>
      <c r="UJP554" s="178"/>
      <c r="UJQ554" s="178"/>
      <c r="UJR554" s="178"/>
      <c r="UJS554" s="178"/>
      <c r="UJT554" s="178"/>
      <c r="UJU554" s="178"/>
      <c r="UJV554" s="178"/>
      <c r="UJW554" s="178"/>
      <c r="UJX554" s="178"/>
      <c r="UJY554" s="178"/>
      <c r="UJZ554" s="178"/>
      <c r="UKA554" s="178"/>
      <c r="UKB554" s="178"/>
      <c r="UKC554" s="178"/>
      <c r="UKD554" s="178"/>
      <c r="UKE554" s="178"/>
      <c r="UKF554" s="178"/>
      <c r="UKG554" s="178"/>
      <c r="UKH554" s="178"/>
      <c r="UKI554" s="178"/>
      <c r="UKJ554" s="178"/>
      <c r="UKK554" s="178"/>
      <c r="UKL554" s="178"/>
      <c r="UKM554" s="178"/>
      <c r="UKN554" s="178"/>
      <c r="UKO554" s="178"/>
      <c r="UKP554" s="178"/>
      <c r="UKQ554" s="178"/>
      <c r="UKR554" s="178"/>
      <c r="UKS554" s="178"/>
      <c r="UKT554" s="178"/>
      <c r="UKU554" s="178"/>
      <c r="UKV554" s="178"/>
      <c r="UKW554" s="178"/>
      <c r="UKX554" s="178"/>
      <c r="UKY554" s="178"/>
      <c r="UKZ554" s="178"/>
      <c r="ULA554" s="178"/>
      <c r="ULB554" s="178"/>
      <c r="ULC554" s="178"/>
      <c r="ULD554" s="178"/>
      <c r="ULE554" s="178"/>
      <c r="ULF554" s="178"/>
      <c r="ULG554" s="178"/>
      <c r="ULH554" s="178"/>
      <c r="ULI554" s="178"/>
      <c r="ULJ554" s="178"/>
      <c r="ULK554" s="178"/>
      <c r="ULL554" s="178"/>
      <c r="ULM554" s="178"/>
      <c r="ULN554" s="178"/>
      <c r="ULO554" s="178"/>
      <c r="ULP554" s="178"/>
      <c r="ULQ554" s="178"/>
      <c r="ULR554" s="178"/>
      <c r="ULS554" s="178"/>
      <c r="ULT554" s="178"/>
      <c r="ULU554" s="178"/>
      <c r="ULV554" s="178"/>
      <c r="ULW554" s="178"/>
      <c r="ULX554" s="178"/>
      <c r="ULY554" s="178"/>
      <c r="ULZ554" s="178"/>
      <c r="UMA554" s="178"/>
      <c r="UMB554" s="178"/>
      <c r="UMC554" s="178"/>
      <c r="UMD554" s="178"/>
      <c r="UME554" s="178"/>
      <c r="UMF554" s="178"/>
      <c r="UMG554" s="178"/>
      <c r="UMH554" s="178"/>
      <c r="UMI554" s="178"/>
      <c r="UMJ554" s="178"/>
      <c r="UMK554" s="178"/>
      <c r="UML554" s="178"/>
      <c r="UMM554" s="178"/>
      <c r="UMN554" s="178"/>
      <c r="UMO554" s="178"/>
      <c r="UMP554" s="178"/>
      <c r="UMQ554" s="178"/>
      <c r="UMR554" s="178"/>
      <c r="UMS554" s="178"/>
      <c r="UMT554" s="178"/>
      <c r="UMU554" s="178"/>
      <c r="UMV554" s="178"/>
      <c r="UMW554" s="178"/>
      <c r="UMX554" s="178"/>
      <c r="UMY554" s="178"/>
      <c r="UMZ554" s="178"/>
      <c r="UNA554" s="178"/>
      <c r="UNB554" s="178"/>
      <c r="UNC554" s="178"/>
      <c r="UND554" s="178"/>
      <c r="UNE554" s="178"/>
      <c r="UNF554" s="178"/>
      <c r="UNG554" s="178"/>
      <c r="UNH554" s="178"/>
      <c r="UNI554" s="178"/>
      <c r="UNJ554" s="178"/>
      <c r="UNK554" s="178"/>
      <c r="UNL554" s="178"/>
      <c r="UNM554" s="178"/>
      <c r="UNN554" s="178"/>
      <c r="UNO554" s="178"/>
      <c r="UNP554" s="178"/>
      <c r="UNQ554" s="178"/>
      <c r="UNR554" s="178"/>
      <c r="UNS554" s="178"/>
      <c r="UNT554" s="178"/>
      <c r="UNU554" s="178"/>
      <c r="UNV554" s="178"/>
      <c r="UNW554" s="178"/>
      <c r="UNX554" s="178"/>
      <c r="UNY554" s="178"/>
      <c r="UNZ554" s="178"/>
      <c r="UOA554" s="178"/>
      <c r="UOB554" s="178"/>
      <c r="UOC554" s="178"/>
      <c r="UOD554" s="178"/>
      <c r="UOE554" s="178"/>
      <c r="UOF554" s="178"/>
      <c r="UOG554" s="178"/>
      <c r="UOH554" s="178"/>
      <c r="UOI554" s="178"/>
      <c r="UOJ554" s="178"/>
      <c r="UOK554" s="178"/>
      <c r="UOL554" s="178"/>
      <c r="UOM554" s="178"/>
      <c r="UON554" s="178"/>
      <c r="UOO554" s="178"/>
      <c r="UOP554" s="178"/>
      <c r="UOQ554" s="178"/>
      <c r="UOR554" s="178"/>
      <c r="UOS554" s="178"/>
      <c r="UOT554" s="178"/>
      <c r="UOU554" s="178"/>
      <c r="UOV554" s="178"/>
      <c r="UOW554" s="178"/>
      <c r="UOX554" s="178"/>
      <c r="UOY554" s="178"/>
      <c r="UOZ554" s="178"/>
      <c r="UPA554" s="178"/>
      <c r="UPB554" s="178"/>
      <c r="UPC554" s="178"/>
      <c r="UPD554" s="178"/>
      <c r="UPE554" s="178"/>
      <c r="UPF554" s="178"/>
      <c r="UPG554" s="178"/>
      <c r="UPH554" s="178"/>
      <c r="UPI554" s="178"/>
      <c r="UPJ554" s="178"/>
      <c r="UPK554" s="178"/>
      <c r="UPL554" s="178"/>
      <c r="UPM554" s="178"/>
      <c r="UPN554" s="178"/>
      <c r="UPO554" s="178"/>
      <c r="UPP554" s="178"/>
      <c r="UPQ554" s="178"/>
      <c r="UPR554" s="178"/>
      <c r="UPS554" s="178"/>
      <c r="UPT554" s="178"/>
      <c r="UPU554" s="178"/>
      <c r="UPV554" s="178"/>
      <c r="UPW554" s="178"/>
      <c r="UPX554" s="178"/>
      <c r="UPY554" s="178"/>
      <c r="UPZ554" s="178"/>
      <c r="UQA554" s="178"/>
      <c r="UQB554" s="178"/>
      <c r="UQC554" s="178"/>
      <c r="UQD554" s="178"/>
      <c r="UQE554" s="178"/>
      <c r="UQF554" s="178"/>
      <c r="UQG554" s="178"/>
      <c r="UQH554" s="178"/>
      <c r="UQI554" s="178"/>
      <c r="UQJ554" s="178"/>
      <c r="UQK554" s="178"/>
      <c r="UQL554" s="178"/>
      <c r="UQM554" s="178"/>
      <c r="UQN554" s="178"/>
      <c r="UQO554" s="178"/>
      <c r="UQP554" s="178"/>
      <c r="UQQ554" s="178"/>
      <c r="UQR554" s="178"/>
      <c r="UQS554" s="178"/>
      <c r="UQT554" s="178"/>
      <c r="UQU554" s="178"/>
      <c r="UQV554" s="178"/>
      <c r="UQW554" s="178"/>
      <c r="UQX554" s="178"/>
      <c r="UQY554" s="178"/>
      <c r="UQZ554" s="178"/>
      <c r="URA554" s="178"/>
      <c r="URB554" s="178"/>
      <c r="URC554" s="178"/>
      <c r="URD554" s="178"/>
      <c r="URE554" s="178"/>
      <c r="URF554" s="178"/>
      <c r="URG554" s="178"/>
      <c r="URH554" s="178"/>
      <c r="URI554" s="178"/>
      <c r="URJ554" s="178"/>
      <c r="URK554" s="178"/>
      <c r="URL554" s="178"/>
      <c r="URM554" s="178"/>
      <c r="URN554" s="178"/>
      <c r="URO554" s="178"/>
      <c r="URP554" s="178"/>
      <c r="URQ554" s="178"/>
      <c r="URR554" s="178"/>
      <c r="URS554" s="178"/>
      <c r="URT554" s="178"/>
      <c r="URU554" s="178"/>
      <c r="URV554" s="178"/>
      <c r="URW554" s="178"/>
      <c r="URX554" s="178"/>
      <c r="URY554" s="178"/>
      <c r="URZ554" s="178"/>
      <c r="USA554" s="178"/>
      <c r="USB554" s="178"/>
      <c r="USC554" s="178"/>
      <c r="USD554" s="178"/>
      <c r="USE554" s="178"/>
      <c r="USF554" s="178"/>
      <c r="USG554" s="178"/>
      <c r="USH554" s="178"/>
      <c r="USI554" s="178"/>
      <c r="USJ554" s="178"/>
      <c r="USK554" s="178"/>
      <c r="USL554" s="178"/>
      <c r="USM554" s="178"/>
      <c r="USN554" s="178"/>
      <c r="USO554" s="178"/>
      <c r="USP554" s="178"/>
      <c r="USQ554" s="178"/>
      <c r="USR554" s="178"/>
      <c r="USS554" s="178"/>
      <c r="UST554" s="178"/>
      <c r="USU554" s="178"/>
      <c r="USV554" s="178"/>
      <c r="USW554" s="178"/>
      <c r="USX554" s="178"/>
      <c r="USY554" s="178"/>
      <c r="USZ554" s="178"/>
      <c r="UTA554" s="178"/>
      <c r="UTB554" s="178"/>
      <c r="UTC554" s="178"/>
      <c r="UTD554" s="178"/>
      <c r="UTE554" s="178"/>
      <c r="UTF554" s="178"/>
      <c r="UTG554" s="178"/>
      <c r="UTH554" s="178"/>
      <c r="UTI554" s="178"/>
      <c r="UTJ554" s="178"/>
      <c r="UTK554" s="178"/>
      <c r="UTL554" s="178"/>
      <c r="UTM554" s="178"/>
      <c r="UTN554" s="178"/>
      <c r="UTO554" s="178"/>
      <c r="UTP554" s="178"/>
      <c r="UTQ554" s="178"/>
      <c r="UTR554" s="178"/>
      <c r="UTS554" s="178"/>
      <c r="UTT554" s="178"/>
      <c r="UTU554" s="178"/>
      <c r="UTV554" s="178"/>
      <c r="UTW554" s="178"/>
      <c r="UTX554" s="178"/>
      <c r="UTY554" s="178"/>
      <c r="UTZ554" s="178"/>
      <c r="UUA554" s="178"/>
      <c r="UUB554" s="178"/>
      <c r="UUC554" s="178"/>
      <c r="UUD554" s="178"/>
      <c r="UUE554" s="178"/>
      <c r="UUF554" s="178"/>
      <c r="UUG554" s="178"/>
      <c r="UUH554" s="178"/>
      <c r="UUI554" s="178"/>
      <c r="UUJ554" s="178"/>
      <c r="UUK554" s="178"/>
      <c r="UUL554" s="178"/>
      <c r="UUM554" s="178"/>
      <c r="UUN554" s="178"/>
      <c r="UUO554" s="178"/>
      <c r="UUP554" s="178"/>
      <c r="UUQ554" s="178"/>
      <c r="UUR554" s="178"/>
      <c r="UUS554" s="178"/>
      <c r="UUT554" s="178"/>
      <c r="UUU554" s="178"/>
      <c r="UUV554" s="178"/>
      <c r="UUW554" s="178"/>
      <c r="UUX554" s="178"/>
      <c r="UUY554" s="178"/>
      <c r="UUZ554" s="178"/>
      <c r="UVA554" s="178"/>
      <c r="UVB554" s="178"/>
      <c r="UVC554" s="178"/>
      <c r="UVD554" s="178"/>
      <c r="UVE554" s="178"/>
      <c r="UVF554" s="178"/>
      <c r="UVG554" s="178"/>
      <c r="UVH554" s="178"/>
      <c r="UVI554" s="178"/>
      <c r="UVJ554" s="178"/>
      <c r="UVK554" s="178"/>
      <c r="UVL554" s="178"/>
      <c r="UVM554" s="178"/>
      <c r="UVN554" s="178"/>
      <c r="UVO554" s="178"/>
      <c r="UVP554" s="178"/>
      <c r="UVQ554" s="178"/>
      <c r="UVR554" s="178"/>
      <c r="UVS554" s="178"/>
      <c r="UVT554" s="178"/>
      <c r="UVU554" s="178"/>
      <c r="UVV554" s="178"/>
      <c r="UVW554" s="178"/>
      <c r="UVX554" s="178"/>
      <c r="UVY554" s="178"/>
      <c r="UVZ554" s="178"/>
      <c r="UWA554" s="178"/>
      <c r="UWB554" s="178"/>
      <c r="UWC554" s="178"/>
      <c r="UWD554" s="178"/>
      <c r="UWE554" s="178"/>
      <c r="UWF554" s="178"/>
      <c r="UWG554" s="178"/>
      <c r="UWH554" s="178"/>
      <c r="UWI554" s="178"/>
      <c r="UWJ554" s="178"/>
      <c r="UWK554" s="178"/>
      <c r="UWL554" s="178"/>
      <c r="UWM554" s="178"/>
      <c r="UWN554" s="178"/>
      <c r="UWO554" s="178"/>
      <c r="UWP554" s="178"/>
      <c r="UWQ554" s="178"/>
      <c r="UWR554" s="178"/>
      <c r="UWS554" s="178"/>
      <c r="UWT554" s="178"/>
      <c r="UWU554" s="178"/>
      <c r="UWV554" s="178"/>
      <c r="UWW554" s="178"/>
      <c r="UWX554" s="178"/>
      <c r="UWY554" s="178"/>
      <c r="UWZ554" s="178"/>
      <c r="UXA554" s="178"/>
      <c r="UXB554" s="178"/>
      <c r="UXC554" s="178"/>
      <c r="UXD554" s="178"/>
      <c r="UXE554" s="178"/>
      <c r="UXF554" s="178"/>
      <c r="UXG554" s="178"/>
      <c r="UXH554" s="178"/>
      <c r="UXI554" s="178"/>
      <c r="UXJ554" s="178"/>
      <c r="UXK554" s="178"/>
      <c r="UXL554" s="178"/>
      <c r="UXM554" s="178"/>
      <c r="UXN554" s="178"/>
      <c r="UXO554" s="178"/>
      <c r="UXP554" s="178"/>
      <c r="UXQ554" s="178"/>
      <c r="UXR554" s="178"/>
      <c r="UXS554" s="178"/>
      <c r="UXT554" s="178"/>
      <c r="UXU554" s="178"/>
      <c r="UXV554" s="178"/>
      <c r="UXW554" s="178"/>
      <c r="UXX554" s="178"/>
      <c r="UXY554" s="178"/>
      <c r="UXZ554" s="178"/>
      <c r="UYA554" s="178"/>
      <c r="UYB554" s="178"/>
      <c r="UYC554" s="178"/>
      <c r="UYD554" s="178"/>
      <c r="UYE554" s="178"/>
      <c r="UYF554" s="178"/>
      <c r="UYG554" s="178"/>
      <c r="UYH554" s="178"/>
      <c r="UYI554" s="178"/>
      <c r="UYJ554" s="178"/>
      <c r="UYK554" s="178"/>
      <c r="UYL554" s="178"/>
      <c r="UYM554" s="178"/>
      <c r="UYN554" s="178"/>
      <c r="UYO554" s="178"/>
      <c r="UYP554" s="178"/>
      <c r="UYQ554" s="178"/>
      <c r="UYR554" s="178"/>
      <c r="UYS554" s="178"/>
      <c r="UYT554" s="178"/>
      <c r="UYU554" s="178"/>
      <c r="UYV554" s="178"/>
      <c r="UYW554" s="178"/>
      <c r="UYX554" s="178"/>
      <c r="UYY554" s="178"/>
      <c r="UYZ554" s="178"/>
      <c r="UZA554" s="178"/>
      <c r="UZB554" s="178"/>
      <c r="UZC554" s="178"/>
      <c r="UZD554" s="178"/>
      <c r="UZE554" s="178"/>
      <c r="UZF554" s="178"/>
      <c r="UZG554" s="178"/>
      <c r="UZH554" s="178"/>
      <c r="UZI554" s="178"/>
      <c r="UZJ554" s="178"/>
      <c r="UZK554" s="178"/>
      <c r="UZL554" s="178"/>
      <c r="UZM554" s="178"/>
      <c r="UZN554" s="178"/>
      <c r="UZO554" s="178"/>
      <c r="UZP554" s="178"/>
      <c r="UZQ554" s="178"/>
      <c r="UZR554" s="178"/>
      <c r="UZS554" s="178"/>
      <c r="UZT554" s="178"/>
      <c r="UZU554" s="178"/>
      <c r="UZV554" s="178"/>
      <c r="UZW554" s="178"/>
      <c r="UZX554" s="178"/>
      <c r="UZY554" s="178"/>
      <c r="UZZ554" s="178"/>
      <c r="VAA554" s="178"/>
      <c r="VAB554" s="178"/>
      <c r="VAC554" s="178"/>
      <c r="VAD554" s="178"/>
      <c r="VAE554" s="178"/>
      <c r="VAF554" s="178"/>
      <c r="VAG554" s="178"/>
      <c r="VAH554" s="178"/>
      <c r="VAI554" s="178"/>
      <c r="VAJ554" s="178"/>
      <c r="VAK554" s="178"/>
      <c r="VAL554" s="178"/>
      <c r="VAM554" s="178"/>
      <c r="VAN554" s="178"/>
      <c r="VAO554" s="178"/>
      <c r="VAP554" s="178"/>
      <c r="VAQ554" s="178"/>
      <c r="VAR554" s="178"/>
      <c r="VAS554" s="178"/>
      <c r="VAT554" s="178"/>
      <c r="VAU554" s="178"/>
      <c r="VAV554" s="178"/>
      <c r="VAW554" s="178"/>
      <c r="VAX554" s="178"/>
      <c r="VAY554" s="178"/>
      <c r="VAZ554" s="178"/>
      <c r="VBA554" s="178"/>
      <c r="VBB554" s="178"/>
      <c r="VBC554" s="178"/>
      <c r="VBD554" s="178"/>
      <c r="VBE554" s="178"/>
      <c r="VBF554" s="178"/>
      <c r="VBG554" s="178"/>
      <c r="VBH554" s="178"/>
      <c r="VBI554" s="178"/>
      <c r="VBJ554" s="178"/>
      <c r="VBK554" s="178"/>
      <c r="VBL554" s="178"/>
      <c r="VBM554" s="178"/>
      <c r="VBN554" s="178"/>
      <c r="VBO554" s="178"/>
      <c r="VBP554" s="178"/>
      <c r="VBQ554" s="178"/>
      <c r="VBR554" s="178"/>
      <c r="VBS554" s="178"/>
      <c r="VBT554" s="178"/>
      <c r="VBU554" s="178"/>
      <c r="VBV554" s="178"/>
      <c r="VBW554" s="178"/>
      <c r="VBX554" s="178"/>
      <c r="VBY554" s="178"/>
      <c r="VBZ554" s="178"/>
      <c r="VCA554" s="178"/>
      <c r="VCB554" s="178"/>
      <c r="VCC554" s="178"/>
      <c r="VCD554" s="178"/>
      <c r="VCE554" s="178"/>
      <c r="VCF554" s="178"/>
      <c r="VCG554" s="178"/>
      <c r="VCH554" s="178"/>
      <c r="VCI554" s="178"/>
      <c r="VCJ554" s="178"/>
      <c r="VCK554" s="178"/>
      <c r="VCL554" s="178"/>
      <c r="VCM554" s="178"/>
      <c r="VCN554" s="178"/>
      <c r="VCO554" s="178"/>
      <c r="VCP554" s="178"/>
      <c r="VCQ554" s="178"/>
      <c r="VCR554" s="178"/>
      <c r="VCS554" s="178"/>
      <c r="VCT554" s="178"/>
      <c r="VCU554" s="178"/>
      <c r="VCV554" s="178"/>
      <c r="VCW554" s="178"/>
      <c r="VCX554" s="178"/>
      <c r="VCY554" s="178"/>
      <c r="VCZ554" s="178"/>
      <c r="VDA554" s="178"/>
      <c r="VDB554" s="178"/>
      <c r="VDC554" s="178"/>
      <c r="VDD554" s="178"/>
      <c r="VDE554" s="178"/>
      <c r="VDF554" s="178"/>
      <c r="VDG554" s="178"/>
      <c r="VDH554" s="178"/>
      <c r="VDI554" s="178"/>
      <c r="VDJ554" s="178"/>
      <c r="VDK554" s="178"/>
      <c r="VDL554" s="178"/>
      <c r="VDM554" s="178"/>
      <c r="VDN554" s="178"/>
      <c r="VDO554" s="178"/>
      <c r="VDP554" s="178"/>
      <c r="VDQ554" s="178"/>
      <c r="VDR554" s="178"/>
      <c r="VDS554" s="178"/>
      <c r="VDT554" s="178"/>
      <c r="VDU554" s="178"/>
      <c r="VDV554" s="178"/>
      <c r="VDW554" s="178"/>
      <c r="VDX554" s="178"/>
      <c r="VDY554" s="178"/>
      <c r="VDZ554" s="178"/>
      <c r="VEA554" s="178"/>
      <c r="VEB554" s="178"/>
      <c r="VEC554" s="178"/>
      <c r="VED554" s="178"/>
      <c r="VEE554" s="178"/>
      <c r="VEF554" s="178"/>
      <c r="VEG554" s="178"/>
      <c r="VEH554" s="178"/>
      <c r="VEI554" s="178"/>
      <c r="VEJ554" s="178"/>
      <c r="VEK554" s="178"/>
      <c r="VEL554" s="178"/>
      <c r="VEM554" s="178"/>
      <c r="VEN554" s="178"/>
      <c r="VEO554" s="178"/>
      <c r="VEP554" s="178"/>
      <c r="VEQ554" s="178"/>
      <c r="VER554" s="178"/>
      <c r="VES554" s="178"/>
      <c r="VET554" s="178"/>
      <c r="VEU554" s="178"/>
      <c r="VEV554" s="178"/>
      <c r="VEW554" s="178"/>
      <c r="VEX554" s="178"/>
      <c r="VEY554" s="178"/>
      <c r="VEZ554" s="178"/>
      <c r="VFA554" s="178"/>
      <c r="VFB554" s="178"/>
      <c r="VFC554" s="178"/>
      <c r="VFD554" s="178"/>
      <c r="VFE554" s="178"/>
      <c r="VFF554" s="178"/>
      <c r="VFG554" s="178"/>
      <c r="VFH554" s="178"/>
      <c r="VFI554" s="178"/>
      <c r="VFJ554" s="178"/>
      <c r="VFK554" s="178"/>
      <c r="VFL554" s="178"/>
      <c r="VFM554" s="178"/>
      <c r="VFN554" s="178"/>
      <c r="VFO554" s="178"/>
      <c r="VFP554" s="178"/>
      <c r="VFQ554" s="178"/>
      <c r="VFR554" s="178"/>
      <c r="VFS554" s="178"/>
      <c r="VFT554" s="178"/>
      <c r="VFU554" s="178"/>
      <c r="VFV554" s="178"/>
      <c r="VFW554" s="178"/>
      <c r="VFX554" s="178"/>
      <c r="VFY554" s="178"/>
      <c r="VFZ554" s="178"/>
      <c r="VGA554" s="178"/>
      <c r="VGB554" s="178"/>
      <c r="VGC554" s="178"/>
      <c r="VGD554" s="178"/>
      <c r="VGE554" s="178"/>
      <c r="VGF554" s="178"/>
      <c r="VGG554" s="178"/>
      <c r="VGH554" s="178"/>
      <c r="VGI554" s="178"/>
      <c r="VGJ554" s="178"/>
      <c r="VGK554" s="178"/>
      <c r="VGL554" s="178"/>
      <c r="VGM554" s="178"/>
      <c r="VGN554" s="178"/>
      <c r="VGO554" s="178"/>
      <c r="VGP554" s="178"/>
      <c r="VGQ554" s="178"/>
      <c r="VGR554" s="178"/>
      <c r="VGS554" s="178"/>
      <c r="VGT554" s="178"/>
      <c r="VGU554" s="178"/>
      <c r="VGV554" s="178"/>
      <c r="VGW554" s="178"/>
      <c r="VGX554" s="178"/>
      <c r="VGY554" s="178"/>
      <c r="VGZ554" s="178"/>
      <c r="VHA554" s="178"/>
      <c r="VHB554" s="178"/>
      <c r="VHC554" s="178"/>
      <c r="VHD554" s="178"/>
      <c r="VHE554" s="178"/>
      <c r="VHF554" s="178"/>
      <c r="VHG554" s="178"/>
      <c r="VHH554" s="178"/>
      <c r="VHI554" s="178"/>
      <c r="VHJ554" s="178"/>
      <c r="VHK554" s="178"/>
      <c r="VHL554" s="178"/>
      <c r="VHM554" s="178"/>
      <c r="VHN554" s="178"/>
      <c r="VHO554" s="178"/>
      <c r="VHP554" s="178"/>
      <c r="VHQ554" s="178"/>
      <c r="VHR554" s="178"/>
      <c r="VHS554" s="178"/>
      <c r="VHT554" s="178"/>
      <c r="VHU554" s="178"/>
      <c r="VHV554" s="178"/>
      <c r="VHW554" s="178"/>
      <c r="VHX554" s="178"/>
      <c r="VHY554" s="178"/>
      <c r="VHZ554" s="178"/>
      <c r="VIA554" s="178"/>
      <c r="VIB554" s="178"/>
      <c r="VIC554" s="178"/>
      <c r="VID554" s="178"/>
      <c r="VIE554" s="178"/>
      <c r="VIF554" s="178"/>
      <c r="VIG554" s="178"/>
      <c r="VIH554" s="178"/>
      <c r="VII554" s="178"/>
      <c r="VIJ554" s="178"/>
      <c r="VIK554" s="178"/>
      <c r="VIL554" s="178"/>
      <c r="VIM554" s="178"/>
      <c r="VIN554" s="178"/>
      <c r="VIO554" s="178"/>
      <c r="VIP554" s="178"/>
      <c r="VIQ554" s="178"/>
      <c r="VIR554" s="178"/>
      <c r="VIS554" s="178"/>
      <c r="VIT554" s="178"/>
      <c r="VIU554" s="178"/>
      <c r="VIV554" s="178"/>
      <c r="VIW554" s="178"/>
      <c r="VIX554" s="178"/>
      <c r="VIY554" s="178"/>
      <c r="VIZ554" s="178"/>
      <c r="VJA554" s="178"/>
      <c r="VJB554" s="178"/>
      <c r="VJC554" s="178"/>
      <c r="VJD554" s="178"/>
      <c r="VJE554" s="178"/>
      <c r="VJF554" s="178"/>
      <c r="VJG554" s="178"/>
      <c r="VJH554" s="178"/>
      <c r="VJI554" s="178"/>
      <c r="VJJ554" s="178"/>
      <c r="VJK554" s="178"/>
      <c r="VJL554" s="178"/>
      <c r="VJM554" s="178"/>
      <c r="VJN554" s="178"/>
      <c r="VJO554" s="178"/>
      <c r="VJP554" s="178"/>
      <c r="VJQ554" s="178"/>
      <c r="VJR554" s="178"/>
      <c r="VJS554" s="178"/>
      <c r="VJT554" s="178"/>
      <c r="VJU554" s="178"/>
      <c r="VJV554" s="178"/>
      <c r="VJW554" s="178"/>
      <c r="VJX554" s="178"/>
      <c r="VJY554" s="178"/>
      <c r="VJZ554" s="178"/>
      <c r="VKA554" s="178"/>
      <c r="VKB554" s="178"/>
      <c r="VKC554" s="178"/>
      <c r="VKD554" s="178"/>
      <c r="VKE554" s="178"/>
      <c r="VKF554" s="178"/>
      <c r="VKG554" s="178"/>
      <c r="VKH554" s="178"/>
      <c r="VKI554" s="178"/>
      <c r="VKJ554" s="178"/>
      <c r="VKK554" s="178"/>
      <c r="VKL554" s="178"/>
      <c r="VKM554" s="178"/>
      <c r="VKN554" s="178"/>
      <c r="VKO554" s="178"/>
      <c r="VKP554" s="178"/>
      <c r="VKQ554" s="178"/>
      <c r="VKR554" s="178"/>
      <c r="VKS554" s="178"/>
      <c r="VKT554" s="178"/>
      <c r="VKU554" s="178"/>
      <c r="VKV554" s="178"/>
      <c r="VKW554" s="178"/>
      <c r="VKX554" s="178"/>
      <c r="VKY554" s="178"/>
      <c r="VKZ554" s="178"/>
      <c r="VLA554" s="178"/>
      <c r="VLB554" s="178"/>
      <c r="VLC554" s="178"/>
      <c r="VLD554" s="178"/>
      <c r="VLE554" s="178"/>
      <c r="VLF554" s="178"/>
      <c r="VLG554" s="178"/>
      <c r="VLH554" s="178"/>
      <c r="VLI554" s="178"/>
      <c r="VLJ554" s="178"/>
      <c r="VLK554" s="178"/>
      <c r="VLL554" s="178"/>
      <c r="VLM554" s="178"/>
      <c r="VLN554" s="178"/>
      <c r="VLO554" s="178"/>
      <c r="VLP554" s="178"/>
      <c r="VLQ554" s="178"/>
      <c r="VLR554" s="178"/>
      <c r="VLS554" s="178"/>
      <c r="VLT554" s="178"/>
      <c r="VLU554" s="178"/>
      <c r="VLV554" s="178"/>
      <c r="VLW554" s="178"/>
      <c r="VLX554" s="178"/>
      <c r="VLY554" s="178"/>
      <c r="VLZ554" s="178"/>
      <c r="VMA554" s="178"/>
      <c r="VMB554" s="178"/>
      <c r="VMC554" s="178"/>
      <c r="VMD554" s="178"/>
      <c r="VME554" s="178"/>
      <c r="VMF554" s="178"/>
      <c r="VMG554" s="178"/>
      <c r="VMH554" s="178"/>
      <c r="VMI554" s="178"/>
      <c r="VMJ554" s="178"/>
      <c r="VMK554" s="178"/>
      <c r="VML554" s="178"/>
      <c r="VMM554" s="178"/>
      <c r="VMN554" s="178"/>
      <c r="VMO554" s="178"/>
      <c r="VMP554" s="178"/>
      <c r="VMQ554" s="178"/>
      <c r="VMR554" s="178"/>
      <c r="VMS554" s="178"/>
      <c r="VMT554" s="178"/>
      <c r="VMU554" s="178"/>
      <c r="VMV554" s="178"/>
      <c r="VMW554" s="178"/>
      <c r="VMX554" s="178"/>
      <c r="VMY554" s="178"/>
      <c r="VMZ554" s="178"/>
      <c r="VNA554" s="178"/>
      <c r="VNB554" s="178"/>
      <c r="VNC554" s="178"/>
      <c r="VND554" s="178"/>
      <c r="VNE554" s="178"/>
      <c r="VNF554" s="178"/>
      <c r="VNG554" s="178"/>
      <c r="VNH554" s="178"/>
      <c r="VNI554" s="178"/>
      <c r="VNJ554" s="178"/>
      <c r="VNK554" s="178"/>
      <c r="VNL554" s="178"/>
      <c r="VNM554" s="178"/>
      <c r="VNN554" s="178"/>
      <c r="VNO554" s="178"/>
      <c r="VNP554" s="178"/>
      <c r="VNQ554" s="178"/>
      <c r="VNR554" s="178"/>
      <c r="VNS554" s="178"/>
      <c r="VNT554" s="178"/>
      <c r="VNU554" s="178"/>
      <c r="VNV554" s="178"/>
      <c r="VNW554" s="178"/>
      <c r="VNX554" s="178"/>
      <c r="VNY554" s="178"/>
      <c r="VNZ554" s="178"/>
      <c r="VOA554" s="178"/>
      <c r="VOB554" s="178"/>
      <c r="VOC554" s="178"/>
      <c r="VOD554" s="178"/>
      <c r="VOE554" s="178"/>
      <c r="VOF554" s="178"/>
      <c r="VOG554" s="178"/>
      <c r="VOH554" s="178"/>
      <c r="VOI554" s="178"/>
      <c r="VOJ554" s="178"/>
      <c r="VOK554" s="178"/>
      <c r="VOL554" s="178"/>
      <c r="VOM554" s="178"/>
      <c r="VON554" s="178"/>
      <c r="VOO554" s="178"/>
      <c r="VOP554" s="178"/>
      <c r="VOQ554" s="178"/>
      <c r="VOR554" s="178"/>
      <c r="VOS554" s="178"/>
      <c r="VOT554" s="178"/>
      <c r="VOU554" s="178"/>
      <c r="VOV554" s="178"/>
      <c r="VOW554" s="178"/>
      <c r="VOX554" s="178"/>
      <c r="VOY554" s="178"/>
      <c r="VOZ554" s="178"/>
      <c r="VPA554" s="178"/>
      <c r="VPB554" s="178"/>
      <c r="VPC554" s="178"/>
      <c r="VPD554" s="178"/>
      <c r="VPE554" s="178"/>
      <c r="VPF554" s="178"/>
      <c r="VPG554" s="178"/>
      <c r="VPH554" s="178"/>
      <c r="VPI554" s="178"/>
      <c r="VPJ554" s="178"/>
      <c r="VPK554" s="178"/>
      <c r="VPL554" s="178"/>
      <c r="VPM554" s="178"/>
      <c r="VPN554" s="178"/>
      <c r="VPO554" s="178"/>
      <c r="VPP554" s="178"/>
      <c r="VPQ554" s="178"/>
      <c r="VPR554" s="178"/>
      <c r="VPS554" s="178"/>
      <c r="VPT554" s="178"/>
      <c r="VPU554" s="178"/>
      <c r="VPV554" s="178"/>
      <c r="VPW554" s="178"/>
      <c r="VPX554" s="178"/>
      <c r="VPY554" s="178"/>
      <c r="VPZ554" s="178"/>
      <c r="VQA554" s="178"/>
      <c r="VQB554" s="178"/>
      <c r="VQC554" s="178"/>
      <c r="VQD554" s="178"/>
      <c r="VQE554" s="178"/>
      <c r="VQF554" s="178"/>
      <c r="VQG554" s="178"/>
      <c r="VQH554" s="178"/>
      <c r="VQI554" s="178"/>
      <c r="VQJ554" s="178"/>
      <c r="VQK554" s="178"/>
      <c r="VQL554" s="178"/>
      <c r="VQM554" s="178"/>
      <c r="VQN554" s="178"/>
      <c r="VQO554" s="178"/>
      <c r="VQP554" s="178"/>
      <c r="VQQ554" s="178"/>
      <c r="VQR554" s="178"/>
      <c r="VQS554" s="178"/>
      <c r="VQT554" s="178"/>
      <c r="VQU554" s="178"/>
      <c r="VQV554" s="178"/>
      <c r="VQW554" s="178"/>
      <c r="VQX554" s="178"/>
      <c r="VQY554" s="178"/>
      <c r="VQZ554" s="178"/>
      <c r="VRA554" s="178"/>
      <c r="VRB554" s="178"/>
      <c r="VRC554" s="178"/>
      <c r="VRD554" s="178"/>
      <c r="VRE554" s="178"/>
      <c r="VRF554" s="178"/>
      <c r="VRG554" s="178"/>
      <c r="VRH554" s="178"/>
      <c r="VRI554" s="178"/>
      <c r="VRJ554" s="178"/>
      <c r="VRK554" s="178"/>
      <c r="VRL554" s="178"/>
      <c r="VRM554" s="178"/>
      <c r="VRN554" s="178"/>
      <c r="VRO554" s="178"/>
      <c r="VRP554" s="178"/>
      <c r="VRQ554" s="178"/>
      <c r="VRR554" s="178"/>
      <c r="VRS554" s="178"/>
      <c r="VRT554" s="178"/>
      <c r="VRU554" s="178"/>
      <c r="VRV554" s="178"/>
      <c r="VRW554" s="178"/>
      <c r="VRX554" s="178"/>
      <c r="VRY554" s="178"/>
      <c r="VRZ554" s="178"/>
      <c r="VSA554" s="178"/>
      <c r="VSB554" s="178"/>
      <c r="VSC554" s="178"/>
      <c r="VSD554" s="178"/>
      <c r="VSE554" s="178"/>
      <c r="VSF554" s="178"/>
      <c r="VSG554" s="178"/>
      <c r="VSH554" s="178"/>
      <c r="VSI554" s="178"/>
      <c r="VSJ554" s="178"/>
      <c r="VSK554" s="178"/>
      <c r="VSL554" s="178"/>
      <c r="VSM554" s="178"/>
      <c r="VSN554" s="178"/>
      <c r="VSO554" s="178"/>
      <c r="VSP554" s="178"/>
      <c r="VSQ554" s="178"/>
      <c r="VSR554" s="178"/>
      <c r="VSS554" s="178"/>
      <c r="VST554" s="178"/>
      <c r="VSU554" s="178"/>
      <c r="VSV554" s="178"/>
      <c r="VSW554" s="178"/>
      <c r="VSX554" s="178"/>
      <c r="VSY554" s="178"/>
      <c r="VSZ554" s="178"/>
      <c r="VTA554" s="178"/>
      <c r="VTB554" s="178"/>
      <c r="VTC554" s="178"/>
      <c r="VTD554" s="178"/>
      <c r="VTE554" s="178"/>
      <c r="VTF554" s="178"/>
      <c r="VTG554" s="178"/>
      <c r="VTH554" s="178"/>
      <c r="VTI554" s="178"/>
      <c r="VTJ554" s="178"/>
      <c r="VTK554" s="178"/>
      <c r="VTL554" s="178"/>
      <c r="VTM554" s="178"/>
      <c r="VTN554" s="178"/>
      <c r="VTO554" s="178"/>
      <c r="VTP554" s="178"/>
      <c r="VTQ554" s="178"/>
      <c r="VTR554" s="178"/>
      <c r="VTS554" s="178"/>
      <c r="VTT554" s="178"/>
      <c r="VTU554" s="178"/>
      <c r="VTV554" s="178"/>
      <c r="VTW554" s="178"/>
      <c r="VTX554" s="178"/>
      <c r="VTY554" s="178"/>
      <c r="VTZ554" s="178"/>
      <c r="VUA554" s="178"/>
      <c r="VUB554" s="178"/>
      <c r="VUC554" s="178"/>
      <c r="VUD554" s="178"/>
      <c r="VUE554" s="178"/>
      <c r="VUF554" s="178"/>
      <c r="VUG554" s="178"/>
      <c r="VUH554" s="178"/>
      <c r="VUI554" s="178"/>
      <c r="VUJ554" s="178"/>
      <c r="VUK554" s="178"/>
      <c r="VUL554" s="178"/>
      <c r="VUM554" s="178"/>
      <c r="VUN554" s="178"/>
      <c r="VUO554" s="178"/>
      <c r="VUP554" s="178"/>
      <c r="VUQ554" s="178"/>
      <c r="VUR554" s="178"/>
      <c r="VUS554" s="178"/>
      <c r="VUT554" s="178"/>
      <c r="VUU554" s="178"/>
      <c r="VUV554" s="178"/>
      <c r="VUW554" s="178"/>
      <c r="VUX554" s="178"/>
      <c r="VUY554" s="178"/>
      <c r="VUZ554" s="178"/>
      <c r="VVA554" s="178"/>
      <c r="VVB554" s="178"/>
      <c r="VVC554" s="178"/>
      <c r="VVD554" s="178"/>
      <c r="VVE554" s="178"/>
      <c r="VVF554" s="178"/>
      <c r="VVG554" s="178"/>
      <c r="VVH554" s="178"/>
      <c r="VVI554" s="178"/>
      <c r="VVJ554" s="178"/>
      <c r="VVK554" s="178"/>
      <c r="VVL554" s="178"/>
      <c r="VVM554" s="178"/>
      <c r="VVN554" s="178"/>
      <c r="VVO554" s="178"/>
      <c r="VVP554" s="178"/>
      <c r="VVQ554" s="178"/>
      <c r="VVR554" s="178"/>
      <c r="VVS554" s="178"/>
      <c r="VVT554" s="178"/>
      <c r="VVU554" s="178"/>
      <c r="VVV554" s="178"/>
      <c r="VVW554" s="178"/>
      <c r="VVX554" s="178"/>
      <c r="VVY554" s="178"/>
      <c r="VVZ554" s="178"/>
      <c r="VWA554" s="178"/>
      <c r="VWB554" s="178"/>
      <c r="VWC554" s="178"/>
      <c r="VWD554" s="178"/>
      <c r="VWE554" s="178"/>
      <c r="VWF554" s="178"/>
      <c r="VWG554" s="178"/>
      <c r="VWH554" s="178"/>
      <c r="VWI554" s="178"/>
      <c r="VWJ554" s="178"/>
      <c r="VWK554" s="178"/>
      <c r="VWL554" s="178"/>
      <c r="VWM554" s="178"/>
      <c r="VWN554" s="178"/>
      <c r="VWO554" s="178"/>
      <c r="VWP554" s="178"/>
      <c r="VWQ554" s="178"/>
      <c r="VWR554" s="178"/>
      <c r="VWS554" s="178"/>
      <c r="VWT554" s="178"/>
      <c r="VWU554" s="178"/>
      <c r="VWV554" s="178"/>
      <c r="VWW554" s="178"/>
      <c r="VWX554" s="178"/>
      <c r="VWY554" s="178"/>
      <c r="VWZ554" s="178"/>
      <c r="VXA554" s="178"/>
      <c r="VXB554" s="178"/>
      <c r="VXC554" s="178"/>
      <c r="VXD554" s="178"/>
      <c r="VXE554" s="178"/>
      <c r="VXF554" s="178"/>
      <c r="VXG554" s="178"/>
      <c r="VXH554" s="178"/>
      <c r="VXI554" s="178"/>
      <c r="VXJ554" s="178"/>
      <c r="VXK554" s="178"/>
      <c r="VXL554" s="178"/>
      <c r="VXM554" s="178"/>
      <c r="VXN554" s="178"/>
      <c r="VXO554" s="178"/>
      <c r="VXP554" s="178"/>
      <c r="VXQ554" s="178"/>
      <c r="VXR554" s="178"/>
      <c r="VXS554" s="178"/>
      <c r="VXT554" s="178"/>
      <c r="VXU554" s="178"/>
      <c r="VXV554" s="178"/>
      <c r="VXW554" s="178"/>
      <c r="VXX554" s="178"/>
      <c r="VXY554" s="178"/>
      <c r="VXZ554" s="178"/>
      <c r="VYA554" s="178"/>
      <c r="VYB554" s="178"/>
      <c r="VYC554" s="178"/>
      <c r="VYD554" s="178"/>
      <c r="VYE554" s="178"/>
      <c r="VYF554" s="178"/>
      <c r="VYG554" s="178"/>
      <c r="VYH554" s="178"/>
      <c r="VYI554" s="178"/>
      <c r="VYJ554" s="178"/>
      <c r="VYK554" s="178"/>
      <c r="VYL554" s="178"/>
      <c r="VYM554" s="178"/>
      <c r="VYN554" s="178"/>
      <c r="VYO554" s="178"/>
      <c r="VYP554" s="178"/>
      <c r="VYQ554" s="178"/>
      <c r="VYR554" s="178"/>
      <c r="VYS554" s="178"/>
      <c r="VYT554" s="178"/>
      <c r="VYU554" s="178"/>
      <c r="VYV554" s="178"/>
      <c r="VYW554" s="178"/>
      <c r="VYX554" s="178"/>
      <c r="VYY554" s="178"/>
      <c r="VYZ554" s="178"/>
      <c r="VZA554" s="178"/>
      <c r="VZB554" s="178"/>
      <c r="VZC554" s="178"/>
      <c r="VZD554" s="178"/>
      <c r="VZE554" s="178"/>
      <c r="VZF554" s="178"/>
      <c r="VZG554" s="178"/>
      <c r="VZH554" s="178"/>
      <c r="VZI554" s="178"/>
      <c r="VZJ554" s="178"/>
      <c r="VZK554" s="178"/>
      <c r="VZL554" s="178"/>
      <c r="VZM554" s="178"/>
      <c r="VZN554" s="178"/>
      <c r="VZO554" s="178"/>
      <c r="VZP554" s="178"/>
      <c r="VZQ554" s="178"/>
      <c r="VZR554" s="178"/>
      <c r="VZS554" s="178"/>
      <c r="VZT554" s="178"/>
      <c r="VZU554" s="178"/>
      <c r="VZV554" s="178"/>
      <c r="VZW554" s="178"/>
      <c r="VZX554" s="178"/>
      <c r="VZY554" s="178"/>
      <c r="VZZ554" s="178"/>
      <c r="WAA554" s="178"/>
      <c r="WAB554" s="178"/>
      <c r="WAC554" s="178"/>
      <c r="WAD554" s="178"/>
      <c r="WAE554" s="178"/>
      <c r="WAF554" s="178"/>
      <c r="WAG554" s="178"/>
      <c r="WAH554" s="178"/>
      <c r="WAI554" s="178"/>
      <c r="WAJ554" s="178"/>
      <c r="WAK554" s="178"/>
      <c r="WAL554" s="178"/>
      <c r="WAM554" s="178"/>
      <c r="WAN554" s="178"/>
      <c r="WAO554" s="178"/>
      <c r="WAP554" s="178"/>
      <c r="WAQ554" s="178"/>
      <c r="WAR554" s="178"/>
      <c r="WAS554" s="178"/>
      <c r="WAT554" s="178"/>
      <c r="WAU554" s="178"/>
      <c r="WAV554" s="178"/>
      <c r="WAW554" s="178"/>
      <c r="WAX554" s="178"/>
      <c r="WAY554" s="178"/>
      <c r="WAZ554" s="178"/>
      <c r="WBA554" s="178"/>
      <c r="WBB554" s="178"/>
      <c r="WBC554" s="178"/>
      <c r="WBD554" s="178"/>
      <c r="WBE554" s="178"/>
      <c r="WBF554" s="178"/>
      <c r="WBG554" s="178"/>
      <c r="WBH554" s="178"/>
      <c r="WBI554" s="178"/>
      <c r="WBJ554" s="178"/>
      <c r="WBK554" s="178"/>
      <c r="WBL554" s="178"/>
      <c r="WBM554" s="178"/>
      <c r="WBN554" s="178"/>
      <c r="WBO554" s="178"/>
      <c r="WBP554" s="178"/>
      <c r="WBQ554" s="178"/>
      <c r="WBR554" s="178"/>
      <c r="WBS554" s="178"/>
      <c r="WBT554" s="178"/>
      <c r="WBU554" s="178"/>
      <c r="WBV554" s="178"/>
      <c r="WBW554" s="178"/>
      <c r="WBX554" s="178"/>
      <c r="WBY554" s="178"/>
      <c r="WBZ554" s="178"/>
      <c r="WCA554" s="178"/>
      <c r="WCB554" s="178"/>
      <c r="WCC554" s="178"/>
      <c r="WCD554" s="178"/>
      <c r="WCE554" s="178"/>
      <c r="WCF554" s="178"/>
      <c r="WCG554" s="178"/>
      <c r="WCH554" s="178"/>
      <c r="WCI554" s="178"/>
      <c r="WCJ554" s="178"/>
      <c r="WCK554" s="178"/>
      <c r="WCL554" s="178"/>
      <c r="WCM554" s="178"/>
      <c r="WCN554" s="178"/>
      <c r="WCO554" s="178"/>
      <c r="WCP554" s="178"/>
      <c r="WCQ554" s="178"/>
      <c r="WCR554" s="178"/>
      <c r="WCS554" s="178"/>
      <c r="WCT554" s="178"/>
      <c r="WCU554" s="178"/>
      <c r="WCV554" s="178"/>
      <c r="WCW554" s="178"/>
      <c r="WCX554" s="178"/>
      <c r="WCY554" s="178"/>
      <c r="WCZ554" s="178"/>
      <c r="WDA554" s="178"/>
      <c r="WDB554" s="178"/>
      <c r="WDC554" s="178"/>
      <c r="WDD554" s="178"/>
      <c r="WDE554" s="178"/>
      <c r="WDF554" s="178"/>
      <c r="WDG554" s="178"/>
      <c r="WDH554" s="178"/>
      <c r="WDI554" s="178"/>
      <c r="WDJ554" s="178"/>
      <c r="WDK554" s="178"/>
      <c r="WDL554" s="178"/>
      <c r="WDM554" s="178"/>
      <c r="WDN554" s="178"/>
      <c r="WDO554" s="178"/>
      <c r="WDP554" s="178"/>
      <c r="WDQ554" s="178"/>
      <c r="WDR554" s="178"/>
      <c r="WDS554" s="178"/>
      <c r="WDT554" s="178"/>
      <c r="WDU554" s="178"/>
      <c r="WDV554" s="178"/>
      <c r="WDW554" s="178"/>
      <c r="WDX554" s="178"/>
      <c r="WDY554" s="178"/>
      <c r="WDZ554" s="178"/>
      <c r="WEA554" s="178"/>
      <c r="WEB554" s="178"/>
      <c r="WEC554" s="178"/>
      <c r="WED554" s="178"/>
      <c r="WEE554" s="178"/>
      <c r="WEF554" s="178"/>
      <c r="WEG554" s="178"/>
      <c r="WEH554" s="178"/>
      <c r="WEI554" s="178"/>
      <c r="WEJ554" s="178"/>
      <c r="WEK554" s="178"/>
      <c r="WEL554" s="178"/>
      <c r="WEM554" s="178"/>
      <c r="WEN554" s="178"/>
      <c r="WEO554" s="178"/>
      <c r="WEP554" s="178"/>
      <c r="WEQ554" s="178"/>
      <c r="WER554" s="178"/>
      <c r="WES554" s="178"/>
      <c r="WET554" s="178"/>
      <c r="WEU554" s="178"/>
      <c r="WEV554" s="178"/>
      <c r="WEW554" s="178"/>
      <c r="WEX554" s="178"/>
      <c r="WEY554" s="178"/>
      <c r="WEZ554" s="178"/>
      <c r="WFA554" s="178"/>
      <c r="WFB554" s="178"/>
      <c r="WFC554" s="178"/>
      <c r="WFD554" s="178"/>
      <c r="WFE554" s="178"/>
      <c r="WFF554" s="178"/>
      <c r="WFG554" s="178"/>
      <c r="WFH554" s="178"/>
      <c r="WFI554" s="178"/>
      <c r="WFJ554" s="178"/>
      <c r="WFK554" s="178"/>
      <c r="WFL554" s="178"/>
      <c r="WFM554" s="178"/>
      <c r="WFN554" s="178"/>
      <c r="WFO554" s="178"/>
      <c r="WFP554" s="178"/>
      <c r="WFQ554" s="178"/>
      <c r="WFR554" s="178"/>
      <c r="WFS554" s="178"/>
      <c r="WFT554" s="178"/>
      <c r="WFU554" s="178"/>
      <c r="WFV554" s="178"/>
      <c r="WFW554" s="178"/>
      <c r="WFX554" s="178"/>
      <c r="WFY554" s="178"/>
      <c r="WFZ554" s="178"/>
      <c r="WGA554" s="178"/>
      <c r="WGB554" s="178"/>
      <c r="WGC554" s="178"/>
      <c r="WGD554" s="178"/>
      <c r="WGE554" s="178"/>
      <c r="WGF554" s="178"/>
      <c r="WGG554" s="178"/>
      <c r="WGH554" s="178"/>
      <c r="WGI554" s="178"/>
      <c r="WGJ554" s="178"/>
      <c r="WGK554" s="178"/>
      <c r="WGL554" s="178"/>
      <c r="WGM554" s="178"/>
      <c r="WGN554" s="178"/>
      <c r="WGO554" s="178"/>
      <c r="WGP554" s="178"/>
      <c r="WGQ554" s="178"/>
      <c r="WGR554" s="178"/>
      <c r="WGS554" s="178"/>
      <c r="WGT554" s="178"/>
      <c r="WGU554" s="178"/>
      <c r="WGV554" s="178"/>
      <c r="WGW554" s="178"/>
      <c r="WGX554" s="178"/>
      <c r="WGY554" s="178"/>
      <c r="WGZ554" s="178"/>
      <c r="WHA554" s="178"/>
      <c r="WHB554" s="178"/>
      <c r="WHC554" s="178"/>
      <c r="WHD554" s="178"/>
      <c r="WHE554" s="178"/>
      <c r="WHF554" s="178"/>
      <c r="WHG554" s="178"/>
      <c r="WHH554" s="178"/>
      <c r="WHI554" s="178"/>
      <c r="WHJ554" s="178"/>
      <c r="WHK554" s="178"/>
      <c r="WHL554" s="178"/>
      <c r="WHM554" s="178"/>
      <c r="WHN554" s="178"/>
      <c r="WHO554" s="178"/>
      <c r="WHP554" s="178"/>
      <c r="WHQ554" s="178"/>
      <c r="WHR554" s="178"/>
      <c r="WHS554" s="178"/>
      <c r="WHT554" s="178"/>
      <c r="WHU554" s="178"/>
      <c r="WHV554" s="178"/>
      <c r="WHW554" s="178"/>
      <c r="WHX554" s="178"/>
      <c r="WHY554" s="178"/>
      <c r="WHZ554" s="178"/>
      <c r="WIA554" s="178"/>
      <c r="WIB554" s="178"/>
      <c r="WIC554" s="178"/>
      <c r="WID554" s="178"/>
      <c r="WIE554" s="178"/>
      <c r="WIF554" s="178"/>
      <c r="WIG554" s="178"/>
      <c r="WIH554" s="178"/>
      <c r="WII554" s="178"/>
      <c r="WIJ554" s="178"/>
      <c r="WIK554" s="178"/>
      <c r="WIL554" s="178"/>
      <c r="WIM554" s="178"/>
      <c r="WIN554" s="178"/>
      <c r="WIO554" s="178"/>
      <c r="WIP554" s="178"/>
      <c r="WIQ554" s="178"/>
      <c r="WIR554" s="178"/>
      <c r="WIS554" s="178"/>
      <c r="WIT554" s="178"/>
      <c r="WIU554" s="178"/>
      <c r="WIV554" s="178"/>
      <c r="WIW554" s="178"/>
      <c r="WIX554" s="178"/>
      <c r="WIY554" s="178"/>
      <c r="WIZ554" s="178"/>
      <c r="WJA554" s="178"/>
      <c r="WJB554" s="178"/>
      <c r="WJC554" s="178"/>
      <c r="WJD554" s="178"/>
      <c r="WJE554" s="178"/>
      <c r="WJF554" s="178"/>
      <c r="WJG554" s="178"/>
      <c r="WJH554" s="178"/>
      <c r="WJI554" s="178"/>
      <c r="WJJ554" s="178"/>
      <c r="WJK554" s="178"/>
      <c r="WJL554" s="178"/>
      <c r="WJM554" s="178"/>
      <c r="WJN554" s="178"/>
      <c r="WJO554" s="178"/>
      <c r="WJP554" s="178"/>
      <c r="WJQ554" s="178"/>
      <c r="WJR554" s="178"/>
      <c r="WJS554" s="178"/>
      <c r="WJT554" s="178"/>
      <c r="WJU554" s="178"/>
      <c r="WJV554" s="178"/>
      <c r="WJW554" s="178"/>
      <c r="WJX554" s="178"/>
      <c r="WJY554" s="178"/>
      <c r="WJZ554" s="178"/>
      <c r="WKA554" s="178"/>
      <c r="WKB554" s="178"/>
      <c r="WKC554" s="178"/>
      <c r="WKD554" s="178"/>
      <c r="WKE554" s="178"/>
      <c r="WKF554" s="178"/>
      <c r="WKG554" s="178"/>
      <c r="WKH554" s="178"/>
      <c r="WKI554" s="178"/>
      <c r="WKJ554" s="178"/>
      <c r="WKK554" s="178"/>
      <c r="WKL554" s="178"/>
      <c r="WKM554" s="178"/>
      <c r="WKN554" s="178"/>
      <c r="WKO554" s="178"/>
      <c r="WKP554" s="178"/>
      <c r="WKQ554" s="178"/>
      <c r="WKR554" s="178"/>
      <c r="WKS554" s="178"/>
      <c r="WKT554" s="178"/>
      <c r="WKU554" s="178"/>
      <c r="WKV554" s="178"/>
      <c r="WKW554" s="178"/>
      <c r="WKX554" s="178"/>
      <c r="WKY554" s="178"/>
      <c r="WKZ554" s="178"/>
      <c r="WLA554" s="178"/>
      <c r="WLB554" s="178"/>
      <c r="WLC554" s="178"/>
      <c r="WLD554" s="178"/>
      <c r="WLE554" s="178"/>
      <c r="WLF554" s="178"/>
      <c r="WLG554" s="178"/>
      <c r="WLH554" s="178"/>
      <c r="WLI554" s="178"/>
      <c r="WLJ554" s="178"/>
      <c r="WLK554" s="178"/>
      <c r="WLL554" s="178"/>
      <c r="WLM554" s="178"/>
      <c r="WLN554" s="178"/>
      <c r="WLO554" s="178"/>
      <c r="WLP554" s="178"/>
      <c r="WLQ554" s="178"/>
      <c r="WLR554" s="178"/>
      <c r="WLS554" s="178"/>
      <c r="WLT554" s="178"/>
      <c r="WLU554" s="178"/>
      <c r="WLV554" s="178"/>
      <c r="WLW554" s="178"/>
      <c r="WLX554" s="178"/>
      <c r="WLY554" s="178"/>
      <c r="WLZ554" s="178"/>
      <c r="WMA554" s="178"/>
      <c r="WMB554" s="178"/>
      <c r="WMC554" s="178"/>
      <c r="WMD554" s="178"/>
      <c r="WME554" s="178"/>
      <c r="WMF554" s="178"/>
      <c r="WMG554" s="178"/>
      <c r="WMH554" s="178"/>
      <c r="WMI554" s="178"/>
      <c r="WMJ554" s="178"/>
      <c r="WMK554" s="178"/>
      <c r="WML554" s="178"/>
      <c r="WMM554" s="178"/>
      <c r="WMN554" s="178"/>
      <c r="WMO554" s="178"/>
      <c r="WMP554" s="178"/>
      <c r="WMQ554" s="178"/>
      <c r="WMR554" s="178"/>
      <c r="WMS554" s="178"/>
      <c r="WMT554" s="178"/>
      <c r="WMU554" s="178"/>
      <c r="WMV554" s="178"/>
      <c r="WMW554" s="178"/>
      <c r="WMX554" s="178"/>
      <c r="WMY554" s="178"/>
      <c r="WMZ554" s="178"/>
      <c r="WNA554" s="178"/>
      <c r="WNB554" s="178"/>
      <c r="WNC554" s="178"/>
      <c r="WND554" s="178"/>
      <c r="WNE554" s="178"/>
      <c r="WNF554" s="178"/>
      <c r="WNG554" s="178"/>
      <c r="WNH554" s="178"/>
      <c r="WNI554" s="178"/>
      <c r="WNJ554" s="178"/>
      <c r="WNK554" s="178"/>
      <c r="WNL554" s="178"/>
      <c r="WNM554" s="178"/>
      <c r="WNN554" s="178"/>
      <c r="WNO554" s="178"/>
      <c r="WNP554" s="178"/>
      <c r="WNQ554" s="178"/>
      <c r="WNR554" s="178"/>
      <c r="WNS554" s="178"/>
      <c r="WNT554" s="178"/>
      <c r="WNU554" s="178"/>
      <c r="WNV554" s="178"/>
      <c r="WNW554" s="178"/>
      <c r="WNX554" s="178"/>
      <c r="WNY554" s="178"/>
      <c r="WNZ554" s="178"/>
      <c r="WOA554" s="178"/>
      <c r="WOB554" s="178"/>
      <c r="WOC554" s="178"/>
      <c r="WOD554" s="178"/>
      <c r="WOE554" s="178"/>
      <c r="WOF554" s="178"/>
      <c r="WOG554" s="178"/>
      <c r="WOH554" s="178"/>
      <c r="WOI554" s="178"/>
      <c r="WOJ554" s="178"/>
      <c r="WOK554" s="178"/>
      <c r="WOL554" s="178"/>
      <c r="WOM554" s="178"/>
      <c r="WON554" s="178"/>
      <c r="WOO554" s="178"/>
      <c r="WOP554" s="178"/>
      <c r="WOQ554" s="178"/>
      <c r="WOR554" s="178"/>
      <c r="WOS554" s="178"/>
      <c r="WOT554" s="178"/>
      <c r="WOU554" s="178"/>
      <c r="WOV554" s="178"/>
      <c r="WOW554" s="178"/>
      <c r="WOX554" s="178"/>
      <c r="WOY554" s="178"/>
      <c r="WOZ554" s="178"/>
      <c r="WPA554" s="178"/>
      <c r="WPB554" s="178"/>
      <c r="WPC554" s="178"/>
      <c r="WPD554" s="178"/>
      <c r="WPE554" s="178"/>
      <c r="WPF554" s="178"/>
      <c r="WPG554" s="178"/>
      <c r="WPH554" s="178"/>
      <c r="WPI554" s="178"/>
      <c r="WPJ554" s="178"/>
      <c r="WPK554" s="178"/>
      <c r="WPL554" s="178"/>
      <c r="WPM554" s="178"/>
      <c r="WPN554" s="178"/>
      <c r="WPO554" s="178"/>
      <c r="WPP554" s="178"/>
      <c r="WPQ554" s="178"/>
      <c r="WPR554" s="178"/>
      <c r="WPS554" s="178"/>
      <c r="WPT554" s="178"/>
      <c r="WPU554" s="178"/>
      <c r="WPV554" s="178"/>
      <c r="WPW554" s="178"/>
      <c r="WPX554" s="178"/>
      <c r="WPY554" s="178"/>
      <c r="WPZ554" s="178"/>
      <c r="WQA554" s="178"/>
      <c r="WQB554" s="178"/>
      <c r="WQC554" s="178"/>
      <c r="WQD554" s="178"/>
      <c r="WQE554" s="178"/>
      <c r="WQF554" s="178"/>
      <c r="WQG554" s="178"/>
      <c r="WQH554" s="178"/>
      <c r="WQI554" s="178"/>
      <c r="WQJ554" s="178"/>
      <c r="WQK554" s="178"/>
      <c r="WQL554" s="178"/>
      <c r="WQM554" s="178"/>
      <c r="WQN554" s="178"/>
      <c r="WQO554" s="178"/>
      <c r="WQP554" s="178"/>
      <c r="WQQ554" s="178"/>
      <c r="WQR554" s="178"/>
      <c r="WQS554" s="178"/>
      <c r="WQT554" s="178"/>
      <c r="WQU554" s="178"/>
      <c r="WQV554" s="178"/>
      <c r="WQW554" s="178"/>
      <c r="WQX554" s="178"/>
      <c r="WQY554" s="178"/>
      <c r="WQZ554" s="178"/>
      <c r="WRA554" s="178"/>
      <c r="WRB554" s="178"/>
      <c r="WRC554" s="178"/>
      <c r="WRD554" s="178"/>
      <c r="WRE554" s="178"/>
      <c r="WRF554" s="178"/>
      <c r="WRG554" s="178"/>
      <c r="WRH554" s="178"/>
      <c r="WRI554" s="178"/>
      <c r="WRJ554" s="178"/>
      <c r="WRK554" s="178"/>
      <c r="WRL554" s="178"/>
      <c r="WRM554" s="178"/>
      <c r="WRN554" s="178"/>
      <c r="WRO554" s="178"/>
      <c r="WRP554" s="178"/>
      <c r="WRQ554" s="178"/>
      <c r="WRR554" s="178"/>
      <c r="WRS554" s="178"/>
      <c r="WRT554" s="178"/>
      <c r="WRU554" s="178"/>
      <c r="WRV554" s="178"/>
      <c r="WRW554" s="178"/>
      <c r="WRX554" s="178"/>
      <c r="WRY554" s="178"/>
      <c r="WRZ554" s="178"/>
      <c r="WSA554" s="178"/>
      <c r="WSB554" s="178"/>
      <c r="WSC554" s="178"/>
      <c r="WSD554" s="178"/>
      <c r="WSE554" s="178"/>
      <c r="WSF554" s="178"/>
      <c r="WSG554" s="178"/>
      <c r="WSH554" s="178"/>
      <c r="WSI554" s="178"/>
      <c r="WSJ554" s="178"/>
      <c r="WSK554" s="178"/>
      <c r="WSL554" s="178"/>
      <c r="WSM554" s="178"/>
      <c r="WSN554" s="178"/>
      <c r="WSO554" s="178"/>
      <c r="WSP554" s="178"/>
      <c r="WSQ554" s="178"/>
      <c r="WSR554" s="178"/>
      <c r="WSS554" s="178"/>
      <c r="WST554" s="178"/>
      <c r="WSU554" s="178"/>
      <c r="WSV554" s="178"/>
      <c r="WSW554" s="178"/>
      <c r="WSX554" s="178"/>
      <c r="WSY554" s="178"/>
      <c r="WSZ554" s="178"/>
      <c r="WTA554" s="178"/>
      <c r="WTB554" s="178"/>
      <c r="WTC554" s="178"/>
      <c r="WTD554" s="178"/>
      <c r="WTE554" s="178"/>
      <c r="WTF554" s="178"/>
      <c r="WTG554" s="178"/>
      <c r="WTH554" s="178"/>
      <c r="WTI554" s="178"/>
      <c r="WTJ554" s="178"/>
      <c r="WTK554" s="178"/>
      <c r="WTL554" s="178"/>
      <c r="WTM554" s="178"/>
      <c r="WTN554" s="178"/>
      <c r="WTO554" s="178"/>
      <c r="WTP554" s="178"/>
      <c r="WTQ554" s="178"/>
      <c r="WTR554" s="178"/>
      <c r="WTS554" s="178"/>
      <c r="WTT554" s="178"/>
      <c r="WTU554" s="178"/>
      <c r="WTV554" s="178"/>
      <c r="WTW554" s="178"/>
      <c r="WTX554" s="178"/>
      <c r="WTY554" s="178"/>
      <c r="WTZ554" s="178"/>
      <c r="WUA554" s="178"/>
      <c r="WUB554" s="178"/>
      <c r="WUC554" s="178"/>
      <c r="WUD554" s="178"/>
      <c r="WUE554" s="178"/>
      <c r="WUF554" s="178"/>
      <c r="WUG554" s="178"/>
      <c r="WUH554" s="178"/>
      <c r="WUI554" s="178"/>
      <c r="WUJ554" s="178"/>
      <c r="WUK554" s="178"/>
      <c r="WUL554" s="178"/>
      <c r="WUM554" s="178"/>
      <c r="WUN554" s="178"/>
      <c r="WUO554" s="178"/>
      <c r="WUP554" s="178"/>
      <c r="WUQ554" s="178"/>
      <c r="WUR554" s="178"/>
      <c r="WUS554" s="178"/>
      <c r="WUT554" s="178"/>
      <c r="WUU554" s="178"/>
      <c r="WUV554" s="178"/>
      <c r="WUW554" s="178"/>
      <c r="WUX554" s="178"/>
      <c r="WUY554" s="178"/>
      <c r="WUZ554" s="178"/>
      <c r="WVA554" s="178"/>
      <c r="WVB554" s="178"/>
      <c r="WVC554" s="178"/>
      <c r="WVD554" s="178"/>
      <c r="WVE554" s="178"/>
      <c r="WVF554" s="178"/>
      <c r="WVG554" s="178"/>
      <c r="WVH554" s="178"/>
      <c r="WVI554" s="178"/>
      <c r="WVJ554" s="178"/>
      <c r="WVK554" s="178"/>
      <c r="WVL554" s="178"/>
      <c r="WVM554" s="178"/>
      <c r="WVN554" s="178"/>
      <c r="WVO554" s="178"/>
      <c r="WVP554" s="178"/>
      <c r="WVQ554" s="178"/>
      <c r="WVR554" s="178"/>
      <c r="WVS554" s="178"/>
      <c r="WVT554" s="178"/>
      <c r="WVU554" s="178"/>
      <c r="WVV554" s="178"/>
      <c r="WVW554" s="178"/>
      <c r="WVX554" s="178"/>
      <c r="WVY554" s="178"/>
      <c r="WVZ554" s="178"/>
      <c r="WWA554" s="178"/>
      <c r="WWB554" s="178"/>
      <c r="WWC554" s="178"/>
      <c r="WWD554" s="178"/>
      <c r="WWE554" s="178"/>
      <c r="WWF554" s="178"/>
      <c r="WWG554" s="178"/>
      <c r="WWH554" s="178"/>
      <c r="WWI554" s="178"/>
      <c r="WWJ554" s="178"/>
      <c r="WWK554" s="178"/>
      <c r="WWL554" s="178"/>
      <c r="WWM554" s="178"/>
      <c r="WWN554" s="178"/>
      <c r="WWO554" s="178"/>
      <c r="WWP554" s="178"/>
      <c r="WWQ554" s="178"/>
      <c r="WWR554" s="178"/>
      <c r="WWS554" s="178"/>
      <c r="WWT554" s="178"/>
      <c r="WWU554" s="178"/>
      <c r="WWV554" s="178"/>
      <c r="WWW554" s="178"/>
      <c r="WWX554" s="178"/>
      <c r="WWY554" s="178"/>
      <c r="WWZ554" s="178"/>
      <c r="WXA554" s="178"/>
      <c r="WXB554" s="178"/>
      <c r="WXC554" s="178"/>
      <c r="WXD554" s="178"/>
      <c r="WXE554" s="178"/>
      <c r="WXF554" s="178"/>
      <c r="WXG554" s="178"/>
      <c r="WXH554" s="178"/>
      <c r="WXI554" s="178"/>
      <c r="WXJ554" s="178"/>
      <c r="WXK554" s="178"/>
      <c r="WXL554" s="178"/>
      <c r="WXM554" s="178"/>
      <c r="WXN554" s="178"/>
      <c r="WXO554" s="178"/>
      <c r="WXP554" s="178"/>
      <c r="WXQ554" s="178"/>
      <c r="WXR554" s="178"/>
      <c r="WXS554" s="178"/>
      <c r="WXT554" s="178"/>
      <c r="WXU554" s="178"/>
      <c r="WXV554" s="178"/>
      <c r="WXW554" s="178"/>
      <c r="WXX554" s="178"/>
      <c r="WXY554" s="178"/>
      <c r="WXZ554" s="178"/>
      <c r="WYA554" s="178"/>
      <c r="WYB554" s="178"/>
      <c r="WYC554" s="178"/>
      <c r="WYD554" s="178"/>
      <c r="WYE554" s="178"/>
      <c r="WYF554" s="178"/>
      <c r="WYG554" s="178"/>
      <c r="WYH554" s="178"/>
      <c r="WYI554" s="178"/>
      <c r="WYJ554" s="178"/>
      <c r="WYK554" s="178"/>
      <c r="WYL554" s="178"/>
      <c r="WYM554" s="178"/>
      <c r="WYN554" s="178"/>
      <c r="WYO554" s="178"/>
      <c r="WYP554" s="178"/>
      <c r="WYQ554" s="178"/>
      <c r="WYR554" s="178"/>
      <c r="WYS554" s="178"/>
      <c r="WYT554" s="178"/>
      <c r="WYU554" s="178"/>
      <c r="WYV554" s="178"/>
      <c r="WYW554" s="178"/>
      <c r="WYX554" s="178"/>
      <c r="WYY554" s="178"/>
      <c r="WYZ554" s="178"/>
      <c r="WZA554" s="178"/>
      <c r="WZB554" s="178"/>
      <c r="WZC554" s="178"/>
      <c r="WZD554" s="178"/>
      <c r="WZE554" s="178"/>
      <c r="WZF554" s="178"/>
      <c r="WZG554" s="178"/>
      <c r="WZH554" s="178"/>
      <c r="WZI554" s="178"/>
      <c r="WZJ554" s="178"/>
      <c r="WZK554" s="178"/>
      <c r="WZL554" s="178"/>
      <c r="WZM554" s="178"/>
      <c r="WZN554" s="178"/>
      <c r="WZO554" s="178"/>
      <c r="WZP554" s="178"/>
      <c r="WZQ554" s="178"/>
      <c r="WZR554" s="178"/>
      <c r="WZS554" s="178"/>
      <c r="WZT554" s="178"/>
      <c r="WZU554" s="178"/>
      <c r="WZV554" s="178"/>
      <c r="WZW554" s="178"/>
      <c r="WZX554" s="178"/>
      <c r="WZY554" s="178"/>
      <c r="WZZ554" s="178"/>
      <c r="XAA554" s="178"/>
      <c r="XAB554" s="178"/>
      <c r="XAC554" s="178"/>
      <c r="XAD554" s="178"/>
      <c r="XAE554" s="178"/>
      <c r="XAF554" s="178"/>
      <c r="XAG554" s="178"/>
      <c r="XAH554" s="178"/>
      <c r="XAI554" s="178"/>
      <c r="XAJ554" s="178"/>
      <c r="XAK554" s="178"/>
      <c r="XAL554" s="178"/>
      <c r="XAM554" s="178"/>
      <c r="XAN554" s="178"/>
      <c r="XAO554" s="178"/>
      <c r="XAP554" s="178"/>
      <c r="XAQ554" s="178"/>
      <c r="XAR554" s="178"/>
      <c r="XAS554" s="178"/>
      <c r="XAT554" s="178"/>
      <c r="XAU554" s="178"/>
      <c r="XAV554" s="178"/>
      <c r="XAW554" s="178"/>
      <c r="XAX554" s="178"/>
      <c r="XAY554" s="178"/>
      <c r="XAZ554" s="178"/>
      <c r="XBA554" s="178"/>
      <c r="XBB554" s="178"/>
      <c r="XBC554" s="178"/>
      <c r="XBD554" s="178"/>
      <c r="XBE554" s="178"/>
      <c r="XBF554" s="178"/>
      <c r="XBG554" s="178"/>
      <c r="XBH554" s="178"/>
      <c r="XBI554" s="178"/>
      <c r="XBJ554" s="178"/>
      <c r="XBK554" s="178"/>
      <c r="XBL554" s="178"/>
      <c r="XBM554" s="178"/>
      <c r="XBN554" s="178"/>
      <c r="XBO554" s="178"/>
      <c r="XBP554" s="178"/>
      <c r="XBQ554" s="178"/>
      <c r="XBR554" s="178"/>
      <c r="XBS554" s="178"/>
      <c r="XBT554" s="178"/>
      <c r="XBU554" s="178"/>
      <c r="XBV554" s="178"/>
      <c r="XBW554" s="178"/>
      <c r="XBX554" s="178"/>
      <c r="XBY554" s="178"/>
      <c r="XBZ554" s="178"/>
      <c r="XCA554" s="178"/>
      <c r="XCB554" s="178"/>
      <c r="XCC554" s="178"/>
      <c r="XCD554" s="178"/>
      <c r="XCE554" s="178"/>
      <c r="XCF554" s="178"/>
      <c r="XCG554" s="178"/>
      <c r="XCH554" s="178"/>
      <c r="XCI554" s="178"/>
      <c r="XCJ554" s="178"/>
      <c r="XCK554" s="178"/>
      <c r="XCL554" s="178"/>
      <c r="XCM554" s="178"/>
      <c r="XCN554" s="178"/>
      <c r="XCO554" s="178"/>
      <c r="XCP554" s="178"/>
      <c r="XCQ554" s="178"/>
      <c r="XCR554" s="178"/>
      <c r="XCS554" s="178"/>
      <c r="XCT554" s="178"/>
      <c r="XCU554" s="178"/>
      <c r="XCV554" s="178"/>
      <c r="XCW554" s="178"/>
      <c r="XCX554" s="178"/>
      <c r="XCY554" s="178"/>
      <c r="XCZ554" s="178"/>
      <c r="XDA554" s="178"/>
      <c r="XDB554" s="178"/>
      <c r="XDC554" s="178"/>
      <c r="XDD554" s="178"/>
      <c r="XDE554" s="178"/>
      <c r="XDF554" s="178"/>
      <c r="XDG554" s="178"/>
      <c r="XDH554" s="178"/>
      <c r="XDI554" s="178"/>
      <c r="XDJ554" s="178"/>
      <c r="XDK554" s="178"/>
      <c r="XDL554" s="178"/>
      <c r="XDM554" s="178"/>
      <c r="XDN554" s="178"/>
      <c r="XDO554" s="178"/>
      <c r="XDP554" s="178"/>
      <c r="XDQ554" s="178"/>
      <c r="XDR554" s="178"/>
      <c r="XDS554" s="178"/>
      <c r="XDT554" s="178"/>
      <c r="XDU554" s="178"/>
      <c r="XDV554" s="178"/>
      <c r="XDW554" s="178"/>
      <c r="XDX554" s="178"/>
      <c r="XDY554" s="178"/>
      <c r="XDZ554" s="178"/>
      <c r="XEA554" s="178"/>
      <c r="XEB554" s="178"/>
      <c r="XEC554" s="178"/>
      <c r="XED554" s="178"/>
      <c r="XEE554" s="178"/>
      <c r="XEF554" s="178"/>
      <c r="XEG554" s="178"/>
      <c r="XEH554" s="178"/>
      <c r="XEI554" s="178"/>
      <c r="XEJ554" s="178"/>
      <c r="XEK554" s="178"/>
      <c r="XEL554" s="178"/>
      <c r="XEM554" s="178"/>
      <c r="XEN554" s="178"/>
      <c r="XEO554" s="178"/>
      <c r="XEP554" s="178"/>
      <c r="XEQ554" s="178"/>
      <c r="XER554" s="178"/>
      <c r="XES554" s="178"/>
      <c r="XET554" s="178"/>
      <c r="XEU554" s="178"/>
    </row>
    <row r="555" spans="1:16375" s="420" customFormat="1" hidden="1">
      <c r="A555" s="2470" t="s">
        <v>351</v>
      </c>
      <c r="B555" s="2470"/>
      <c r="C555" s="2470"/>
      <c r="D555" s="2470"/>
      <c r="E555" s="2470"/>
      <c r="F555" s="2470"/>
      <c r="G555" s="2470"/>
      <c r="H555" s="2470"/>
      <c r="I555" s="2470"/>
      <c r="J555" s="2470"/>
      <c r="K555" s="2470"/>
      <c r="L555" s="639"/>
      <c r="M555" s="638"/>
      <c r="N555" s="178"/>
      <c r="O555" s="178"/>
      <c r="P555" s="178"/>
      <c r="Q555" s="178"/>
      <c r="R555" s="178"/>
      <c r="S555" s="178"/>
      <c r="T555" s="178"/>
      <c r="U555" s="178"/>
      <c r="V555" s="178"/>
      <c r="W555" s="178"/>
      <c r="X555" s="178"/>
      <c r="Y555" s="178"/>
      <c r="Z555" s="178"/>
      <c r="AA555" s="178"/>
      <c r="AB555" s="178"/>
      <c r="AC555" s="178"/>
      <c r="AD555" s="178"/>
      <c r="AE555" s="178"/>
      <c r="AF555" s="178"/>
      <c r="AG555" s="178"/>
      <c r="AH555" s="178"/>
      <c r="AI555" s="178"/>
      <c r="AJ555" s="178"/>
      <c r="AK555" s="178"/>
      <c r="AL555" s="178"/>
      <c r="AM555" s="178"/>
      <c r="AN555" s="178"/>
      <c r="AO555" s="178"/>
      <c r="AP555" s="178"/>
      <c r="AQ555" s="178"/>
      <c r="AR555" s="178"/>
      <c r="AS555" s="178"/>
      <c r="AT555" s="178"/>
      <c r="AU555" s="178"/>
      <c r="AV555" s="178"/>
      <c r="AW555" s="178"/>
      <c r="AX555" s="178"/>
      <c r="AY555" s="178"/>
      <c r="AZ555" s="178"/>
      <c r="BA555" s="178"/>
      <c r="BB555" s="178"/>
      <c r="BC555" s="178"/>
      <c r="BD555" s="178"/>
      <c r="BE555" s="178"/>
      <c r="BF555" s="178"/>
      <c r="BG555" s="178"/>
      <c r="BH555" s="178"/>
      <c r="BI555" s="178"/>
      <c r="BJ555" s="178"/>
      <c r="BK555" s="178"/>
      <c r="BL555" s="178"/>
      <c r="BM555" s="178"/>
      <c r="BN555" s="178"/>
      <c r="BO555" s="178"/>
      <c r="BP555" s="178"/>
      <c r="BQ555" s="178"/>
      <c r="BR555" s="178"/>
      <c r="BS555" s="178"/>
      <c r="BT555" s="178"/>
      <c r="BU555" s="178"/>
      <c r="BV555" s="178"/>
      <c r="BW555" s="178"/>
      <c r="BX555" s="178"/>
      <c r="BY555" s="178"/>
      <c r="BZ555" s="178"/>
      <c r="CA555" s="178"/>
      <c r="CB555" s="178"/>
      <c r="CC555" s="178"/>
      <c r="CD555" s="178"/>
      <c r="CE555" s="178"/>
      <c r="CF555" s="178"/>
      <c r="CG555" s="178"/>
      <c r="CH555" s="178"/>
      <c r="CI555" s="178"/>
      <c r="CJ555" s="178"/>
      <c r="CK555" s="178"/>
      <c r="CL555" s="178"/>
      <c r="CM555" s="178"/>
      <c r="CN555" s="178"/>
      <c r="CO555" s="178"/>
      <c r="CP555" s="178"/>
      <c r="CQ555" s="178"/>
      <c r="CR555" s="178"/>
      <c r="CS555" s="178"/>
      <c r="CT555" s="178"/>
      <c r="CU555" s="178"/>
      <c r="CV555" s="178"/>
      <c r="CW555" s="178"/>
      <c r="CX555" s="178"/>
      <c r="CY555" s="178"/>
      <c r="CZ555" s="178"/>
      <c r="DA555" s="178"/>
      <c r="DB555" s="178"/>
      <c r="DC555" s="178"/>
      <c r="DD555" s="178"/>
      <c r="DE555" s="178"/>
      <c r="DF555" s="178"/>
      <c r="DG555" s="178"/>
      <c r="DH555" s="178"/>
      <c r="DI555" s="178"/>
      <c r="DJ555" s="178"/>
      <c r="DK555" s="178"/>
      <c r="DL555" s="178"/>
      <c r="DM555" s="178"/>
      <c r="DN555" s="178"/>
      <c r="DO555" s="178"/>
      <c r="DP555" s="178"/>
      <c r="DQ555" s="178"/>
      <c r="DR555" s="178"/>
      <c r="DS555" s="178"/>
      <c r="DT555" s="178"/>
      <c r="DU555" s="178"/>
      <c r="DV555" s="178"/>
      <c r="DW555" s="178"/>
      <c r="DX555" s="178"/>
      <c r="DY555" s="178"/>
      <c r="DZ555" s="178"/>
      <c r="EA555" s="178"/>
      <c r="EB555" s="178"/>
      <c r="EC555" s="178"/>
      <c r="ED555" s="178"/>
      <c r="EE555" s="178"/>
      <c r="EF555" s="178"/>
      <c r="EG555" s="178"/>
      <c r="EH555" s="178"/>
      <c r="EI555" s="178"/>
      <c r="EJ555" s="178"/>
      <c r="EK555" s="178"/>
      <c r="EL555" s="178"/>
      <c r="EM555" s="178"/>
      <c r="EN555" s="178"/>
      <c r="EO555" s="178"/>
      <c r="EP555" s="178"/>
      <c r="EQ555" s="178"/>
      <c r="ER555" s="178"/>
      <c r="ES555" s="178"/>
      <c r="ET555" s="178"/>
      <c r="EU555" s="178"/>
      <c r="EV555" s="178"/>
      <c r="EW555" s="178"/>
      <c r="EX555" s="178"/>
      <c r="EY555" s="178"/>
      <c r="EZ555" s="178"/>
      <c r="FA555" s="178"/>
      <c r="FB555" s="178"/>
      <c r="FC555" s="178"/>
      <c r="FD555" s="178"/>
      <c r="FE555" s="178"/>
      <c r="FF555" s="178"/>
      <c r="FG555" s="178"/>
      <c r="FH555" s="178"/>
      <c r="FI555" s="178"/>
      <c r="FJ555" s="178"/>
      <c r="FK555" s="178"/>
      <c r="FL555" s="178"/>
      <c r="FM555" s="178"/>
      <c r="FN555" s="178"/>
      <c r="FO555" s="178"/>
      <c r="FP555" s="178"/>
      <c r="FQ555" s="178"/>
      <c r="FR555" s="178"/>
      <c r="FS555" s="178"/>
      <c r="FT555" s="178"/>
      <c r="FU555" s="178"/>
      <c r="FV555" s="178"/>
      <c r="FW555" s="178"/>
      <c r="FX555" s="178"/>
      <c r="FY555" s="178"/>
      <c r="FZ555" s="178"/>
      <c r="GA555" s="178"/>
      <c r="GB555" s="178"/>
      <c r="GC555" s="178"/>
      <c r="GD555" s="178"/>
      <c r="GE555" s="178"/>
      <c r="GF555" s="178"/>
      <c r="GG555" s="178"/>
      <c r="GH555" s="178"/>
      <c r="GI555" s="178"/>
      <c r="GJ555" s="178"/>
      <c r="GK555" s="178"/>
      <c r="GL555" s="178"/>
      <c r="GM555" s="178"/>
      <c r="GN555" s="178"/>
      <c r="GO555" s="178"/>
      <c r="GP555" s="178"/>
      <c r="GQ555" s="178"/>
      <c r="GR555" s="178"/>
      <c r="GS555" s="178"/>
      <c r="GT555" s="178"/>
      <c r="GU555" s="178"/>
      <c r="GV555" s="178"/>
      <c r="GW555" s="178"/>
      <c r="GX555" s="178"/>
      <c r="GY555" s="178"/>
      <c r="GZ555" s="178"/>
      <c r="HA555" s="178"/>
      <c r="HB555" s="178"/>
      <c r="HC555" s="178"/>
      <c r="HD555" s="178"/>
      <c r="HE555" s="178"/>
      <c r="HF555" s="178"/>
      <c r="HG555" s="178"/>
      <c r="HH555" s="178"/>
      <c r="HI555" s="178"/>
      <c r="HJ555" s="178"/>
      <c r="HK555" s="178"/>
      <c r="HL555" s="178"/>
      <c r="HM555" s="178"/>
      <c r="HN555" s="178"/>
      <c r="HO555" s="178"/>
      <c r="HP555" s="178"/>
      <c r="HQ555" s="178"/>
      <c r="HR555" s="178"/>
      <c r="HS555" s="178"/>
      <c r="HT555" s="178"/>
      <c r="HU555" s="178"/>
      <c r="HV555" s="178"/>
      <c r="HW555" s="178"/>
      <c r="HX555" s="178"/>
      <c r="HY555" s="178"/>
      <c r="HZ555" s="178"/>
      <c r="IA555" s="178"/>
      <c r="IB555" s="178"/>
      <c r="IC555" s="178"/>
      <c r="ID555" s="178"/>
      <c r="IE555" s="178"/>
      <c r="IF555" s="178"/>
      <c r="IG555" s="178"/>
      <c r="IH555" s="178"/>
      <c r="II555" s="178"/>
      <c r="IJ555" s="178"/>
      <c r="IK555" s="178"/>
      <c r="IL555" s="178"/>
      <c r="IM555" s="178"/>
      <c r="IN555" s="178"/>
      <c r="IO555" s="178"/>
      <c r="IP555" s="178"/>
      <c r="IQ555" s="178"/>
      <c r="IR555" s="178"/>
      <c r="IS555" s="178"/>
      <c r="IT555" s="178"/>
      <c r="IU555" s="178"/>
      <c r="IV555" s="178"/>
      <c r="IW555" s="178"/>
      <c r="IX555" s="178"/>
      <c r="IY555" s="178"/>
      <c r="IZ555" s="178"/>
      <c r="JA555" s="178"/>
      <c r="JB555" s="178"/>
      <c r="JC555" s="178"/>
      <c r="JD555" s="178"/>
      <c r="JE555" s="178"/>
      <c r="JF555" s="178"/>
      <c r="JG555" s="178"/>
      <c r="JH555" s="178"/>
      <c r="JI555" s="178"/>
      <c r="JJ555" s="178"/>
      <c r="JK555" s="178"/>
      <c r="JL555" s="178"/>
      <c r="JM555" s="178"/>
      <c r="JN555" s="178"/>
      <c r="JO555" s="178"/>
      <c r="JP555" s="178"/>
      <c r="JQ555" s="178"/>
      <c r="JR555" s="178"/>
      <c r="JS555" s="178"/>
      <c r="JT555" s="178"/>
      <c r="JU555" s="178"/>
      <c r="JV555" s="178"/>
      <c r="JW555" s="178"/>
      <c r="JX555" s="178"/>
      <c r="JY555" s="178"/>
      <c r="JZ555" s="178"/>
      <c r="KA555" s="178"/>
      <c r="KB555" s="178"/>
      <c r="KC555" s="178"/>
      <c r="KD555" s="178"/>
      <c r="KE555" s="178"/>
      <c r="KF555" s="178"/>
      <c r="KG555" s="178"/>
      <c r="KH555" s="178"/>
      <c r="KI555" s="178"/>
      <c r="KJ555" s="178"/>
      <c r="KK555" s="178"/>
      <c r="KL555" s="178"/>
      <c r="KM555" s="178"/>
      <c r="KN555" s="178"/>
      <c r="KO555" s="178"/>
      <c r="KP555" s="178"/>
      <c r="KQ555" s="178"/>
      <c r="KR555" s="178"/>
      <c r="KS555" s="178"/>
      <c r="KT555" s="178"/>
      <c r="KU555" s="178"/>
      <c r="KV555" s="178"/>
      <c r="KW555" s="178"/>
      <c r="KX555" s="178"/>
      <c r="KY555" s="178"/>
      <c r="KZ555" s="178"/>
      <c r="LA555" s="178"/>
      <c r="LB555" s="178"/>
      <c r="LC555" s="178"/>
      <c r="LD555" s="178"/>
      <c r="LE555" s="178"/>
      <c r="LF555" s="178"/>
      <c r="LG555" s="178"/>
      <c r="LH555" s="178"/>
      <c r="LI555" s="178"/>
      <c r="LJ555" s="178"/>
      <c r="LK555" s="178"/>
      <c r="LL555" s="178"/>
      <c r="LM555" s="178"/>
      <c r="LN555" s="178"/>
      <c r="LO555" s="178"/>
      <c r="LP555" s="178"/>
      <c r="LQ555" s="178"/>
      <c r="LR555" s="178"/>
      <c r="LS555" s="178"/>
      <c r="LT555" s="178"/>
      <c r="LU555" s="178"/>
      <c r="LV555" s="178"/>
      <c r="LW555" s="178"/>
      <c r="LX555" s="178"/>
      <c r="LY555" s="178"/>
      <c r="LZ555" s="178"/>
      <c r="MA555" s="178"/>
      <c r="MB555" s="178"/>
      <c r="MC555" s="178"/>
      <c r="MD555" s="178"/>
      <c r="ME555" s="178"/>
      <c r="MF555" s="178"/>
      <c r="MG555" s="178"/>
      <c r="MH555" s="178"/>
      <c r="MI555" s="178"/>
      <c r="MJ555" s="178"/>
      <c r="MK555" s="178"/>
      <c r="ML555" s="178"/>
      <c r="MM555" s="178"/>
      <c r="MN555" s="178"/>
      <c r="MO555" s="178"/>
      <c r="MP555" s="178"/>
      <c r="MQ555" s="178"/>
      <c r="MR555" s="178"/>
      <c r="MS555" s="178"/>
      <c r="MT555" s="178"/>
      <c r="MU555" s="178"/>
      <c r="MV555" s="178"/>
      <c r="MW555" s="178"/>
      <c r="MX555" s="178"/>
      <c r="MY555" s="178"/>
      <c r="MZ555" s="178"/>
      <c r="NA555" s="178"/>
      <c r="NB555" s="178"/>
      <c r="NC555" s="178"/>
      <c r="ND555" s="178"/>
      <c r="NE555" s="178"/>
      <c r="NF555" s="178"/>
      <c r="NG555" s="178"/>
      <c r="NH555" s="178"/>
      <c r="NI555" s="178"/>
      <c r="NJ555" s="178"/>
      <c r="NK555" s="178"/>
      <c r="NL555" s="178"/>
      <c r="NM555" s="178"/>
      <c r="NN555" s="178"/>
      <c r="NO555" s="178"/>
      <c r="NP555" s="178"/>
      <c r="NQ555" s="178"/>
      <c r="NR555" s="178"/>
      <c r="NS555" s="178"/>
      <c r="NT555" s="178"/>
      <c r="NU555" s="178"/>
      <c r="NV555" s="178"/>
      <c r="NW555" s="178"/>
      <c r="NX555" s="178"/>
      <c r="NY555" s="178"/>
      <c r="NZ555" s="178"/>
      <c r="OA555" s="178"/>
      <c r="OB555" s="178"/>
      <c r="OC555" s="178"/>
      <c r="OD555" s="178"/>
      <c r="OE555" s="178"/>
      <c r="OF555" s="178"/>
      <c r="OG555" s="178"/>
      <c r="OH555" s="178"/>
      <c r="OI555" s="178"/>
      <c r="OJ555" s="178"/>
      <c r="OK555" s="178"/>
      <c r="OL555" s="178"/>
      <c r="OM555" s="178"/>
      <c r="ON555" s="178"/>
      <c r="OO555" s="178"/>
      <c r="OP555" s="178"/>
      <c r="OQ555" s="178"/>
      <c r="OR555" s="178"/>
      <c r="OS555" s="178"/>
      <c r="OT555" s="178"/>
      <c r="OU555" s="178"/>
      <c r="OV555" s="178"/>
      <c r="OW555" s="178"/>
      <c r="OX555" s="178"/>
      <c r="OY555" s="178"/>
      <c r="OZ555" s="178"/>
      <c r="PA555" s="178"/>
      <c r="PB555" s="178"/>
      <c r="PC555" s="178"/>
      <c r="PD555" s="178"/>
      <c r="PE555" s="178"/>
      <c r="PF555" s="178"/>
      <c r="PG555" s="178"/>
      <c r="PH555" s="178"/>
      <c r="PI555" s="178"/>
      <c r="PJ555" s="178"/>
      <c r="PK555" s="178"/>
      <c r="PL555" s="178"/>
      <c r="PM555" s="178"/>
      <c r="PN555" s="178"/>
      <c r="PO555" s="178"/>
      <c r="PP555" s="178"/>
      <c r="PQ555" s="178"/>
      <c r="PR555" s="178"/>
      <c r="PS555" s="178"/>
      <c r="PT555" s="178"/>
      <c r="PU555" s="178"/>
      <c r="PV555" s="178"/>
      <c r="PW555" s="178"/>
      <c r="PX555" s="178"/>
      <c r="PY555" s="178"/>
      <c r="PZ555" s="178"/>
      <c r="QA555" s="178"/>
      <c r="QB555" s="178"/>
      <c r="QC555" s="178"/>
      <c r="QD555" s="178"/>
      <c r="QE555" s="178"/>
      <c r="QF555" s="178"/>
      <c r="QG555" s="178"/>
      <c r="QH555" s="178"/>
      <c r="QI555" s="178"/>
      <c r="QJ555" s="178"/>
      <c r="QK555" s="178"/>
      <c r="QL555" s="178"/>
      <c r="QM555" s="178"/>
      <c r="QN555" s="178"/>
      <c r="QO555" s="178"/>
      <c r="QP555" s="178"/>
      <c r="QQ555" s="178"/>
      <c r="QR555" s="178"/>
      <c r="QS555" s="178"/>
      <c r="QT555" s="178"/>
      <c r="QU555" s="178"/>
      <c r="QV555" s="178"/>
      <c r="QW555" s="178"/>
      <c r="QX555" s="178"/>
      <c r="QY555" s="178"/>
      <c r="QZ555" s="178"/>
      <c r="RA555" s="178"/>
      <c r="RB555" s="178"/>
      <c r="RC555" s="178"/>
      <c r="RD555" s="178"/>
      <c r="RE555" s="178"/>
      <c r="RF555" s="178"/>
      <c r="RG555" s="178"/>
      <c r="RH555" s="178"/>
      <c r="RI555" s="178"/>
      <c r="RJ555" s="178"/>
      <c r="RK555" s="178"/>
      <c r="RL555" s="178"/>
      <c r="RM555" s="178"/>
      <c r="RN555" s="178"/>
      <c r="RO555" s="178"/>
      <c r="RP555" s="178"/>
      <c r="RQ555" s="178"/>
      <c r="RR555" s="178"/>
      <c r="RS555" s="178"/>
      <c r="RT555" s="178"/>
      <c r="RU555" s="178"/>
      <c r="RV555" s="178"/>
      <c r="RW555" s="178"/>
      <c r="RX555" s="178"/>
      <c r="RY555" s="178"/>
      <c r="RZ555" s="178"/>
      <c r="SA555" s="178"/>
      <c r="SB555" s="178"/>
      <c r="SC555" s="178"/>
      <c r="SD555" s="178"/>
      <c r="SE555" s="178"/>
      <c r="SF555" s="178"/>
      <c r="SG555" s="178"/>
      <c r="SH555" s="178"/>
      <c r="SI555" s="178"/>
      <c r="SJ555" s="178"/>
      <c r="SK555" s="178"/>
      <c r="SL555" s="178"/>
      <c r="SM555" s="178"/>
      <c r="SN555" s="178"/>
      <c r="SO555" s="178"/>
      <c r="SP555" s="178"/>
      <c r="SQ555" s="178"/>
      <c r="SR555" s="178"/>
      <c r="SS555" s="178"/>
      <c r="ST555" s="178"/>
      <c r="SU555" s="178"/>
      <c r="SV555" s="178"/>
      <c r="SW555" s="178"/>
      <c r="SX555" s="178"/>
      <c r="SY555" s="178"/>
      <c r="SZ555" s="178"/>
      <c r="TA555" s="178"/>
      <c r="TB555" s="178"/>
      <c r="TC555" s="178"/>
      <c r="TD555" s="178"/>
      <c r="TE555" s="178"/>
      <c r="TF555" s="178"/>
      <c r="TG555" s="178"/>
      <c r="TH555" s="178"/>
      <c r="TI555" s="178"/>
      <c r="TJ555" s="178"/>
      <c r="TK555" s="178"/>
      <c r="TL555" s="178"/>
      <c r="TM555" s="178"/>
      <c r="TN555" s="178"/>
      <c r="TO555" s="178"/>
      <c r="TP555" s="178"/>
      <c r="TQ555" s="178"/>
      <c r="TR555" s="178"/>
      <c r="TS555" s="178"/>
      <c r="TT555" s="178"/>
      <c r="TU555" s="178"/>
      <c r="TV555" s="178"/>
      <c r="TW555" s="178"/>
      <c r="TX555" s="178"/>
      <c r="TY555" s="178"/>
      <c r="TZ555" s="178"/>
      <c r="UA555" s="178"/>
      <c r="UB555" s="178"/>
      <c r="UC555" s="178"/>
      <c r="UD555" s="178"/>
      <c r="UE555" s="178"/>
      <c r="UF555" s="178"/>
      <c r="UG555" s="178"/>
      <c r="UH555" s="178"/>
      <c r="UI555" s="178"/>
      <c r="UJ555" s="178"/>
      <c r="UK555" s="178"/>
      <c r="UL555" s="178"/>
      <c r="UM555" s="178"/>
      <c r="UN555" s="178"/>
      <c r="UO555" s="178"/>
      <c r="UP555" s="178"/>
      <c r="UQ555" s="178"/>
      <c r="UR555" s="178"/>
      <c r="US555" s="178"/>
      <c r="UT555" s="178"/>
      <c r="UU555" s="178"/>
      <c r="UV555" s="178"/>
      <c r="UW555" s="178"/>
      <c r="UX555" s="178"/>
      <c r="UY555" s="178"/>
      <c r="UZ555" s="178"/>
      <c r="VA555" s="178"/>
      <c r="VB555" s="178"/>
      <c r="VC555" s="178"/>
      <c r="VD555" s="178"/>
      <c r="VE555" s="178"/>
      <c r="VF555" s="178"/>
      <c r="VG555" s="178"/>
      <c r="VH555" s="178"/>
      <c r="VI555" s="178"/>
      <c r="VJ555" s="178"/>
      <c r="VK555" s="178"/>
      <c r="VL555" s="178"/>
      <c r="VM555" s="178"/>
      <c r="VN555" s="178"/>
      <c r="VO555" s="178"/>
      <c r="VP555" s="178"/>
      <c r="VQ555" s="178"/>
      <c r="VR555" s="178"/>
      <c r="VS555" s="178"/>
      <c r="VT555" s="178"/>
      <c r="VU555" s="178"/>
      <c r="VV555" s="178"/>
      <c r="VW555" s="178"/>
      <c r="VX555" s="178"/>
      <c r="VY555" s="178"/>
      <c r="VZ555" s="178"/>
      <c r="WA555" s="178"/>
      <c r="WB555" s="178"/>
      <c r="WC555" s="178"/>
      <c r="WD555" s="178"/>
      <c r="WE555" s="178"/>
      <c r="WF555" s="178"/>
      <c r="WG555" s="178"/>
      <c r="WH555" s="178"/>
      <c r="WI555" s="178"/>
      <c r="WJ555" s="178"/>
      <c r="WK555" s="178"/>
      <c r="WL555" s="178"/>
      <c r="WM555" s="178"/>
      <c r="WN555" s="178"/>
      <c r="WO555" s="178"/>
      <c r="WP555" s="178"/>
      <c r="WQ555" s="178"/>
      <c r="WR555" s="178"/>
      <c r="WS555" s="178"/>
      <c r="WT555" s="178"/>
      <c r="WU555" s="178"/>
      <c r="WV555" s="178"/>
      <c r="WW555" s="178"/>
      <c r="WX555" s="178"/>
      <c r="WY555" s="178"/>
      <c r="WZ555" s="178"/>
      <c r="XA555" s="178"/>
      <c r="XB555" s="178"/>
      <c r="XC555" s="178"/>
      <c r="XD555" s="178"/>
      <c r="XE555" s="178"/>
      <c r="XF555" s="178"/>
      <c r="XG555" s="178"/>
      <c r="XH555" s="178"/>
      <c r="XI555" s="178"/>
      <c r="XJ555" s="178"/>
      <c r="XK555" s="178"/>
      <c r="XL555" s="178"/>
      <c r="XM555" s="178"/>
      <c r="XN555" s="178"/>
      <c r="XO555" s="178"/>
      <c r="XP555" s="178"/>
      <c r="XQ555" s="178"/>
      <c r="XR555" s="178"/>
      <c r="XS555" s="178"/>
      <c r="XT555" s="178"/>
      <c r="XU555" s="178"/>
      <c r="XV555" s="178"/>
      <c r="XW555" s="178"/>
      <c r="XX555" s="178"/>
      <c r="XY555" s="178"/>
      <c r="XZ555" s="178"/>
      <c r="YA555" s="178"/>
      <c r="YB555" s="178"/>
      <c r="YC555" s="178"/>
      <c r="YD555" s="178"/>
      <c r="YE555" s="178"/>
      <c r="YF555" s="178"/>
      <c r="YG555" s="178"/>
      <c r="YH555" s="178"/>
      <c r="YI555" s="178"/>
      <c r="YJ555" s="178"/>
      <c r="YK555" s="178"/>
      <c r="YL555" s="178"/>
      <c r="YM555" s="178"/>
      <c r="YN555" s="178"/>
      <c r="YO555" s="178"/>
      <c r="YP555" s="178"/>
      <c r="YQ555" s="178"/>
      <c r="YR555" s="178"/>
      <c r="YS555" s="178"/>
      <c r="YT555" s="178"/>
      <c r="YU555" s="178"/>
      <c r="YV555" s="178"/>
      <c r="YW555" s="178"/>
      <c r="YX555" s="178"/>
      <c r="YY555" s="178"/>
      <c r="YZ555" s="178"/>
      <c r="ZA555" s="178"/>
      <c r="ZB555" s="178"/>
      <c r="ZC555" s="178"/>
      <c r="ZD555" s="178"/>
      <c r="ZE555" s="178"/>
      <c r="ZF555" s="178"/>
      <c r="ZG555" s="178"/>
      <c r="ZH555" s="178"/>
      <c r="ZI555" s="178"/>
      <c r="ZJ555" s="178"/>
      <c r="ZK555" s="178"/>
      <c r="ZL555" s="178"/>
      <c r="ZM555" s="178"/>
      <c r="ZN555" s="178"/>
      <c r="ZO555" s="178"/>
      <c r="ZP555" s="178"/>
      <c r="ZQ555" s="178"/>
      <c r="ZR555" s="178"/>
      <c r="ZS555" s="178"/>
      <c r="ZT555" s="178"/>
      <c r="ZU555" s="178"/>
      <c r="ZV555" s="178"/>
      <c r="ZW555" s="178"/>
      <c r="ZX555" s="178"/>
      <c r="ZY555" s="178"/>
      <c r="ZZ555" s="178"/>
      <c r="AAA555" s="178"/>
      <c r="AAB555" s="178"/>
      <c r="AAC555" s="178"/>
      <c r="AAD555" s="178"/>
      <c r="AAE555" s="178"/>
      <c r="AAF555" s="178"/>
      <c r="AAG555" s="178"/>
      <c r="AAH555" s="178"/>
      <c r="AAI555" s="178"/>
      <c r="AAJ555" s="178"/>
      <c r="AAK555" s="178"/>
      <c r="AAL555" s="178"/>
      <c r="AAM555" s="178"/>
      <c r="AAN555" s="178"/>
      <c r="AAO555" s="178"/>
      <c r="AAP555" s="178"/>
      <c r="AAQ555" s="178"/>
      <c r="AAR555" s="178"/>
      <c r="AAS555" s="178"/>
      <c r="AAT555" s="178"/>
      <c r="AAU555" s="178"/>
      <c r="AAV555" s="178"/>
      <c r="AAW555" s="178"/>
      <c r="AAX555" s="178"/>
      <c r="AAY555" s="178"/>
      <c r="AAZ555" s="178"/>
      <c r="ABA555" s="178"/>
      <c r="ABB555" s="178"/>
      <c r="ABC555" s="178"/>
      <c r="ABD555" s="178"/>
      <c r="ABE555" s="178"/>
      <c r="ABF555" s="178"/>
      <c r="ABG555" s="178"/>
      <c r="ABH555" s="178"/>
      <c r="ABI555" s="178"/>
      <c r="ABJ555" s="178"/>
      <c r="ABK555" s="178"/>
      <c r="ABL555" s="178"/>
      <c r="ABM555" s="178"/>
      <c r="ABN555" s="178"/>
      <c r="ABO555" s="178"/>
      <c r="ABP555" s="178"/>
      <c r="ABQ555" s="178"/>
      <c r="ABR555" s="178"/>
      <c r="ABS555" s="178"/>
      <c r="ABT555" s="178"/>
      <c r="ABU555" s="178"/>
      <c r="ABV555" s="178"/>
      <c r="ABW555" s="178"/>
      <c r="ABX555" s="178"/>
      <c r="ABY555" s="178"/>
      <c r="ABZ555" s="178"/>
      <c r="ACA555" s="178"/>
      <c r="ACB555" s="178"/>
      <c r="ACC555" s="178"/>
      <c r="ACD555" s="178"/>
      <c r="ACE555" s="178"/>
      <c r="ACF555" s="178"/>
      <c r="ACG555" s="178"/>
      <c r="ACH555" s="178"/>
      <c r="ACI555" s="178"/>
      <c r="ACJ555" s="178"/>
      <c r="ACK555" s="178"/>
      <c r="ACL555" s="178"/>
      <c r="ACM555" s="178"/>
      <c r="ACN555" s="178"/>
      <c r="ACO555" s="178"/>
      <c r="ACP555" s="178"/>
      <c r="ACQ555" s="178"/>
      <c r="ACR555" s="178"/>
      <c r="ACS555" s="178"/>
      <c r="ACT555" s="178"/>
      <c r="ACU555" s="178"/>
      <c r="ACV555" s="178"/>
      <c r="ACW555" s="178"/>
      <c r="ACX555" s="178"/>
      <c r="ACY555" s="178"/>
      <c r="ACZ555" s="178"/>
      <c r="ADA555" s="178"/>
      <c r="ADB555" s="178"/>
      <c r="ADC555" s="178"/>
      <c r="ADD555" s="178"/>
      <c r="ADE555" s="178"/>
      <c r="ADF555" s="178"/>
      <c r="ADG555" s="178"/>
      <c r="ADH555" s="178"/>
      <c r="ADI555" s="178"/>
      <c r="ADJ555" s="178"/>
      <c r="ADK555" s="178"/>
      <c r="ADL555" s="178"/>
      <c r="ADM555" s="178"/>
      <c r="ADN555" s="178"/>
      <c r="ADO555" s="178"/>
      <c r="ADP555" s="178"/>
      <c r="ADQ555" s="178"/>
      <c r="ADR555" s="178"/>
      <c r="ADS555" s="178"/>
      <c r="ADT555" s="178"/>
      <c r="ADU555" s="178"/>
      <c r="ADV555" s="178"/>
      <c r="ADW555" s="178"/>
      <c r="ADX555" s="178"/>
      <c r="ADY555" s="178"/>
      <c r="ADZ555" s="178"/>
      <c r="AEA555" s="178"/>
      <c r="AEB555" s="178"/>
      <c r="AEC555" s="178"/>
      <c r="AED555" s="178"/>
      <c r="AEE555" s="178"/>
      <c r="AEF555" s="178"/>
      <c r="AEG555" s="178"/>
      <c r="AEH555" s="178"/>
      <c r="AEI555" s="178"/>
      <c r="AEJ555" s="178"/>
      <c r="AEK555" s="178"/>
      <c r="AEL555" s="178"/>
      <c r="AEM555" s="178"/>
      <c r="AEN555" s="178"/>
      <c r="AEO555" s="178"/>
      <c r="AEP555" s="178"/>
      <c r="AEQ555" s="178"/>
      <c r="AER555" s="178"/>
      <c r="AES555" s="178"/>
      <c r="AET555" s="178"/>
      <c r="AEU555" s="178"/>
      <c r="AEV555" s="178"/>
      <c r="AEW555" s="178"/>
      <c r="AEX555" s="178"/>
      <c r="AEY555" s="178"/>
      <c r="AEZ555" s="178"/>
      <c r="AFA555" s="178"/>
      <c r="AFB555" s="178"/>
      <c r="AFC555" s="178"/>
      <c r="AFD555" s="178"/>
      <c r="AFE555" s="178"/>
      <c r="AFF555" s="178"/>
      <c r="AFG555" s="178"/>
      <c r="AFH555" s="178"/>
      <c r="AFI555" s="178"/>
      <c r="AFJ555" s="178"/>
      <c r="AFK555" s="178"/>
      <c r="AFL555" s="178"/>
      <c r="AFM555" s="178"/>
      <c r="AFN555" s="178"/>
      <c r="AFO555" s="178"/>
      <c r="AFP555" s="178"/>
      <c r="AFQ555" s="178"/>
      <c r="AFR555" s="178"/>
      <c r="AFS555" s="178"/>
      <c r="AFT555" s="178"/>
      <c r="AFU555" s="178"/>
      <c r="AFV555" s="178"/>
      <c r="AFW555" s="178"/>
      <c r="AFX555" s="178"/>
      <c r="AFY555" s="178"/>
      <c r="AFZ555" s="178"/>
      <c r="AGA555" s="178"/>
      <c r="AGB555" s="178"/>
      <c r="AGC555" s="178"/>
      <c r="AGD555" s="178"/>
      <c r="AGE555" s="178"/>
      <c r="AGF555" s="178"/>
      <c r="AGG555" s="178"/>
      <c r="AGH555" s="178"/>
      <c r="AGI555" s="178"/>
      <c r="AGJ555" s="178"/>
      <c r="AGK555" s="178"/>
      <c r="AGL555" s="178"/>
      <c r="AGM555" s="178"/>
      <c r="AGN555" s="178"/>
      <c r="AGO555" s="178"/>
      <c r="AGP555" s="178"/>
      <c r="AGQ555" s="178"/>
      <c r="AGR555" s="178"/>
      <c r="AGS555" s="178"/>
      <c r="AGT555" s="178"/>
      <c r="AGU555" s="178"/>
      <c r="AGV555" s="178"/>
      <c r="AGW555" s="178"/>
      <c r="AGX555" s="178"/>
      <c r="AGY555" s="178"/>
      <c r="AGZ555" s="178"/>
      <c r="AHA555" s="178"/>
      <c r="AHB555" s="178"/>
      <c r="AHC555" s="178"/>
      <c r="AHD555" s="178"/>
      <c r="AHE555" s="178"/>
      <c r="AHF555" s="178"/>
      <c r="AHG555" s="178"/>
      <c r="AHH555" s="178"/>
      <c r="AHI555" s="178"/>
      <c r="AHJ555" s="178"/>
      <c r="AHK555" s="178"/>
      <c r="AHL555" s="178"/>
      <c r="AHM555" s="178"/>
      <c r="AHN555" s="178"/>
      <c r="AHO555" s="178"/>
      <c r="AHP555" s="178"/>
      <c r="AHQ555" s="178"/>
      <c r="AHR555" s="178"/>
      <c r="AHS555" s="178"/>
      <c r="AHT555" s="178"/>
      <c r="AHU555" s="178"/>
      <c r="AHV555" s="178"/>
      <c r="AHW555" s="178"/>
      <c r="AHX555" s="178"/>
      <c r="AHY555" s="178"/>
      <c r="AHZ555" s="178"/>
      <c r="AIA555" s="178"/>
      <c r="AIB555" s="178"/>
      <c r="AIC555" s="178"/>
      <c r="AID555" s="178"/>
      <c r="AIE555" s="178"/>
      <c r="AIF555" s="178"/>
      <c r="AIG555" s="178"/>
      <c r="AIH555" s="178"/>
      <c r="AII555" s="178"/>
      <c r="AIJ555" s="178"/>
      <c r="AIK555" s="178"/>
      <c r="AIL555" s="178"/>
      <c r="AIM555" s="178"/>
      <c r="AIN555" s="178"/>
      <c r="AIO555" s="178"/>
      <c r="AIP555" s="178"/>
      <c r="AIQ555" s="178"/>
      <c r="AIR555" s="178"/>
      <c r="AIS555" s="178"/>
      <c r="AIT555" s="178"/>
      <c r="AIU555" s="178"/>
      <c r="AIV555" s="178"/>
      <c r="AIW555" s="178"/>
      <c r="AIX555" s="178"/>
      <c r="AIY555" s="178"/>
      <c r="AIZ555" s="178"/>
      <c r="AJA555" s="178"/>
      <c r="AJB555" s="178"/>
      <c r="AJC555" s="178"/>
      <c r="AJD555" s="178"/>
      <c r="AJE555" s="178"/>
      <c r="AJF555" s="178"/>
      <c r="AJG555" s="178"/>
      <c r="AJH555" s="178"/>
      <c r="AJI555" s="178"/>
      <c r="AJJ555" s="178"/>
      <c r="AJK555" s="178"/>
      <c r="AJL555" s="178"/>
      <c r="AJM555" s="178"/>
      <c r="AJN555" s="178"/>
      <c r="AJO555" s="178"/>
      <c r="AJP555" s="178"/>
      <c r="AJQ555" s="178"/>
      <c r="AJR555" s="178"/>
      <c r="AJS555" s="178"/>
      <c r="AJT555" s="178"/>
      <c r="AJU555" s="178"/>
      <c r="AJV555" s="178"/>
      <c r="AJW555" s="178"/>
      <c r="AJX555" s="178"/>
      <c r="AJY555" s="178"/>
      <c r="AJZ555" s="178"/>
      <c r="AKA555" s="178"/>
      <c r="AKB555" s="178"/>
      <c r="AKC555" s="178"/>
      <c r="AKD555" s="178"/>
      <c r="AKE555" s="178"/>
      <c r="AKF555" s="178"/>
      <c r="AKG555" s="178"/>
      <c r="AKH555" s="178"/>
      <c r="AKI555" s="178"/>
      <c r="AKJ555" s="178"/>
      <c r="AKK555" s="178"/>
      <c r="AKL555" s="178"/>
      <c r="AKM555" s="178"/>
      <c r="AKN555" s="178"/>
      <c r="AKO555" s="178"/>
      <c r="AKP555" s="178"/>
      <c r="AKQ555" s="178"/>
      <c r="AKR555" s="178"/>
      <c r="AKS555" s="178"/>
      <c r="AKT555" s="178"/>
      <c r="AKU555" s="178"/>
      <c r="AKV555" s="178"/>
      <c r="AKW555" s="178"/>
      <c r="AKX555" s="178"/>
      <c r="AKY555" s="178"/>
      <c r="AKZ555" s="178"/>
      <c r="ALA555" s="178"/>
      <c r="ALB555" s="178"/>
      <c r="ALC555" s="178"/>
      <c r="ALD555" s="178"/>
      <c r="ALE555" s="178"/>
      <c r="ALF555" s="178"/>
      <c r="ALG555" s="178"/>
      <c r="ALH555" s="178"/>
      <c r="ALI555" s="178"/>
      <c r="ALJ555" s="178"/>
      <c r="ALK555" s="178"/>
      <c r="ALL555" s="178"/>
      <c r="ALM555" s="178"/>
      <c r="ALN555" s="178"/>
      <c r="ALO555" s="178"/>
      <c r="ALP555" s="178"/>
      <c r="ALQ555" s="178"/>
      <c r="ALR555" s="178"/>
      <c r="ALS555" s="178"/>
      <c r="ALT555" s="178"/>
      <c r="ALU555" s="178"/>
      <c r="ALV555" s="178"/>
      <c r="ALW555" s="178"/>
      <c r="ALX555" s="178"/>
      <c r="ALY555" s="178"/>
      <c r="ALZ555" s="178"/>
      <c r="AMA555" s="178"/>
      <c r="AMB555" s="178"/>
      <c r="AMC555" s="178"/>
      <c r="AMD555" s="178"/>
      <c r="AME555" s="178"/>
      <c r="AMF555" s="178"/>
      <c r="AMG555" s="178"/>
      <c r="AMH555" s="178"/>
      <c r="AMI555" s="178"/>
      <c r="AMJ555" s="178"/>
      <c r="AMK555" s="178"/>
      <c r="AML555" s="178"/>
      <c r="AMM555" s="178"/>
      <c r="AMN555" s="178"/>
      <c r="AMO555" s="178"/>
      <c r="AMP555" s="178"/>
      <c r="AMQ555" s="178"/>
      <c r="AMR555" s="178"/>
      <c r="AMS555" s="178"/>
      <c r="AMT555" s="178"/>
      <c r="AMU555" s="178"/>
      <c r="AMV555" s="178"/>
      <c r="AMW555" s="178"/>
      <c r="AMX555" s="178"/>
      <c r="AMY555" s="178"/>
      <c r="AMZ555" s="178"/>
      <c r="ANA555" s="178"/>
      <c r="ANB555" s="178"/>
      <c r="ANC555" s="178"/>
      <c r="AND555" s="178"/>
      <c r="ANE555" s="178"/>
      <c r="ANF555" s="178"/>
      <c r="ANG555" s="178"/>
      <c r="ANH555" s="178"/>
      <c r="ANI555" s="178"/>
      <c r="ANJ555" s="178"/>
      <c r="ANK555" s="178"/>
      <c r="ANL555" s="178"/>
      <c r="ANM555" s="178"/>
      <c r="ANN555" s="178"/>
      <c r="ANO555" s="178"/>
      <c r="ANP555" s="178"/>
      <c r="ANQ555" s="178"/>
      <c r="ANR555" s="178"/>
      <c r="ANS555" s="178"/>
      <c r="ANT555" s="178"/>
      <c r="ANU555" s="178"/>
      <c r="ANV555" s="178"/>
      <c r="ANW555" s="178"/>
      <c r="ANX555" s="178"/>
      <c r="ANY555" s="178"/>
      <c r="ANZ555" s="178"/>
      <c r="AOA555" s="178"/>
      <c r="AOB555" s="178"/>
      <c r="AOC555" s="178"/>
      <c r="AOD555" s="178"/>
      <c r="AOE555" s="178"/>
      <c r="AOF555" s="178"/>
      <c r="AOG555" s="178"/>
      <c r="AOH555" s="178"/>
      <c r="AOI555" s="178"/>
      <c r="AOJ555" s="178"/>
      <c r="AOK555" s="178"/>
      <c r="AOL555" s="178"/>
      <c r="AOM555" s="178"/>
      <c r="AON555" s="178"/>
      <c r="AOO555" s="178"/>
      <c r="AOP555" s="178"/>
      <c r="AOQ555" s="178"/>
      <c r="AOR555" s="178"/>
      <c r="AOS555" s="178"/>
      <c r="AOT555" s="178"/>
      <c r="AOU555" s="178"/>
      <c r="AOV555" s="178"/>
      <c r="AOW555" s="178"/>
      <c r="AOX555" s="178"/>
      <c r="AOY555" s="178"/>
      <c r="AOZ555" s="178"/>
      <c r="APA555" s="178"/>
      <c r="APB555" s="178"/>
      <c r="APC555" s="178"/>
      <c r="APD555" s="178"/>
      <c r="APE555" s="178"/>
      <c r="APF555" s="178"/>
      <c r="APG555" s="178"/>
      <c r="APH555" s="178"/>
      <c r="API555" s="178"/>
      <c r="APJ555" s="178"/>
      <c r="APK555" s="178"/>
      <c r="APL555" s="178"/>
      <c r="APM555" s="178"/>
      <c r="APN555" s="178"/>
      <c r="APO555" s="178"/>
      <c r="APP555" s="178"/>
      <c r="APQ555" s="178"/>
      <c r="APR555" s="178"/>
      <c r="APS555" s="178"/>
      <c r="APT555" s="178"/>
      <c r="APU555" s="178"/>
      <c r="APV555" s="178"/>
      <c r="APW555" s="178"/>
      <c r="APX555" s="178"/>
      <c r="APY555" s="178"/>
      <c r="APZ555" s="178"/>
      <c r="AQA555" s="178"/>
      <c r="AQB555" s="178"/>
      <c r="AQC555" s="178"/>
      <c r="AQD555" s="178"/>
      <c r="AQE555" s="178"/>
      <c r="AQF555" s="178"/>
      <c r="AQG555" s="178"/>
      <c r="AQH555" s="178"/>
      <c r="AQI555" s="178"/>
      <c r="AQJ555" s="178"/>
      <c r="AQK555" s="178"/>
      <c r="AQL555" s="178"/>
      <c r="AQM555" s="178"/>
      <c r="AQN555" s="178"/>
      <c r="AQO555" s="178"/>
      <c r="AQP555" s="178"/>
      <c r="AQQ555" s="178"/>
      <c r="AQR555" s="178"/>
      <c r="AQS555" s="178"/>
      <c r="AQT555" s="178"/>
      <c r="AQU555" s="178"/>
      <c r="AQV555" s="178"/>
      <c r="AQW555" s="178"/>
      <c r="AQX555" s="178"/>
      <c r="AQY555" s="178"/>
      <c r="AQZ555" s="178"/>
      <c r="ARA555" s="178"/>
      <c r="ARB555" s="178"/>
      <c r="ARC555" s="178"/>
      <c r="ARD555" s="178"/>
      <c r="ARE555" s="178"/>
      <c r="ARF555" s="178"/>
      <c r="ARG555" s="178"/>
      <c r="ARH555" s="178"/>
      <c r="ARI555" s="178"/>
      <c r="ARJ555" s="178"/>
      <c r="ARK555" s="178"/>
      <c r="ARL555" s="178"/>
      <c r="ARM555" s="178"/>
      <c r="ARN555" s="178"/>
      <c r="ARO555" s="178"/>
      <c r="ARP555" s="178"/>
      <c r="ARQ555" s="178"/>
      <c r="ARR555" s="178"/>
      <c r="ARS555" s="178"/>
      <c r="ART555" s="178"/>
      <c r="ARU555" s="178"/>
      <c r="ARV555" s="178"/>
      <c r="ARW555" s="178"/>
      <c r="ARX555" s="178"/>
      <c r="ARY555" s="178"/>
      <c r="ARZ555" s="178"/>
      <c r="ASA555" s="178"/>
      <c r="ASB555" s="178"/>
      <c r="ASC555" s="178"/>
      <c r="ASD555" s="178"/>
      <c r="ASE555" s="178"/>
      <c r="ASF555" s="178"/>
      <c r="ASG555" s="178"/>
      <c r="ASH555" s="178"/>
      <c r="ASI555" s="178"/>
      <c r="ASJ555" s="178"/>
      <c r="ASK555" s="178"/>
      <c r="ASL555" s="178"/>
      <c r="ASM555" s="178"/>
      <c r="ASN555" s="178"/>
      <c r="ASO555" s="178"/>
      <c r="ASP555" s="178"/>
      <c r="ASQ555" s="178"/>
      <c r="ASR555" s="178"/>
      <c r="ASS555" s="178"/>
      <c r="AST555" s="178"/>
      <c r="ASU555" s="178"/>
      <c r="ASV555" s="178"/>
      <c r="ASW555" s="178"/>
      <c r="ASX555" s="178"/>
      <c r="ASY555" s="178"/>
      <c r="ASZ555" s="178"/>
      <c r="ATA555" s="178"/>
      <c r="ATB555" s="178"/>
      <c r="ATC555" s="178"/>
      <c r="ATD555" s="178"/>
      <c r="ATE555" s="178"/>
      <c r="ATF555" s="178"/>
      <c r="ATG555" s="178"/>
      <c r="ATH555" s="178"/>
      <c r="ATI555" s="178"/>
      <c r="ATJ555" s="178"/>
      <c r="ATK555" s="178"/>
      <c r="ATL555" s="178"/>
      <c r="ATM555" s="178"/>
      <c r="ATN555" s="178"/>
      <c r="ATO555" s="178"/>
      <c r="ATP555" s="178"/>
      <c r="ATQ555" s="178"/>
      <c r="ATR555" s="178"/>
      <c r="ATS555" s="178"/>
      <c r="ATT555" s="178"/>
      <c r="ATU555" s="178"/>
      <c r="ATV555" s="178"/>
      <c r="ATW555" s="178"/>
      <c r="ATX555" s="178"/>
      <c r="ATY555" s="178"/>
      <c r="ATZ555" s="178"/>
      <c r="AUA555" s="178"/>
      <c r="AUB555" s="178"/>
      <c r="AUC555" s="178"/>
      <c r="AUD555" s="178"/>
      <c r="AUE555" s="178"/>
      <c r="AUF555" s="178"/>
      <c r="AUG555" s="178"/>
      <c r="AUH555" s="178"/>
      <c r="AUI555" s="178"/>
      <c r="AUJ555" s="178"/>
      <c r="AUK555" s="178"/>
      <c r="AUL555" s="178"/>
      <c r="AUM555" s="178"/>
      <c r="AUN555" s="178"/>
      <c r="AUO555" s="178"/>
      <c r="AUP555" s="178"/>
      <c r="AUQ555" s="178"/>
      <c r="AUR555" s="178"/>
      <c r="AUS555" s="178"/>
      <c r="AUT555" s="178"/>
      <c r="AUU555" s="178"/>
      <c r="AUV555" s="178"/>
      <c r="AUW555" s="178"/>
      <c r="AUX555" s="178"/>
      <c r="AUY555" s="178"/>
      <c r="AUZ555" s="178"/>
      <c r="AVA555" s="178"/>
      <c r="AVB555" s="178"/>
      <c r="AVC555" s="178"/>
      <c r="AVD555" s="178"/>
      <c r="AVE555" s="178"/>
      <c r="AVF555" s="178"/>
      <c r="AVG555" s="178"/>
      <c r="AVH555" s="178"/>
      <c r="AVI555" s="178"/>
      <c r="AVJ555" s="178"/>
      <c r="AVK555" s="178"/>
      <c r="AVL555" s="178"/>
      <c r="AVM555" s="178"/>
      <c r="AVN555" s="178"/>
      <c r="AVO555" s="178"/>
      <c r="AVP555" s="178"/>
      <c r="AVQ555" s="178"/>
      <c r="AVR555" s="178"/>
      <c r="AVS555" s="178"/>
      <c r="AVT555" s="178"/>
      <c r="AVU555" s="178"/>
      <c r="AVV555" s="178"/>
      <c r="AVW555" s="178"/>
      <c r="AVX555" s="178"/>
      <c r="AVY555" s="178"/>
      <c r="AVZ555" s="178"/>
      <c r="AWA555" s="178"/>
      <c r="AWB555" s="178"/>
      <c r="AWC555" s="178"/>
      <c r="AWD555" s="178"/>
      <c r="AWE555" s="178"/>
      <c r="AWF555" s="178"/>
      <c r="AWG555" s="178"/>
      <c r="AWH555" s="178"/>
      <c r="AWI555" s="178"/>
      <c r="AWJ555" s="178"/>
      <c r="AWK555" s="178"/>
      <c r="AWL555" s="178"/>
      <c r="AWM555" s="178"/>
      <c r="AWN555" s="178"/>
      <c r="AWO555" s="178"/>
      <c r="AWP555" s="178"/>
      <c r="AWQ555" s="178"/>
      <c r="AWR555" s="178"/>
      <c r="AWS555" s="178"/>
      <c r="AWT555" s="178"/>
      <c r="AWU555" s="178"/>
      <c r="AWV555" s="178"/>
      <c r="AWW555" s="178"/>
      <c r="AWX555" s="178"/>
      <c r="AWY555" s="178"/>
      <c r="AWZ555" s="178"/>
      <c r="AXA555" s="178"/>
      <c r="AXB555" s="178"/>
      <c r="AXC555" s="178"/>
      <c r="AXD555" s="178"/>
      <c r="AXE555" s="178"/>
      <c r="AXF555" s="178"/>
      <c r="AXG555" s="178"/>
      <c r="AXH555" s="178"/>
      <c r="AXI555" s="178"/>
      <c r="AXJ555" s="178"/>
      <c r="AXK555" s="178"/>
      <c r="AXL555" s="178"/>
      <c r="AXM555" s="178"/>
      <c r="AXN555" s="178"/>
      <c r="AXO555" s="178"/>
      <c r="AXP555" s="178"/>
      <c r="AXQ555" s="178"/>
      <c r="AXR555" s="178"/>
      <c r="AXS555" s="178"/>
      <c r="AXT555" s="178"/>
      <c r="AXU555" s="178"/>
      <c r="AXV555" s="178"/>
      <c r="AXW555" s="178"/>
      <c r="AXX555" s="178"/>
      <c r="AXY555" s="178"/>
      <c r="AXZ555" s="178"/>
      <c r="AYA555" s="178"/>
      <c r="AYB555" s="178"/>
      <c r="AYC555" s="178"/>
      <c r="AYD555" s="178"/>
      <c r="AYE555" s="178"/>
      <c r="AYF555" s="178"/>
      <c r="AYG555" s="178"/>
      <c r="AYH555" s="178"/>
      <c r="AYI555" s="178"/>
      <c r="AYJ555" s="178"/>
      <c r="AYK555" s="178"/>
      <c r="AYL555" s="178"/>
      <c r="AYM555" s="178"/>
      <c r="AYN555" s="178"/>
      <c r="AYO555" s="178"/>
      <c r="AYP555" s="178"/>
      <c r="AYQ555" s="178"/>
      <c r="AYR555" s="178"/>
      <c r="AYS555" s="178"/>
      <c r="AYT555" s="178"/>
      <c r="AYU555" s="178"/>
      <c r="AYV555" s="178"/>
      <c r="AYW555" s="178"/>
      <c r="AYX555" s="178"/>
      <c r="AYY555" s="178"/>
      <c r="AYZ555" s="178"/>
      <c r="AZA555" s="178"/>
      <c r="AZB555" s="178"/>
      <c r="AZC555" s="178"/>
      <c r="AZD555" s="178"/>
      <c r="AZE555" s="178"/>
      <c r="AZF555" s="178"/>
      <c r="AZG555" s="178"/>
      <c r="AZH555" s="178"/>
      <c r="AZI555" s="178"/>
      <c r="AZJ555" s="178"/>
      <c r="AZK555" s="178"/>
      <c r="AZL555" s="178"/>
      <c r="AZM555" s="178"/>
      <c r="AZN555" s="178"/>
      <c r="AZO555" s="178"/>
      <c r="AZP555" s="178"/>
      <c r="AZQ555" s="178"/>
      <c r="AZR555" s="178"/>
      <c r="AZS555" s="178"/>
      <c r="AZT555" s="178"/>
      <c r="AZU555" s="178"/>
      <c r="AZV555" s="178"/>
      <c r="AZW555" s="178"/>
      <c r="AZX555" s="178"/>
      <c r="AZY555" s="178"/>
      <c r="AZZ555" s="178"/>
      <c r="BAA555" s="178"/>
      <c r="BAB555" s="178"/>
      <c r="BAC555" s="178"/>
      <c r="BAD555" s="178"/>
      <c r="BAE555" s="178"/>
      <c r="BAF555" s="178"/>
      <c r="BAG555" s="178"/>
      <c r="BAH555" s="178"/>
      <c r="BAI555" s="178"/>
      <c r="BAJ555" s="178"/>
      <c r="BAK555" s="178"/>
      <c r="BAL555" s="178"/>
      <c r="BAM555" s="178"/>
      <c r="BAN555" s="178"/>
      <c r="BAO555" s="178"/>
      <c r="BAP555" s="178"/>
      <c r="BAQ555" s="178"/>
      <c r="BAR555" s="178"/>
      <c r="BAS555" s="178"/>
      <c r="BAT555" s="178"/>
      <c r="BAU555" s="178"/>
      <c r="BAV555" s="178"/>
      <c r="BAW555" s="178"/>
      <c r="BAX555" s="178"/>
      <c r="BAY555" s="178"/>
      <c r="BAZ555" s="178"/>
      <c r="BBA555" s="178"/>
      <c r="BBB555" s="178"/>
      <c r="BBC555" s="178"/>
      <c r="BBD555" s="178"/>
      <c r="BBE555" s="178"/>
      <c r="BBF555" s="178"/>
      <c r="BBG555" s="178"/>
      <c r="BBH555" s="178"/>
      <c r="BBI555" s="178"/>
      <c r="BBJ555" s="178"/>
      <c r="BBK555" s="178"/>
      <c r="BBL555" s="178"/>
      <c r="BBM555" s="178"/>
      <c r="BBN555" s="178"/>
      <c r="BBO555" s="178"/>
      <c r="BBP555" s="178"/>
      <c r="BBQ555" s="178"/>
      <c r="BBR555" s="178"/>
      <c r="BBS555" s="178"/>
      <c r="BBT555" s="178"/>
      <c r="BBU555" s="178"/>
      <c r="BBV555" s="178"/>
      <c r="BBW555" s="178"/>
      <c r="BBX555" s="178"/>
      <c r="BBY555" s="178"/>
      <c r="BBZ555" s="178"/>
      <c r="BCA555" s="178"/>
      <c r="BCB555" s="178"/>
      <c r="BCC555" s="178"/>
      <c r="BCD555" s="178"/>
      <c r="BCE555" s="178"/>
      <c r="BCF555" s="178"/>
      <c r="BCG555" s="178"/>
      <c r="BCH555" s="178"/>
      <c r="BCI555" s="178"/>
      <c r="BCJ555" s="178"/>
      <c r="BCK555" s="178"/>
      <c r="BCL555" s="178"/>
      <c r="BCM555" s="178"/>
      <c r="BCN555" s="178"/>
      <c r="BCO555" s="178"/>
      <c r="BCP555" s="178"/>
      <c r="BCQ555" s="178"/>
      <c r="BCR555" s="178"/>
      <c r="BCS555" s="178"/>
      <c r="BCT555" s="178"/>
      <c r="BCU555" s="178"/>
      <c r="BCV555" s="178"/>
      <c r="BCW555" s="178"/>
      <c r="BCX555" s="178"/>
      <c r="BCY555" s="178"/>
      <c r="BCZ555" s="178"/>
      <c r="BDA555" s="178"/>
      <c r="BDB555" s="178"/>
      <c r="BDC555" s="178"/>
      <c r="BDD555" s="178"/>
      <c r="BDE555" s="178"/>
      <c r="BDF555" s="178"/>
      <c r="BDG555" s="178"/>
      <c r="BDH555" s="178"/>
      <c r="BDI555" s="178"/>
      <c r="BDJ555" s="178"/>
      <c r="BDK555" s="178"/>
      <c r="BDL555" s="178"/>
      <c r="BDM555" s="178"/>
      <c r="BDN555" s="178"/>
      <c r="BDO555" s="178"/>
      <c r="BDP555" s="178"/>
      <c r="BDQ555" s="178"/>
      <c r="BDR555" s="178"/>
      <c r="BDS555" s="178"/>
      <c r="BDT555" s="178"/>
      <c r="BDU555" s="178"/>
      <c r="BDV555" s="178"/>
      <c r="BDW555" s="178"/>
      <c r="BDX555" s="178"/>
      <c r="BDY555" s="178"/>
      <c r="BDZ555" s="178"/>
      <c r="BEA555" s="178"/>
      <c r="BEB555" s="178"/>
      <c r="BEC555" s="178"/>
      <c r="BED555" s="178"/>
      <c r="BEE555" s="178"/>
      <c r="BEF555" s="178"/>
      <c r="BEG555" s="178"/>
      <c r="BEH555" s="178"/>
      <c r="BEI555" s="178"/>
      <c r="BEJ555" s="178"/>
      <c r="BEK555" s="178"/>
      <c r="BEL555" s="178"/>
      <c r="BEM555" s="178"/>
      <c r="BEN555" s="178"/>
      <c r="BEO555" s="178"/>
      <c r="BEP555" s="178"/>
      <c r="BEQ555" s="178"/>
      <c r="BER555" s="178"/>
      <c r="BES555" s="178"/>
      <c r="BET555" s="178"/>
      <c r="BEU555" s="178"/>
      <c r="BEV555" s="178"/>
      <c r="BEW555" s="178"/>
      <c r="BEX555" s="178"/>
      <c r="BEY555" s="178"/>
      <c r="BEZ555" s="178"/>
      <c r="BFA555" s="178"/>
      <c r="BFB555" s="178"/>
      <c r="BFC555" s="178"/>
      <c r="BFD555" s="178"/>
      <c r="BFE555" s="178"/>
      <c r="BFF555" s="178"/>
      <c r="BFG555" s="178"/>
      <c r="BFH555" s="178"/>
      <c r="BFI555" s="178"/>
      <c r="BFJ555" s="178"/>
      <c r="BFK555" s="178"/>
      <c r="BFL555" s="178"/>
      <c r="BFM555" s="178"/>
      <c r="BFN555" s="178"/>
      <c r="BFO555" s="178"/>
      <c r="BFP555" s="178"/>
      <c r="BFQ555" s="178"/>
      <c r="BFR555" s="178"/>
      <c r="BFS555" s="178"/>
      <c r="BFT555" s="178"/>
      <c r="BFU555" s="178"/>
      <c r="BFV555" s="178"/>
      <c r="BFW555" s="178"/>
      <c r="BFX555" s="178"/>
      <c r="BFY555" s="178"/>
      <c r="BFZ555" s="178"/>
      <c r="BGA555" s="178"/>
      <c r="BGB555" s="178"/>
      <c r="BGC555" s="178"/>
      <c r="BGD555" s="178"/>
      <c r="BGE555" s="178"/>
      <c r="BGF555" s="178"/>
      <c r="BGG555" s="178"/>
      <c r="BGH555" s="178"/>
      <c r="BGI555" s="178"/>
      <c r="BGJ555" s="178"/>
      <c r="BGK555" s="178"/>
      <c r="BGL555" s="178"/>
      <c r="BGM555" s="178"/>
      <c r="BGN555" s="178"/>
      <c r="BGO555" s="178"/>
      <c r="BGP555" s="178"/>
      <c r="BGQ555" s="178"/>
      <c r="BGR555" s="178"/>
      <c r="BGS555" s="178"/>
      <c r="BGT555" s="178"/>
      <c r="BGU555" s="178"/>
      <c r="BGV555" s="178"/>
      <c r="BGW555" s="178"/>
      <c r="BGX555" s="178"/>
      <c r="BGY555" s="178"/>
      <c r="BGZ555" s="178"/>
      <c r="BHA555" s="178"/>
      <c r="BHB555" s="178"/>
      <c r="BHC555" s="178"/>
      <c r="BHD555" s="178"/>
      <c r="BHE555" s="178"/>
      <c r="BHF555" s="178"/>
      <c r="BHG555" s="178"/>
      <c r="BHH555" s="178"/>
      <c r="BHI555" s="178"/>
      <c r="BHJ555" s="178"/>
      <c r="BHK555" s="178"/>
      <c r="BHL555" s="178"/>
      <c r="BHM555" s="178"/>
      <c r="BHN555" s="178"/>
      <c r="BHO555" s="178"/>
      <c r="BHP555" s="178"/>
      <c r="BHQ555" s="178"/>
      <c r="BHR555" s="178"/>
      <c r="BHS555" s="178"/>
      <c r="BHT555" s="178"/>
      <c r="BHU555" s="178"/>
      <c r="BHV555" s="178"/>
      <c r="BHW555" s="178"/>
      <c r="BHX555" s="178"/>
      <c r="BHY555" s="178"/>
      <c r="BHZ555" s="178"/>
      <c r="BIA555" s="178"/>
      <c r="BIB555" s="178"/>
      <c r="BIC555" s="178"/>
      <c r="BID555" s="178"/>
      <c r="BIE555" s="178"/>
      <c r="BIF555" s="178"/>
      <c r="BIG555" s="178"/>
      <c r="BIH555" s="178"/>
      <c r="BII555" s="178"/>
      <c r="BIJ555" s="178"/>
      <c r="BIK555" s="178"/>
      <c r="BIL555" s="178"/>
      <c r="BIM555" s="178"/>
      <c r="BIN555" s="178"/>
      <c r="BIO555" s="178"/>
      <c r="BIP555" s="178"/>
      <c r="BIQ555" s="178"/>
      <c r="BIR555" s="178"/>
      <c r="BIS555" s="178"/>
      <c r="BIT555" s="178"/>
      <c r="BIU555" s="178"/>
      <c r="BIV555" s="178"/>
      <c r="BIW555" s="178"/>
      <c r="BIX555" s="178"/>
      <c r="BIY555" s="178"/>
      <c r="BIZ555" s="178"/>
      <c r="BJA555" s="178"/>
      <c r="BJB555" s="178"/>
      <c r="BJC555" s="178"/>
      <c r="BJD555" s="178"/>
      <c r="BJE555" s="178"/>
      <c r="BJF555" s="178"/>
      <c r="BJG555" s="178"/>
      <c r="BJH555" s="178"/>
      <c r="BJI555" s="178"/>
      <c r="BJJ555" s="178"/>
      <c r="BJK555" s="178"/>
      <c r="BJL555" s="178"/>
      <c r="BJM555" s="178"/>
      <c r="BJN555" s="178"/>
      <c r="BJO555" s="178"/>
      <c r="BJP555" s="178"/>
      <c r="BJQ555" s="178"/>
      <c r="BJR555" s="178"/>
      <c r="BJS555" s="178"/>
      <c r="BJT555" s="178"/>
      <c r="BJU555" s="178"/>
      <c r="BJV555" s="178"/>
      <c r="BJW555" s="178"/>
      <c r="BJX555" s="178"/>
      <c r="BJY555" s="178"/>
      <c r="BJZ555" s="178"/>
      <c r="BKA555" s="178"/>
      <c r="BKB555" s="178"/>
      <c r="BKC555" s="178"/>
      <c r="BKD555" s="178"/>
      <c r="BKE555" s="178"/>
      <c r="BKF555" s="178"/>
      <c r="BKG555" s="178"/>
      <c r="BKH555" s="178"/>
      <c r="BKI555" s="178"/>
      <c r="BKJ555" s="178"/>
      <c r="BKK555" s="178"/>
      <c r="BKL555" s="178"/>
      <c r="BKM555" s="178"/>
      <c r="BKN555" s="178"/>
      <c r="BKO555" s="178"/>
      <c r="BKP555" s="178"/>
      <c r="BKQ555" s="178"/>
      <c r="BKR555" s="178"/>
      <c r="BKS555" s="178"/>
      <c r="BKT555" s="178"/>
      <c r="BKU555" s="178"/>
      <c r="BKV555" s="178"/>
      <c r="BKW555" s="178"/>
      <c r="BKX555" s="178"/>
      <c r="BKY555" s="178"/>
      <c r="BKZ555" s="178"/>
      <c r="BLA555" s="178"/>
      <c r="BLB555" s="178"/>
      <c r="BLC555" s="178"/>
      <c r="BLD555" s="178"/>
      <c r="BLE555" s="178"/>
      <c r="BLF555" s="178"/>
      <c r="BLG555" s="178"/>
      <c r="BLH555" s="178"/>
      <c r="BLI555" s="178"/>
      <c r="BLJ555" s="178"/>
      <c r="BLK555" s="178"/>
      <c r="BLL555" s="178"/>
      <c r="BLM555" s="178"/>
      <c r="BLN555" s="178"/>
      <c r="BLO555" s="178"/>
      <c r="BLP555" s="178"/>
      <c r="BLQ555" s="178"/>
      <c r="BLR555" s="178"/>
      <c r="BLS555" s="178"/>
      <c r="BLT555" s="178"/>
      <c r="BLU555" s="178"/>
      <c r="BLV555" s="178"/>
      <c r="BLW555" s="178"/>
      <c r="BLX555" s="178"/>
      <c r="BLY555" s="178"/>
      <c r="BLZ555" s="178"/>
      <c r="BMA555" s="178"/>
      <c r="BMB555" s="178"/>
      <c r="BMC555" s="178"/>
      <c r="BMD555" s="178"/>
      <c r="BME555" s="178"/>
      <c r="BMF555" s="178"/>
      <c r="BMG555" s="178"/>
      <c r="BMH555" s="178"/>
      <c r="BMI555" s="178"/>
      <c r="BMJ555" s="178"/>
      <c r="BMK555" s="178"/>
      <c r="BML555" s="178"/>
      <c r="BMM555" s="178"/>
      <c r="BMN555" s="178"/>
      <c r="BMO555" s="178"/>
      <c r="BMP555" s="178"/>
      <c r="BMQ555" s="178"/>
      <c r="BMR555" s="178"/>
      <c r="BMS555" s="178"/>
      <c r="BMT555" s="178"/>
      <c r="BMU555" s="178"/>
      <c r="BMV555" s="178"/>
      <c r="BMW555" s="178"/>
      <c r="BMX555" s="178"/>
      <c r="BMY555" s="178"/>
      <c r="BMZ555" s="178"/>
      <c r="BNA555" s="178"/>
      <c r="BNB555" s="178"/>
      <c r="BNC555" s="178"/>
      <c r="BND555" s="178"/>
      <c r="BNE555" s="178"/>
      <c r="BNF555" s="178"/>
      <c r="BNG555" s="178"/>
      <c r="BNH555" s="178"/>
      <c r="BNI555" s="178"/>
      <c r="BNJ555" s="178"/>
      <c r="BNK555" s="178"/>
      <c r="BNL555" s="178"/>
      <c r="BNM555" s="178"/>
      <c r="BNN555" s="178"/>
      <c r="BNO555" s="178"/>
      <c r="BNP555" s="178"/>
      <c r="BNQ555" s="178"/>
      <c r="BNR555" s="178"/>
      <c r="BNS555" s="178"/>
      <c r="BNT555" s="178"/>
      <c r="BNU555" s="178"/>
      <c r="BNV555" s="178"/>
      <c r="BNW555" s="178"/>
      <c r="BNX555" s="178"/>
      <c r="BNY555" s="178"/>
      <c r="BNZ555" s="178"/>
      <c r="BOA555" s="178"/>
      <c r="BOB555" s="178"/>
      <c r="BOC555" s="178"/>
      <c r="BOD555" s="178"/>
      <c r="BOE555" s="178"/>
      <c r="BOF555" s="178"/>
      <c r="BOG555" s="178"/>
      <c r="BOH555" s="178"/>
      <c r="BOI555" s="178"/>
      <c r="BOJ555" s="178"/>
      <c r="BOK555" s="178"/>
      <c r="BOL555" s="178"/>
      <c r="BOM555" s="178"/>
      <c r="BON555" s="178"/>
      <c r="BOO555" s="178"/>
      <c r="BOP555" s="178"/>
      <c r="BOQ555" s="178"/>
      <c r="BOR555" s="178"/>
      <c r="BOS555" s="178"/>
      <c r="BOT555" s="178"/>
      <c r="BOU555" s="178"/>
      <c r="BOV555" s="178"/>
      <c r="BOW555" s="178"/>
      <c r="BOX555" s="178"/>
      <c r="BOY555" s="178"/>
      <c r="BOZ555" s="178"/>
      <c r="BPA555" s="178"/>
      <c r="BPB555" s="178"/>
      <c r="BPC555" s="178"/>
      <c r="BPD555" s="178"/>
      <c r="BPE555" s="178"/>
      <c r="BPF555" s="178"/>
      <c r="BPG555" s="178"/>
      <c r="BPH555" s="178"/>
      <c r="BPI555" s="178"/>
      <c r="BPJ555" s="178"/>
      <c r="BPK555" s="178"/>
      <c r="BPL555" s="178"/>
      <c r="BPM555" s="178"/>
      <c r="BPN555" s="178"/>
      <c r="BPO555" s="178"/>
      <c r="BPP555" s="178"/>
      <c r="BPQ555" s="178"/>
      <c r="BPR555" s="178"/>
      <c r="BPS555" s="178"/>
      <c r="BPT555" s="178"/>
      <c r="BPU555" s="178"/>
      <c r="BPV555" s="178"/>
      <c r="BPW555" s="178"/>
      <c r="BPX555" s="178"/>
      <c r="BPY555" s="178"/>
      <c r="BPZ555" s="178"/>
      <c r="BQA555" s="178"/>
      <c r="BQB555" s="178"/>
      <c r="BQC555" s="178"/>
      <c r="BQD555" s="178"/>
      <c r="BQE555" s="178"/>
      <c r="BQF555" s="178"/>
      <c r="BQG555" s="178"/>
      <c r="BQH555" s="178"/>
      <c r="BQI555" s="178"/>
      <c r="BQJ555" s="178"/>
      <c r="BQK555" s="178"/>
      <c r="BQL555" s="178"/>
      <c r="BQM555" s="178"/>
      <c r="BQN555" s="178"/>
      <c r="BQO555" s="178"/>
      <c r="BQP555" s="178"/>
      <c r="BQQ555" s="178"/>
      <c r="BQR555" s="178"/>
      <c r="BQS555" s="178"/>
      <c r="BQT555" s="178"/>
      <c r="BQU555" s="178"/>
      <c r="BQV555" s="178"/>
      <c r="BQW555" s="178"/>
      <c r="BQX555" s="178"/>
      <c r="BQY555" s="178"/>
      <c r="BQZ555" s="178"/>
      <c r="BRA555" s="178"/>
      <c r="BRB555" s="178"/>
      <c r="BRC555" s="178"/>
      <c r="BRD555" s="178"/>
      <c r="BRE555" s="178"/>
      <c r="BRF555" s="178"/>
      <c r="BRG555" s="178"/>
      <c r="BRH555" s="178"/>
      <c r="BRI555" s="178"/>
      <c r="BRJ555" s="178"/>
      <c r="BRK555" s="178"/>
      <c r="BRL555" s="178"/>
      <c r="BRM555" s="178"/>
      <c r="BRN555" s="178"/>
      <c r="BRO555" s="178"/>
      <c r="BRP555" s="178"/>
      <c r="BRQ555" s="178"/>
      <c r="BRR555" s="178"/>
      <c r="BRS555" s="178"/>
      <c r="BRT555" s="178"/>
      <c r="BRU555" s="178"/>
      <c r="BRV555" s="178"/>
      <c r="BRW555" s="178"/>
      <c r="BRX555" s="178"/>
      <c r="BRY555" s="178"/>
      <c r="BRZ555" s="178"/>
      <c r="BSA555" s="178"/>
      <c r="BSB555" s="178"/>
      <c r="BSC555" s="178"/>
      <c r="BSD555" s="178"/>
      <c r="BSE555" s="178"/>
      <c r="BSF555" s="178"/>
      <c r="BSG555" s="178"/>
      <c r="BSH555" s="178"/>
      <c r="BSI555" s="178"/>
      <c r="BSJ555" s="178"/>
      <c r="BSK555" s="178"/>
      <c r="BSL555" s="178"/>
      <c r="BSM555" s="178"/>
      <c r="BSN555" s="178"/>
      <c r="BSO555" s="178"/>
      <c r="BSP555" s="178"/>
      <c r="BSQ555" s="178"/>
      <c r="BSR555" s="178"/>
      <c r="BSS555" s="178"/>
      <c r="BST555" s="178"/>
      <c r="BSU555" s="178"/>
      <c r="BSV555" s="178"/>
      <c r="BSW555" s="178"/>
      <c r="BSX555" s="178"/>
      <c r="BSY555" s="178"/>
      <c r="BSZ555" s="178"/>
      <c r="BTA555" s="178"/>
      <c r="BTB555" s="178"/>
      <c r="BTC555" s="178"/>
      <c r="BTD555" s="178"/>
      <c r="BTE555" s="178"/>
      <c r="BTF555" s="178"/>
      <c r="BTG555" s="178"/>
      <c r="BTH555" s="178"/>
      <c r="BTI555" s="178"/>
      <c r="BTJ555" s="178"/>
      <c r="BTK555" s="178"/>
      <c r="BTL555" s="178"/>
      <c r="BTM555" s="178"/>
      <c r="BTN555" s="178"/>
      <c r="BTO555" s="178"/>
      <c r="BTP555" s="178"/>
      <c r="BTQ555" s="178"/>
      <c r="BTR555" s="178"/>
      <c r="BTS555" s="178"/>
      <c r="BTT555" s="178"/>
      <c r="BTU555" s="178"/>
      <c r="BTV555" s="178"/>
      <c r="BTW555" s="178"/>
      <c r="BTX555" s="178"/>
      <c r="BTY555" s="178"/>
      <c r="BTZ555" s="178"/>
      <c r="BUA555" s="178"/>
      <c r="BUB555" s="178"/>
      <c r="BUC555" s="178"/>
      <c r="BUD555" s="178"/>
      <c r="BUE555" s="178"/>
      <c r="BUF555" s="178"/>
      <c r="BUG555" s="178"/>
      <c r="BUH555" s="178"/>
      <c r="BUI555" s="178"/>
      <c r="BUJ555" s="178"/>
      <c r="BUK555" s="178"/>
      <c r="BUL555" s="178"/>
      <c r="BUM555" s="178"/>
      <c r="BUN555" s="178"/>
      <c r="BUO555" s="178"/>
      <c r="BUP555" s="178"/>
      <c r="BUQ555" s="178"/>
      <c r="BUR555" s="178"/>
      <c r="BUS555" s="178"/>
      <c r="BUT555" s="178"/>
      <c r="BUU555" s="178"/>
      <c r="BUV555" s="178"/>
      <c r="BUW555" s="178"/>
      <c r="BUX555" s="178"/>
      <c r="BUY555" s="178"/>
      <c r="BUZ555" s="178"/>
      <c r="BVA555" s="178"/>
      <c r="BVB555" s="178"/>
      <c r="BVC555" s="178"/>
      <c r="BVD555" s="178"/>
      <c r="BVE555" s="178"/>
      <c r="BVF555" s="178"/>
      <c r="BVG555" s="178"/>
      <c r="BVH555" s="178"/>
      <c r="BVI555" s="178"/>
      <c r="BVJ555" s="178"/>
      <c r="BVK555" s="178"/>
      <c r="BVL555" s="178"/>
      <c r="BVM555" s="178"/>
      <c r="BVN555" s="178"/>
      <c r="BVO555" s="178"/>
      <c r="BVP555" s="178"/>
      <c r="BVQ555" s="178"/>
      <c r="BVR555" s="178"/>
      <c r="BVS555" s="178"/>
      <c r="BVT555" s="178"/>
      <c r="BVU555" s="178"/>
      <c r="BVV555" s="178"/>
      <c r="BVW555" s="178"/>
      <c r="BVX555" s="178"/>
      <c r="BVY555" s="178"/>
      <c r="BVZ555" s="178"/>
      <c r="BWA555" s="178"/>
      <c r="BWB555" s="178"/>
      <c r="BWC555" s="178"/>
      <c r="BWD555" s="178"/>
      <c r="BWE555" s="178"/>
      <c r="BWF555" s="178"/>
      <c r="BWG555" s="178"/>
      <c r="BWH555" s="178"/>
      <c r="BWI555" s="178"/>
      <c r="BWJ555" s="178"/>
      <c r="BWK555" s="178"/>
      <c r="BWL555" s="178"/>
      <c r="BWM555" s="178"/>
      <c r="BWN555" s="178"/>
      <c r="BWO555" s="178"/>
      <c r="BWP555" s="178"/>
      <c r="BWQ555" s="178"/>
      <c r="BWR555" s="178"/>
      <c r="BWS555" s="178"/>
      <c r="BWT555" s="178"/>
      <c r="BWU555" s="178"/>
      <c r="BWV555" s="178"/>
      <c r="BWW555" s="178"/>
      <c r="BWX555" s="178"/>
      <c r="BWY555" s="178"/>
      <c r="BWZ555" s="178"/>
      <c r="BXA555" s="178"/>
      <c r="BXB555" s="178"/>
      <c r="BXC555" s="178"/>
      <c r="BXD555" s="178"/>
      <c r="BXE555" s="178"/>
      <c r="BXF555" s="178"/>
      <c r="BXG555" s="178"/>
      <c r="BXH555" s="178"/>
      <c r="BXI555" s="178"/>
      <c r="BXJ555" s="178"/>
      <c r="BXK555" s="178"/>
      <c r="BXL555" s="178"/>
      <c r="BXM555" s="178"/>
      <c r="BXN555" s="178"/>
      <c r="BXO555" s="178"/>
      <c r="BXP555" s="178"/>
      <c r="BXQ555" s="178"/>
      <c r="BXR555" s="178"/>
      <c r="BXS555" s="178"/>
      <c r="BXT555" s="178"/>
      <c r="BXU555" s="178"/>
      <c r="BXV555" s="178"/>
      <c r="BXW555" s="178"/>
      <c r="BXX555" s="178"/>
      <c r="BXY555" s="178"/>
      <c r="BXZ555" s="178"/>
      <c r="BYA555" s="178"/>
      <c r="BYB555" s="178"/>
      <c r="BYC555" s="178"/>
      <c r="BYD555" s="178"/>
      <c r="BYE555" s="178"/>
      <c r="BYF555" s="178"/>
      <c r="BYG555" s="178"/>
      <c r="BYH555" s="178"/>
      <c r="BYI555" s="178"/>
      <c r="BYJ555" s="178"/>
      <c r="BYK555" s="178"/>
      <c r="BYL555" s="178"/>
      <c r="BYM555" s="178"/>
      <c r="BYN555" s="178"/>
      <c r="BYO555" s="178"/>
      <c r="BYP555" s="178"/>
      <c r="BYQ555" s="178"/>
      <c r="BYR555" s="178"/>
      <c r="BYS555" s="178"/>
      <c r="BYT555" s="178"/>
      <c r="BYU555" s="178"/>
      <c r="BYV555" s="178"/>
      <c r="BYW555" s="178"/>
      <c r="BYX555" s="178"/>
      <c r="BYY555" s="178"/>
      <c r="BYZ555" s="178"/>
      <c r="BZA555" s="178"/>
      <c r="BZB555" s="178"/>
      <c r="BZC555" s="178"/>
      <c r="BZD555" s="178"/>
      <c r="BZE555" s="178"/>
      <c r="BZF555" s="178"/>
      <c r="BZG555" s="178"/>
      <c r="BZH555" s="178"/>
      <c r="BZI555" s="178"/>
      <c r="BZJ555" s="178"/>
      <c r="BZK555" s="178"/>
      <c r="BZL555" s="178"/>
      <c r="BZM555" s="178"/>
      <c r="BZN555" s="178"/>
      <c r="BZO555" s="178"/>
      <c r="BZP555" s="178"/>
      <c r="BZQ555" s="178"/>
      <c r="BZR555" s="178"/>
      <c r="BZS555" s="178"/>
      <c r="BZT555" s="178"/>
      <c r="BZU555" s="178"/>
      <c r="BZV555" s="178"/>
      <c r="BZW555" s="178"/>
      <c r="BZX555" s="178"/>
      <c r="BZY555" s="178"/>
      <c r="BZZ555" s="178"/>
      <c r="CAA555" s="178"/>
      <c r="CAB555" s="178"/>
      <c r="CAC555" s="178"/>
      <c r="CAD555" s="178"/>
      <c r="CAE555" s="178"/>
      <c r="CAF555" s="178"/>
      <c r="CAG555" s="178"/>
      <c r="CAH555" s="178"/>
      <c r="CAI555" s="178"/>
      <c r="CAJ555" s="178"/>
      <c r="CAK555" s="178"/>
      <c r="CAL555" s="178"/>
      <c r="CAM555" s="178"/>
      <c r="CAN555" s="178"/>
      <c r="CAO555" s="178"/>
      <c r="CAP555" s="178"/>
      <c r="CAQ555" s="178"/>
      <c r="CAR555" s="178"/>
      <c r="CAS555" s="178"/>
      <c r="CAT555" s="178"/>
      <c r="CAU555" s="178"/>
      <c r="CAV555" s="178"/>
      <c r="CAW555" s="178"/>
      <c r="CAX555" s="178"/>
      <c r="CAY555" s="178"/>
      <c r="CAZ555" s="178"/>
      <c r="CBA555" s="178"/>
      <c r="CBB555" s="178"/>
      <c r="CBC555" s="178"/>
      <c r="CBD555" s="178"/>
      <c r="CBE555" s="178"/>
      <c r="CBF555" s="178"/>
      <c r="CBG555" s="178"/>
      <c r="CBH555" s="178"/>
      <c r="CBI555" s="178"/>
      <c r="CBJ555" s="178"/>
      <c r="CBK555" s="178"/>
      <c r="CBL555" s="178"/>
      <c r="CBM555" s="178"/>
      <c r="CBN555" s="178"/>
      <c r="CBO555" s="178"/>
      <c r="CBP555" s="178"/>
      <c r="CBQ555" s="178"/>
      <c r="CBR555" s="178"/>
      <c r="CBS555" s="178"/>
      <c r="CBT555" s="178"/>
      <c r="CBU555" s="178"/>
      <c r="CBV555" s="178"/>
      <c r="CBW555" s="178"/>
      <c r="CBX555" s="178"/>
      <c r="CBY555" s="178"/>
      <c r="CBZ555" s="178"/>
      <c r="CCA555" s="178"/>
      <c r="CCB555" s="178"/>
      <c r="CCC555" s="178"/>
      <c r="CCD555" s="178"/>
      <c r="CCE555" s="178"/>
      <c r="CCF555" s="178"/>
      <c r="CCG555" s="178"/>
      <c r="CCH555" s="178"/>
      <c r="CCI555" s="178"/>
      <c r="CCJ555" s="178"/>
      <c r="CCK555" s="178"/>
      <c r="CCL555" s="178"/>
      <c r="CCM555" s="178"/>
      <c r="CCN555" s="178"/>
      <c r="CCO555" s="178"/>
      <c r="CCP555" s="178"/>
      <c r="CCQ555" s="178"/>
      <c r="CCR555" s="178"/>
      <c r="CCS555" s="178"/>
      <c r="CCT555" s="178"/>
      <c r="CCU555" s="178"/>
      <c r="CCV555" s="178"/>
      <c r="CCW555" s="178"/>
      <c r="CCX555" s="178"/>
      <c r="CCY555" s="178"/>
      <c r="CCZ555" s="178"/>
      <c r="CDA555" s="178"/>
      <c r="CDB555" s="178"/>
      <c r="CDC555" s="178"/>
      <c r="CDD555" s="178"/>
      <c r="CDE555" s="178"/>
      <c r="CDF555" s="178"/>
      <c r="CDG555" s="178"/>
      <c r="CDH555" s="178"/>
      <c r="CDI555" s="178"/>
      <c r="CDJ555" s="178"/>
      <c r="CDK555" s="178"/>
      <c r="CDL555" s="178"/>
      <c r="CDM555" s="178"/>
      <c r="CDN555" s="178"/>
      <c r="CDO555" s="178"/>
      <c r="CDP555" s="178"/>
      <c r="CDQ555" s="178"/>
      <c r="CDR555" s="178"/>
      <c r="CDS555" s="178"/>
      <c r="CDT555" s="178"/>
      <c r="CDU555" s="178"/>
      <c r="CDV555" s="178"/>
      <c r="CDW555" s="178"/>
      <c r="CDX555" s="178"/>
      <c r="CDY555" s="178"/>
      <c r="CDZ555" s="178"/>
      <c r="CEA555" s="178"/>
      <c r="CEB555" s="178"/>
      <c r="CEC555" s="178"/>
      <c r="CED555" s="178"/>
      <c r="CEE555" s="178"/>
      <c r="CEF555" s="178"/>
      <c r="CEG555" s="178"/>
      <c r="CEH555" s="178"/>
      <c r="CEI555" s="178"/>
      <c r="CEJ555" s="178"/>
      <c r="CEK555" s="178"/>
      <c r="CEL555" s="178"/>
      <c r="CEM555" s="178"/>
      <c r="CEN555" s="178"/>
      <c r="CEO555" s="178"/>
      <c r="CEP555" s="178"/>
      <c r="CEQ555" s="178"/>
      <c r="CER555" s="178"/>
      <c r="CES555" s="178"/>
      <c r="CET555" s="178"/>
      <c r="CEU555" s="178"/>
      <c r="CEV555" s="178"/>
      <c r="CEW555" s="178"/>
      <c r="CEX555" s="178"/>
      <c r="CEY555" s="178"/>
      <c r="CEZ555" s="178"/>
      <c r="CFA555" s="178"/>
      <c r="CFB555" s="178"/>
      <c r="CFC555" s="178"/>
      <c r="CFD555" s="178"/>
      <c r="CFE555" s="178"/>
      <c r="CFF555" s="178"/>
      <c r="CFG555" s="178"/>
      <c r="CFH555" s="178"/>
      <c r="CFI555" s="178"/>
      <c r="CFJ555" s="178"/>
      <c r="CFK555" s="178"/>
      <c r="CFL555" s="178"/>
      <c r="CFM555" s="178"/>
      <c r="CFN555" s="178"/>
      <c r="CFO555" s="178"/>
      <c r="CFP555" s="178"/>
      <c r="CFQ555" s="178"/>
      <c r="CFR555" s="178"/>
      <c r="CFS555" s="178"/>
      <c r="CFT555" s="178"/>
      <c r="CFU555" s="178"/>
      <c r="CFV555" s="178"/>
      <c r="CFW555" s="178"/>
      <c r="CFX555" s="178"/>
      <c r="CFY555" s="178"/>
      <c r="CFZ555" s="178"/>
      <c r="CGA555" s="178"/>
      <c r="CGB555" s="178"/>
      <c r="CGC555" s="178"/>
      <c r="CGD555" s="178"/>
      <c r="CGE555" s="178"/>
      <c r="CGF555" s="178"/>
      <c r="CGG555" s="178"/>
      <c r="CGH555" s="178"/>
      <c r="CGI555" s="178"/>
      <c r="CGJ555" s="178"/>
      <c r="CGK555" s="178"/>
      <c r="CGL555" s="178"/>
      <c r="CGM555" s="178"/>
      <c r="CGN555" s="178"/>
      <c r="CGO555" s="178"/>
      <c r="CGP555" s="178"/>
      <c r="CGQ555" s="178"/>
      <c r="CGR555" s="178"/>
      <c r="CGS555" s="178"/>
      <c r="CGT555" s="178"/>
      <c r="CGU555" s="178"/>
      <c r="CGV555" s="178"/>
      <c r="CGW555" s="178"/>
      <c r="CGX555" s="178"/>
      <c r="CGY555" s="178"/>
      <c r="CGZ555" s="178"/>
      <c r="CHA555" s="178"/>
      <c r="CHB555" s="178"/>
      <c r="CHC555" s="178"/>
      <c r="CHD555" s="178"/>
      <c r="CHE555" s="178"/>
      <c r="CHF555" s="178"/>
      <c r="CHG555" s="178"/>
      <c r="CHH555" s="178"/>
      <c r="CHI555" s="178"/>
      <c r="CHJ555" s="178"/>
      <c r="CHK555" s="178"/>
      <c r="CHL555" s="178"/>
      <c r="CHM555" s="178"/>
      <c r="CHN555" s="178"/>
      <c r="CHO555" s="178"/>
      <c r="CHP555" s="178"/>
      <c r="CHQ555" s="178"/>
      <c r="CHR555" s="178"/>
      <c r="CHS555" s="178"/>
      <c r="CHT555" s="178"/>
      <c r="CHU555" s="178"/>
      <c r="CHV555" s="178"/>
      <c r="CHW555" s="178"/>
      <c r="CHX555" s="178"/>
      <c r="CHY555" s="178"/>
      <c r="CHZ555" s="178"/>
      <c r="CIA555" s="178"/>
      <c r="CIB555" s="178"/>
      <c r="CIC555" s="178"/>
      <c r="CID555" s="178"/>
      <c r="CIE555" s="178"/>
      <c r="CIF555" s="178"/>
      <c r="CIG555" s="178"/>
      <c r="CIH555" s="178"/>
      <c r="CII555" s="178"/>
      <c r="CIJ555" s="178"/>
      <c r="CIK555" s="178"/>
      <c r="CIL555" s="178"/>
      <c r="CIM555" s="178"/>
      <c r="CIN555" s="178"/>
      <c r="CIO555" s="178"/>
      <c r="CIP555" s="178"/>
      <c r="CIQ555" s="178"/>
      <c r="CIR555" s="178"/>
      <c r="CIS555" s="178"/>
      <c r="CIT555" s="178"/>
      <c r="CIU555" s="178"/>
      <c r="CIV555" s="178"/>
      <c r="CIW555" s="178"/>
      <c r="CIX555" s="178"/>
      <c r="CIY555" s="178"/>
      <c r="CIZ555" s="178"/>
      <c r="CJA555" s="178"/>
      <c r="CJB555" s="178"/>
      <c r="CJC555" s="178"/>
      <c r="CJD555" s="178"/>
      <c r="CJE555" s="178"/>
      <c r="CJF555" s="178"/>
      <c r="CJG555" s="178"/>
      <c r="CJH555" s="178"/>
      <c r="CJI555" s="178"/>
      <c r="CJJ555" s="178"/>
      <c r="CJK555" s="178"/>
      <c r="CJL555" s="178"/>
      <c r="CJM555" s="178"/>
      <c r="CJN555" s="178"/>
      <c r="CJO555" s="178"/>
      <c r="CJP555" s="178"/>
      <c r="CJQ555" s="178"/>
      <c r="CJR555" s="178"/>
      <c r="CJS555" s="178"/>
      <c r="CJT555" s="178"/>
      <c r="CJU555" s="178"/>
      <c r="CJV555" s="178"/>
      <c r="CJW555" s="178"/>
      <c r="CJX555" s="178"/>
      <c r="CJY555" s="178"/>
      <c r="CJZ555" s="178"/>
      <c r="CKA555" s="178"/>
      <c r="CKB555" s="178"/>
      <c r="CKC555" s="178"/>
      <c r="CKD555" s="178"/>
      <c r="CKE555" s="178"/>
      <c r="CKF555" s="178"/>
      <c r="CKG555" s="178"/>
      <c r="CKH555" s="178"/>
      <c r="CKI555" s="178"/>
      <c r="CKJ555" s="178"/>
      <c r="CKK555" s="178"/>
      <c r="CKL555" s="178"/>
      <c r="CKM555" s="178"/>
      <c r="CKN555" s="178"/>
      <c r="CKO555" s="178"/>
      <c r="CKP555" s="178"/>
      <c r="CKQ555" s="178"/>
      <c r="CKR555" s="178"/>
      <c r="CKS555" s="178"/>
      <c r="CKT555" s="178"/>
      <c r="CKU555" s="178"/>
      <c r="CKV555" s="178"/>
      <c r="CKW555" s="178"/>
      <c r="CKX555" s="178"/>
      <c r="CKY555" s="178"/>
      <c r="CKZ555" s="178"/>
      <c r="CLA555" s="178"/>
      <c r="CLB555" s="178"/>
      <c r="CLC555" s="178"/>
      <c r="CLD555" s="178"/>
      <c r="CLE555" s="178"/>
      <c r="CLF555" s="178"/>
      <c r="CLG555" s="178"/>
      <c r="CLH555" s="178"/>
      <c r="CLI555" s="178"/>
      <c r="CLJ555" s="178"/>
      <c r="CLK555" s="178"/>
      <c r="CLL555" s="178"/>
      <c r="CLM555" s="178"/>
      <c r="CLN555" s="178"/>
      <c r="CLO555" s="178"/>
      <c r="CLP555" s="178"/>
      <c r="CLQ555" s="178"/>
      <c r="CLR555" s="178"/>
      <c r="CLS555" s="178"/>
      <c r="CLT555" s="178"/>
      <c r="CLU555" s="178"/>
      <c r="CLV555" s="178"/>
      <c r="CLW555" s="178"/>
      <c r="CLX555" s="178"/>
      <c r="CLY555" s="178"/>
      <c r="CLZ555" s="178"/>
      <c r="CMA555" s="178"/>
      <c r="CMB555" s="178"/>
      <c r="CMC555" s="178"/>
      <c r="CMD555" s="178"/>
      <c r="CME555" s="178"/>
      <c r="CMF555" s="178"/>
      <c r="CMG555" s="178"/>
      <c r="CMH555" s="178"/>
      <c r="CMI555" s="178"/>
      <c r="CMJ555" s="178"/>
      <c r="CMK555" s="178"/>
      <c r="CML555" s="178"/>
      <c r="CMM555" s="178"/>
      <c r="CMN555" s="178"/>
      <c r="CMO555" s="178"/>
      <c r="CMP555" s="178"/>
      <c r="CMQ555" s="178"/>
      <c r="CMR555" s="178"/>
      <c r="CMS555" s="178"/>
      <c r="CMT555" s="178"/>
      <c r="CMU555" s="178"/>
      <c r="CMV555" s="178"/>
      <c r="CMW555" s="178"/>
      <c r="CMX555" s="178"/>
      <c r="CMY555" s="178"/>
      <c r="CMZ555" s="178"/>
      <c r="CNA555" s="178"/>
      <c r="CNB555" s="178"/>
      <c r="CNC555" s="178"/>
      <c r="CND555" s="178"/>
      <c r="CNE555" s="178"/>
      <c r="CNF555" s="178"/>
      <c r="CNG555" s="178"/>
      <c r="CNH555" s="178"/>
      <c r="CNI555" s="178"/>
      <c r="CNJ555" s="178"/>
      <c r="CNK555" s="178"/>
      <c r="CNL555" s="178"/>
      <c r="CNM555" s="178"/>
      <c r="CNN555" s="178"/>
      <c r="CNO555" s="178"/>
      <c r="CNP555" s="178"/>
      <c r="CNQ555" s="178"/>
      <c r="CNR555" s="178"/>
      <c r="CNS555" s="178"/>
      <c r="CNT555" s="178"/>
      <c r="CNU555" s="178"/>
      <c r="CNV555" s="178"/>
      <c r="CNW555" s="178"/>
      <c r="CNX555" s="178"/>
      <c r="CNY555" s="178"/>
      <c r="CNZ555" s="178"/>
      <c r="COA555" s="178"/>
      <c r="COB555" s="178"/>
      <c r="COC555" s="178"/>
      <c r="COD555" s="178"/>
      <c r="COE555" s="178"/>
      <c r="COF555" s="178"/>
      <c r="COG555" s="178"/>
      <c r="COH555" s="178"/>
      <c r="COI555" s="178"/>
      <c r="COJ555" s="178"/>
      <c r="COK555" s="178"/>
      <c r="COL555" s="178"/>
      <c r="COM555" s="178"/>
      <c r="CON555" s="178"/>
      <c r="COO555" s="178"/>
      <c r="COP555" s="178"/>
      <c r="COQ555" s="178"/>
      <c r="COR555" s="178"/>
      <c r="COS555" s="178"/>
      <c r="COT555" s="178"/>
      <c r="COU555" s="178"/>
      <c r="COV555" s="178"/>
      <c r="COW555" s="178"/>
      <c r="COX555" s="178"/>
      <c r="COY555" s="178"/>
      <c r="COZ555" s="178"/>
      <c r="CPA555" s="178"/>
      <c r="CPB555" s="178"/>
      <c r="CPC555" s="178"/>
      <c r="CPD555" s="178"/>
      <c r="CPE555" s="178"/>
      <c r="CPF555" s="178"/>
      <c r="CPG555" s="178"/>
      <c r="CPH555" s="178"/>
      <c r="CPI555" s="178"/>
      <c r="CPJ555" s="178"/>
      <c r="CPK555" s="178"/>
      <c r="CPL555" s="178"/>
      <c r="CPM555" s="178"/>
      <c r="CPN555" s="178"/>
      <c r="CPO555" s="178"/>
      <c r="CPP555" s="178"/>
      <c r="CPQ555" s="178"/>
      <c r="CPR555" s="178"/>
      <c r="CPS555" s="178"/>
      <c r="CPT555" s="178"/>
      <c r="CPU555" s="178"/>
      <c r="CPV555" s="178"/>
      <c r="CPW555" s="178"/>
      <c r="CPX555" s="178"/>
      <c r="CPY555" s="178"/>
      <c r="CPZ555" s="178"/>
      <c r="CQA555" s="178"/>
      <c r="CQB555" s="178"/>
      <c r="CQC555" s="178"/>
      <c r="CQD555" s="178"/>
      <c r="CQE555" s="178"/>
      <c r="CQF555" s="178"/>
      <c r="CQG555" s="178"/>
      <c r="CQH555" s="178"/>
      <c r="CQI555" s="178"/>
      <c r="CQJ555" s="178"/>
      <c r="CQK555" s="178"/>
      <c r="CQL555" s="178"/>
      <c r="CQM555" s="178"/>
      <c r="CQN555" s="178"/>
      <c r="CQO555" s="178"/>
      <c r="CQP555" s="178"/>
      <c r="CQQ555" s="178"/>
      <c r="CQR555" s="178"/>
      <c r="CQS555" s="178"/>
      <c r="CQT555" s="178"/>
      <c r="CQU555" s="178"/>
      <c r="CQV555" s="178"/>
      <c r="CQW555" s="178"/>
      <c r="CQX555" s="178"/>
      <c r="CQY555" s="178"/>
      <c r="CQZ555" s="178"/>
      <c r="CRA555" s="178"/>
      <c r="CRB555" s="178"/>
      <c r="CRC555" s="178"/>
      <c r="CRD555" s="178"/>
      <c r="CRE555" s="178"/>
      <c r="CRF555" s="178"/>
      <c r="CRG555" s="178"/>
      <c r="CRH555" s="178"/>
      <c r="CRI555" s="178"/>
      <c r="CRJ555" s="178"/>
      <c r="CRK555" s="178"/>
      <c r="CRL555" s="178"/>
      <c r="CRM555" s="178"/>
      <c r="CRN555" s="178"/>
      <c r="CRO555" s="178"/>
      <c r="CRP555" s="178"/>
      <c r="CRQ555" s="178"/>
      <c r="CRR555" s="178"/>
      <c r="CRS555" s="178"/>
      <c r="CRT555" s="178"/>
      <c r="CRU555" s="178"/>
      <c r="CRV555" s="178"/>
      <c r="CRW555" s="178"/>
      <c r="CRX555" s="178"/>
      <c r="CRY555" s="178"/>
      <c r="CRZ555" s="178"/>
      <c r="CSA555" s="178"/>
      <c r="CSB555" s="178"/>
      <c r="CSC555" s="178"/>
      <c r="CSD555" s="178"/>
      <c r="CSE555" s="178"/>
      <c r="CSF555" s="178"/>
      <c r="CSG555" s="178"/>
      <c r="CSH555" s="178"/>
      <c r="CSI555" s="178"/>
      <c r="CSJ555" s="178"/>
      <c r="CSK555" s="178"/>
      <c r="CSL555" s="178"/>
      <c r="CSM555" s="178"/>
      <c r="CSN555" s="178"/>
      <c r="CSO555" s="178"/>
      <c r="CSP555" s="178"/>
      <c r="CSQ555" s="178"/>
      <c r="CSR555" s="178"/>
      <c r="CSS555" s="178"/>
      <c r="CST555" s="178"/>
      <c r="CSU555" s="178"/>
      <c r="CSV555" s="178"/>
      <c r="CSW555" s="178"/>
      <c r="CSX555" s="178"/>
      <c r="CSY555" s="178"/>
      <c r="CSZ555" s="178"/>
      <c r="CTA555" s="178"/>
      <c r="CTB555" s="178"/>
      <c r="CTC555" s="178"/>
      <c r="CTD555" s="178"/>
      <c r="CTE555" s="178"/>
      <c r="CTF555" s="178"/>
      <c r="CTG555" s="178"/>
      <c r="CTH555" s="178"/>
      <c r="CTI555" s="178"/>
      <c r="CTJ555" s="178"/>
      <c r="CTK555" s="178"/>
      <c r="CTL555" s="178"/>
      <c r="CTM555" s="178"/>
      <c r="CTN555" s="178"/>
      <c r="CTO555" s="178"/>
      <c r="CTP555" s="178"/>
      <c r="CTQ555" s="178"/>
      <c r="CTR555" s="178"/>
      <c r="CTS555" s="178"/>
      <c r="CTT555" s="178"/>
      <c r="CTU555" s="178"/>
      <c r="CTV555" s="178"/>
      <c r="CTW555" s="178"/>
      <c r="CTX555" s="178"/>
      <c r="CTY555" s="178"/>
      <c r="CTZ555" s="178"/>
      <c r="CUA555" s="178"/>
      <c r="CUB555" s="178"/>
      <c r="CUC555" s="178"/>
      <c r="CUD555" s="178"/>
      <c r="CUE555" s="178"/>
      <c r="CUF555" s="178"/>
      <c r="CUG555" s="178"/>
      <c r="CUH555" s="178"/>
      <c r="CUI555" s="178"/>
      <c r="CUJ555" s="178"/>
      <c r="CUK555" s="178"/>
      <c r="CUL555" s="178"/>
      <c r="CUM555" s="178"/>
      <c r="CUN555" s="178"/>
      <c r="CUO555" s="178"/>
      <c r="CUP555" s="178"/>
      <c r="CUQ555" s="178"/>
      <c r="CUR555" s="178"/>
      <c r="CUS555" s="178"/>
      <c r="CUT555" s="178"/>
      <c r="CUU555" s="178"/>
      <c r="CUV555" s="178"/>
      <c r="CUW555" s="178"/>
      <c r="CUX555" s="178"/>
      <c r="CUY555" s="178"/>
      <c r="CUZ555" s="178"/>
      <c r="CVA555" s="178"/>
      <c r="CVB555" s="178"/>
      <c r="CVC555" s="178"/>
      <c r="CVD555" s="178"/>
      <c r="CVE555" s="178"/>
      <c r="CVF555" s="178"/>
      <c r="CVG555" s="178"/>
      <c r="CVH555" s="178"/>
      <c r="CVI555" s="178"/>
      <c r="CVJ555" s="178"/>
      <c r="CVK555" s="178"/>
      <c r="CVL555" s="178"/>
      <c r="CVM555" s="178"/>
      <c r="CVN555" s="178"/>
      <c r="CVO555" s="178"/>
      <c r="CVP555" s="178"/>
      <c r="CVQ555" s="178"/>
      <c r="CVR555" s="178"/>
      <c r="CVS555" s="178"/>
      <c r="CVT555" s="178"/>
      <c r="CVU555" s="178"/>
      <c r="CVV555" s="178"/>
      <c r="CVW555" s="178"/>
      <c r="CVX555" s="178"/>
      <c r="CVY555" s="178"/>
      <c r="CVZ555" s="178"/>
      <c r="CWA555" s="178"/>
      <c r="CWB555" s="178"/>
      <c r="CWC555" s="178"/>
      <c r="CWD555" s="178"/>
      <c r="CWE555" s="178"/>
      <c r="CWF555" s="178"/>
      <c r="CWG555" s="178"/>
      <c r="CWH555" s="178"/>
      <c r="CWI555" s="178"/>
      <c r="CWJ555" s="178"/>
      <c r="CWK555" s="178"/>
      <c r="CWL555" s="178"/>
      <c r="CWM555" s="178"/>
      <c r="CWN555" s="178"/>
      <c r="CWO555" s="178"/>
      <c r="CWP555" s="178"/>
      <c r="CWQ555" s="178"/>
      <c r="CWR555" s="178"/>
      <c r="CWS555" s="178"/>
      <c r="CWT555" s="178"/>
      <c r="CWU555" s="178"/>
      <c r="CWV555" s="178"/>
      <c r="CWW555" s="178"/>
      <c r="CWX555" s="178"/>
      <c r="CWY555" s="178"/>
      <c r="CWZ555" s="178"/>
      <c r="CXA555" s="178"/>
      <c r="CXB555" s="178"/>
      <c r="CXC555" s="178"/>
      <c r="CXD555" s="178"/>
      <c r="CXE555" s="178"/>
      <c r="CXF555" s="178"/>
      <c r="CXG555" s="178"/>
      <c r="CXH555" s="178"/>
      <c r="CXI555" s="178"/>
      <c r="CXJ555" s="178"/>
      <c r="CXK555" s="178"/>
      <c r="CXL555" s="178"/>
      <c r="CXM555" s="178"/>
      <c r="CXN555" s="178"/>
      <c r="CXO555" s="178"/>
      <c r="CXP555" s="178"/>
      <c r="CXQ555" s="178"/>
      <c r="CXR555" s="178"/>
      <c r="CXS555" s="178"/>
      <c r="CXT555" s="178"/>
      <c r="CXU555" s="178"/>
      <c r="CXV555" s="178"/>
      <c r="CXW555" s="178"/>
      <c r="CXX555" s="178"/>
      <c r="CXY555" s="178"/>
      <c r="CXZ555" s="178"/>
      <c r="CYA555" s="178"/>
      <c r="CYB555" s="178"/>
      <c r="CYC555" s="178"/>
      <c r="CYD555" s="178"/>
      <c r="CYE555" s="178"/>
      <c r="CYF555" s="178"/>
      <c r="CYG555" s="178"/>
      <c r="CYH555" s="178"/>
      <c r="CYI555" s="178"/>
      <c r="CYJ555" s="178"/>
      <c r="CYK555" s="178"/>
      <c r="CYL555" s="178"/>
      <c r="CYM555" s="178"/>
      <c r="CYN555" s="178"/>
      <c r="CYO555" s="178"/>
      <c r="CYP555" s="178"/>
      <c r="CYQ555" s="178"/>
      <c r="CYR555" s="178"/>
      <c r="CYS555" s="178"/>
      <c r="CYT555" s="178"/>
      <c r="CYU555" s="178"/>
      <c r="CYV555" s="178"/>
      <c r="CYW555" s="178"/>
      <c r="CYX555" s="178"/>
      <c r="CYY555" s="178"/>
      <c r="CYZ555" s="178"/>
      <c r="CZA555" s="178"/>
      <c r="CZB555" s="178"/>
      <c r="CZC555" s="178"/>
      <c r="CZD555" s="178"/>
      <c r="CZE555" s="178"/>
      <c r="CZF555" s="178"/>
      <c r="CZG555" s="178"/>
      <c r="CZH555" s="178"/>
      <c r="CZI555" s="178"/>
      <c r="CZJ555" s="178"/>
      <c r="CZK555" s="178"/>
      <c r="CZL555" s="178"/>
      <c r="CZM555" s="178"/>
      <c r="CZN555" s="178"/>
      <c r="CZO555" s="178"/>
      <c r="CZP555" s="178"/>
      <c r="CZQ555" s="178"/>
      <c r="CZR555" s="178"/>
      <c r="CZS555" s="178"/>
      <c r="CZT555" s="178"/>
      <c r="CZU555" s="178"/>
      <c r="CZV555" s="178"/>
      <c r="CZW555" s="178"/>
      <c r="CZX555" s="178"/>
      <c r="CZY555" s="178"/>
      <c r="CZZ555" s="178"/>
      <c r="DAA555" s="178"/>
      <c r="DAB555" s="178"/>
      <c r="DAC555" s="178"/>
      <c r="DAD555" s="178"/>
      <c r="DAE555" s="178"/>
      <c r="DAF555" s="178"/>
      <c r="DAG555" s="178"/>
      <c r="DAH555" s="178"/>
      <c r="DAI555" s="178"/>
      <c r="DAJ555" s="178"/>
      <c r="DAK555" s="178"/>
      <c r="DAL555" s="178"/>
      <c r="DAM555" s="178"/>
      <c r="DAN555" s="178"/>
      <c r="DAO555" s="178"/>
      <c r="DAP555" s="178"/>
      <c r="DAQ555" s="178"/>
      <c r="DAR555" s="178"/>
      <c r="DAS555" s="178"/>
      <c r="DAT555" s="178"/>
      <c r="DAU555" s="178"/>
      <c r="DAV555" s="178"/>
      <c r="DAW555" s="178"/>
      <c r="DAX555" s="178"/>
      <c r="DAY555" s="178"/>
      <c r="DAZ555" s="178"/>
      <c r="DBA555" s="178"/>
      <c r="DBB555" s="178"/>
      <c r="DBC555" s="178"/>
      <c r="DBD555" s="178"/>
      <c r="DBE555" s="178"/>
      <c r="DBF555" s="178"/>
      <c r="DBG555" s="178"/>
      <c r="DBH555" s="178"/>
      <c r="DBI555" s="178"/>
      <c r="DBJ555" s="178"/>
      <c r="DBK555" s="178"/>
      <c r="DBL555" s="178"/>
      <c r="DBM555" s="178"/>
      <c r="DBN555" s="178"/>
      <c r="DBO555" s="178"/>
      <c r="DBP555" s="178"/>
      <c r="DBQ555" s="178"/>
      <c r="DBR555" s="178"/>
      <c r="DBS555" s="178"/>
      <c r="DBT555" s="178"/>
      <c r="DBU555" s="178"/>
      <c r="DBV555" s="178"/>
      <c r="DBW555" s="178"/>
      <c r="DBX555" s="178"/>
      <c r="DBY555" s="178"/>
      <c r="DBZ555" s="178"/>
      <c r="DCA555" s="178"/>
      <c r="DCB555" s="178"/>
      <c r="DCC555" s="178"/>
      <c r="DCD555" s="178"/>
      <c r="DCE555" s="178"/>
      <c r="DCF555" s="178"/>
      <c r="DCG555" s="178"/>
      <c r="DCH555" s="178"/>
      <c r="DCI555" s="178"/>
      <c r="DCJ555" s="178"/>
      <c r="DCK555" s="178"/>
      <c r="DCL555" s="178"/>
      <c r="DCM555" s="178"/>
      <c r="DCN555" s="178"/>
      <c r="DCO555" s="178"/>
      <c r="DCP555" s="178"/>
      <c r="DCQ555" s="178"/>
      <c r="DCR555" s="178"/>
      <c r="DCS555" s="178"/>
      <c r="DCT555" s="178"/>
      <c r="DCU555" s="178"/>
      <c r="DCV555" s="178"/>
      <c r="DCW555" s="178"/>
      <c r="DCX555" s="178"/>
      <c r="DCY555" s="178"/>
      <c r="DCZ555" s="178"/>
      <c r="DDA555" s="178"/>
      <c r="DDB555" s="178"/>
      <c r="DDC555" s="178"/>
      <c r="DDD555" s="178"/>
      <c r="DDE555" s="178"/>
      <c r="DDF555" s="178"/>
      <c r="DDG555" s="178"/>
      <c r="DDH555" s="178"/>
      <c r="DDI555" s="178"/>
      <c r="DDJ555" s="178"/>
      <c r="DDK555" s="178"/>
      <c r="DDL555" s="178"/>
      <c r="DDM555" s="178"/>
      <c r="DDN555" s="178"/>
      <c r="DDO555" s="178"/>
      <c r="DDP555" s="178"/>
      <c r="DDQ555" s="178"/>
      <c r="DDR555" s="178"/>
      <c r="DDS555" s="178"/>
      <c r="DDT555" s="178"/>
      <c r="DDU555" s="178"/>
      <c r="DDV555" s="178"/>
      <c r="DDW555" s="178"/>
      <c r="DDX555" s="178"/>
      <c r="DDY555" s="178"/>
      <c r="DDZ555" s="178"/>
      <c r="DEA555" s="178"/>
      <c r="DEB555" s="178"/>
      <c r="DEC555" s="178"/>
      <c r="DED555" s="178"/>
      <c r="DEE555" s="178"/>
      <c r="DEF555" s="178"/>
      <c r="DEG555" s="178"/>
      <c r="DEH555" s="178"/>
      <c r="DEI555" s="178"/>
      <c r="DEJ555" s="178"/>
      <c r="DEK555" s="178"/>
      <c r="DEL555" s="178"/>
      <c r="DEM555" s="178"/>
      <c r="DEN555" s="178"/>
      <c r="DEO555" s="178"/>
      <c r="DEP555" s="178"/>
      <c r="DEQ555" s="178"/>
      <c r="DER555" s="178"/>
      <c r="DES555" s="178"/>
      <c r="DET555" s="178"/>
      <c r="DEU555" s="178"/>
      <c r="DEV555" s="178"/>
      <c r="DEW555" s="178"/>
      <c r="DEX555" s="178"/>
      <c r="DEY555" s="178"/>
      <c r="DEZ555" s="178"/>
      <c r="DFA555" s="178"/>
      <c r="DFB555" s="178"/>
      <c r="DFC555" s="178"/>
      <c r="DFD555" s="178"/>
      <c r="DFE555" s="178"/>
      <c r="DFF555" s="178"/>
      <c r="DFG555" s="178"/>
      <c r="DFH555" s="178"/>
      <c r="DFI555" s="178"/>
      <c r="DFJ555" s="178"/>
      <c r="DFK555" s="178"/>
      <c r="DFL555" s="178"/>
      <c r="DFM555" s="178"/>
      <c r="DFN555" s="178"/>
      <c r="DFO555" s="178"/>
      <c r="DFP555" s="178"/>
      <c r="DFQ555" s="178"/>
      <c r="DFR555" s="178"/>
      <c r="DFS555" s="178"/>
      <c r="DFT555" s="178"/>
      <c r="DFU555" s="178"/>
      <c r="DFV555" s="178"/>
      <c r="DFW555" s="178"/>
      <c r="DFX555" s="178"/>
      <c r="DFY555" s="178"/>
      <c r="DFZ555" s="178"/>
      <c r="DGA555" s="178"/>
      <c r="DGB555" s="178"/>
      <c r="DGC555" s="178"/>
      <c r="DGD555" s="178"/>
      <c r="DGE555" s="178"/>
      <c r="DGF555" s="178"/>
      <c r="DGG555" s="178"/>
      <c r="DGH555" s="178"/>
      <c r="DGI555" s="178"/>
      <c r="DGJ555" s="178"/>
      <c r="DGK555" s="178"/>
      <c r="DGL555" s="178"/>
      <c r="DGM555" s="178"/>
      <c r="DGN555" s="178"/>
      <c r="DGO555" s="178"/>
      <c r="DGP555" s="178"/>
      <c r="DGQ555" s="178"/>
      <c r="DGR555" s="178"/>
      <c r="DGS555" s="178"/>
      <c r="DGT555" s="178"/>
      <c r="DGU555" s="178"/>
      <c r="DGV555" s="178"/>
      <c r="DGW555" s="178"/>
      <c r="DGX555" s="178"/>
      <c r="DGY555" s="178"/>
      <c r="DGZ555" s="178"/>
      <c r="DHA555" s="178"/>
      <c r="DHB555" s="178"/>
      <c r="DHC555" s="178"/>
      <c r="DHD555" s="178"/>
      <c r="DHE555" s="178"/>
      <c r="DHF555" s="178"/>
      <c r="DHG555" s="178"/>
      <c r="DHH555" s="178"/>
      <c r="DHI555" s="178"/>
      <c r="DHJ555" s="178"/>
      <c r="DHK555" s="178"/>
      <c r="DHL555" s="178"/>
      <c r="DHM555" s="178"/>
      <c r="DHN555" s="178"/>
      <c r="DHO555" s="178"/>
      <c r="DHP555" s="178"/>
      <c r="DHQ555" s="178"/>
      <c r="DHR555" s="178"/>
      <c r="DHS555" s="178"/>
      <c r="DHT555" s="178"/>
      <c r="DHU555" s="178"/>
      <c r="DHV555" s="178"/>
      <c r="DHW555" s="178"/>
      <c r="DHX555" s="178"/>
      <c r="DHY555" s="178"/>
      <c r="DHZ555" s="178"/>
      <c r="DIA555" s="178"/>
      <c r="DIB555" s="178"/>
      <c r="DIC555" s="178"/>
      <c r="DID555" s="178"/>
      <c r="DIE555" s="178"/>
      <c r="DIF555" s="178"/>
      <c r="DIG555" s="178"/>
      <c r="DIH555" s="178"/>
      <c r="DII555" s="178"/>
      <c r="DIJ555" s="178"/>
      <c r="DIK555" s="178"/>
      <c r="DIL555" s="178"/>
      <c r="DIM555" s="178"/>
      <c r="DIN555" s="178"/>
      <c r="DIO555" s="178"/>
      <c r="DIP555" s="178"/>
      <c r="DIQ555" s="178"/>
      <c r="DIR555" s="178"/>
      <c r="DIS555" s="178"/>
      <c r="DIT555" s="178"/>
      <c r="DIU555" s="178"/>
      <c r="DIV555" s="178"/>
      <c r="DIW555" s="178"/>
      <c r="DIX555" s="178"/>
      <c r="DIY555" s="178"/>
      <c r="DIZ555" s="178"/>
      <c r="DJA555" s="178"/>
      <c r="DJB555" s="178"/>
      <c r="DJC555" s="178"/>
      <c r="DJD555" s="178"/>
      <c r="DJE555" s="178"/>
      <c r="DJF555" s="178"/>
      <c r="DJG555" s="178"/>
      <c r="DJH555" s="178"/>
      <c r="DJI555" s="178"/>
      <c r="DJJ555" s="178"/>
      <c r="DJK555" s="178"/>
      <c r="DJL555" s="178"/>
      <c r="DJM555" s="178"/>
      <c r="DJN555" s="178"/>
      <c r="DJO555" s="178"/>
      <c r="DJP555" s="178"/>
      <c r="DJQ555" s="178"/>
      <c r="DJR555" s="178"/>
      <c r="DJS555" s="178"/>
      <c r="DJT555" s="178"/>
      <c r="DJU555" s="178"/>
      <c r="DJV555" s="178"/>
      <c r="DJW555" s="178"/>
      <c r="DJX555" s="178"/>
      <c r="DJY555" s="178"/>
      <c r="DJZ555" s="178"/>
      <c r="DKA555" s="178"/>
      <c r="DKB555" s="178"/>
      <c r="DKC555" s="178"/>
      <c r="DKD555" s="178"/>
      <c r="DKE555" s="178"/>
      <c r="DKF555" s="178"/>
      <c r="DKG555" s="178"/>
      <c r="DKH555" s="178"/>
      <c r="DKI555" s="178"/>
      <c r="DKJ555" s="178"/>
      <c r="DKK555" s="178"/>
      <c r="DKL555" s="178"/>
      <c r="DKM555" s="178"/>
      <c r="DKN555" s="178"/>
      <c r="DKO555" s="178"/>
      <c r="DKP555" s="178"/>
      <c r="DKQ555" s="178"/>
      <c r="DKR555" s="178"/>
      <c r="DKS555" s="178"/>
      <c r="DKT555" s="178"/>
      <c r="DKU555" s="178"/>
      <c r="DKV555" s="178"/>
      <c r="DKW555" s="178"/>
      <c r="DKX555" s="178"/>
      <c r="DKY555" s="178"/>
      <c r="DKZ555" s="178"/>
      <c r="DLA555" s="178"/>
      <c r="DLB555" s="178"/>
      <c r="DLC555" s="178"/>
      <c r="DLD555" s="178"/>
      <c r="DLE555" s="178"/>
      <c r="DLF555" s="178"/>
      <c r="DLG555" s="178"/>
      <c r="DLH555" s="178"/>
      <c r="DLI555" s="178"/>
      <c r="DLJ555" s="178"/>
      <c r="DLK555" s="178"/>
      <c r="DLL555" s="178"/>
      <c r="DLM555" s="178"/>
      <c r="DLN555" s="178"/>
      <c r="DLO555" s="178"/>
      <c r="DLP555" s="178"/>
      <c r="DLQ555" s="178"/>
      <c r="DLR555" s="178"/>
      <c r="DLS555" s="178"/>
      <c r="DLT555" s="178"/>
      <c r="DLU555" s="178"/>
      <c r="DLV555" s="178"/>
      <c r="DLW555" s="178"/>
      <c r="DLX555" s="178"/>
      <c r="DLY555" s="178"/>
      <c r="DLZ555" s="178"/>
      <c r="DMA555" s="178"/>
      <c r="DMB555" s="178"/>
      <c r="DMC555" s="178"/>
      <c r="DMD555" s="178"/>
      <c r="DME555" s="178"/>
      <c r="DMF555" s="178"/>
      <c r="DMG555" s="178"/>
      <c r="DMH555" s="178"/>
      <c r="DMI555" s="178"/>
      <c r="DMJ555" s="178"/>
      <c r="DMK555" s="178"/>
      <c r="DML555" s="178"/>
      <c r="DMM555" s="178"/>
      <c r="DMN555" s="178"/>
      <c r="DMO555" s="178"/>
      <c r="DMP555" s="178"/>
      <c r="DMQ555" s="178"/>
      <c r="DMR555" s="178"/>
      <c r="DMS555" s="178"/>
      <c r="DMT555" s="178"/>
      <c r="DMU555" s="178"/>
      <c r="DMV555" s="178"/>
      <c r="DMW555" s="178"/>
      <c r="DMX555" s="178"/>
      <c r="DMY555" s="178"/>
      <c r="DMZ555" s="178"/>
      <c r="DNA555" s="178"/>
      <c r="DNB555" s="178"/>
      <c r="DNC555" s="178"/>
      <c r="DND555" s="178"/>
      <c r="DNE555" s="178"/>
      <c r="DNF555" s="178"/>
      <c r="DNG555" s="178"/>
      <c r="DNH555" s="178"/>
      <c r="DNI555" s="178"/>
      <c r="DNJ555" s="178"/>
      <c r="DNK555" s="178"/>
      <c r="DNL555" s="178"/>
      <c r="DNM555" s="178"/>
      <c r="DNN555" s="178"/>
      <c r="DNO555" s="178"/>
      <c r="DNP555" s="178"/>
      <c r="DNQ555" s="178"/>
      <c r="DNR555" s="178"/>
      <c r="DNS555" s="178"/>
      <c r="DNT555" s="178"/>
      <c r="DNU555" s="178"/>
      <c r="DNV555" s="178"/>
      <c r="DNW555" s="178"/>
      <c r="DNX555" s="178"/>
      <c r="DNY555" s="178"/>
      <c r="DNZ555" s="178"/>
      <c r="DOA555" s="178"/>
      <c r="DOB555" s="178"/>
      <c r="DOC555" s="178"/>
      <c r="DOD555" s="178"/>
      <c r="DOE555" s="178"/>
      <c r="DOF555" s="178"/>
      <c r="DOG555" s="178"/>
      <c r="DOH555" s="178"/>
      <c r="DOI555" s="178"/>
      <c r="DOJ555" s="178"/>
      <c r="DOK555" s="178"/>
      <c r="DOL555" s="178"/>
      <c r="DOM555" s="178"/>
      <c r="DON555" s="178"/>
      <c r="DOO555" s="178"/>
      <c r="DOP555" s="178"/>
      <c r="DOQ555" s="178"/>
      <c r="DOR555" s="178"/>
      <c r="DOS555" s="178"/>
      <c r="DOT555" s="178"/>
      <c r="DOU555" s="178"/>
      <c r="DOV555" s="178"/>
      <c r="DOW555" s="178"/>
      <c r="DOX555" s="178"/>
      <c r="DOY555" s="178"/>
      <c r="DOZ555" s="178"/>
      <c r="DPA555" s="178"/>
      <c r="DPB555" s="178"/>
      <c r="DPC555" s="178"/>
      <c r="DPD555" s="178"/>
      <c r="DPE555" s="178"/>
      <c r="DPF555" s="178"/>
      <c r="DPG555" s="178"/>
      <c r="DPH555" s="178"/>
      <c r="DPI555" s="178"/>
      <c r="DPJ555" s="178"/>
      <c r="DPK555" s="178"/>
      <c r="DPL555" s="178"/>
      <c r="DPM555" s="178"/>
      <c r="DPN555" s="178"/>
      <c r="DPO555" s="178"/>
      <c r="DPP555" s="178"/>
      <c r="DPQ555" s="178"/>
      <c r="DPR555" s="178"/>
      <c r="DPS555" s="178"/>
      <c r="DPT555" s="178"/>
      <c r="DPU555" s="178"/>
      <c r="DPV555" s="178"/>
      <c r="DPW555" s="178"/>
      <c r="DPX555" s="178"/>
      <c r="DPY555" s="178"/>
      <c r="DPZ555" s="178"/>
      <c r="DQA555" s="178"/>
      <c r="DQB555" s="178"/>
      <c r="DQC555" s="178"/>
      <c r="DQD555" s="178"/>
      <c r="DQE555" s="178"/>
      <c r="DQF555" s="178"/>
      <c r="DQG555" s="178"/>
      <c r="DQH555" s="178"/>
      <c r="DQI555" s="178"/>
      <c r="DQJ555" s="178"/>
      <c r="DQK555" s="178"/>
      <c r="DQL555" s="178"/>
      <c r="DQM555" s="178"/>
      <c r="DQN555" s="178"/>
      <c r="DQO555" s="178"/>
      <c r="DQP555" s="178"/>
      <c r="DQQ555" s="178"/>
      <c r="DQR555" s="178"/>
      <c r="DQS555" s="178"/>
      <c r="DQT555" s="178"/>
      <c r="DQU555" s="178"/>
      <c r="DQV555" s="178"/>
      <c r="DQW555" s="178"/>
      <c r="DQX555" s="178"/>
      <c r="DQY555" s="178"/>
      <c r="DQZ555" s="178"/>
      <c r="DRA555" s="178"/>
      <c r="DRB555" s="178"/>
      <c r="DRC555" s="178"/>
      <c r="DRD555" s="178"/>
      <c r="DRE555" s="178"/>
      <c r="DRF555" s="178"/>
      <c r="DRG555" s="178"/>
      <c r="DRH555" s="178"/>
      <c r="DRI555" s="178"/>
      <c r="DRJ555" s="178"/>
      <c r="DRK555" s="178"/>
      <c r="DRL555" s="178"/>
      <c r="DRM555" s="178"/>
      <c r="DRN555" s="178"/>
      <c r="DRO555" s="178"/>
      <c r="DRP555" s="178"/>
      <c r="DRQ555" s="178"/>
      <c r="DRR555" s="178"/>
      <c r="DRS555" s="178"/>
      <c r="DRT555" s="178"/>
      <c r="DRU555" s="178"/>
      <c r="DRV555" s="178"/>
      <c r="DRW555" s="178"/>
      <c r="DRX555" s="178"/>
      <c r="DRY555" s="178"/>
      <c r="DRZ555" s="178"/>
      <c r="DSA555" s="178"/>
      <c r="DSB555" s="178"/>
      <c r="DSC555" s="178"/>
      <c r="DSD555" s="178"/>
      <c r="DSE555" s="178"/>
      <c r="DSF555" s="178"/>
      <c r="DSG555" s="178"/>
      <c r="DSH555" s="178"/>
      <c r="DSI555" s="178"/>
      <c r="DSJ555" s="178"/>
      <c r="DSK555" s="178"/>
      <c r="DSL555" s="178"/>
      <c r="DSM555" s="178"/>
      <c r="DSN555" s="178"/>
      <c r="DSO555" s="178"/>
      <c r="DSP555" s="178"/>
      <c r="DSQ555" s="178"/>
      <c r="DSR555" s="178"/>
      <c r="DSS555" s="178"/>
      <c r="DST555" s="178"/>
      <c r="DSU555" s="178"/>
      <c r="DSV555" s="178"/>
      <c r="DSW555" s="178"/>
      <c r="DSX555" s="178"/>
      <c r="DSY555" s="178"/>
      <c r="DSZ555" s="178"/>
      <c r="DTA555" s="178"/>
      <c r="DTB555" s="178"/>
      <c r="DTC555" s="178"/>
      <c r="DTD555" s="178"/>
      <c r="DTE555" s="178"/>
      <c r="DTF555" s="178"/>
      <c r="DTG555" s="178"/>
      <c r="DTH555" s="178"/>
      <c r="DTI555" s="178"/>
      <c r="DTJ555" s="178"/>
      <c r="DTK555" s="178"/>
      <c r="DTL555" s="178"/>
      <c r="DTM555" s="178"/>
      <c r="DTN555" s="178"/>
      <c r="DTO555" s="178"/>
      <c r="DTP555" s="178"/>
      <c r="DTQ555" s="178"/>
      <c r="DTR555" s="178"/>
      <c r="DTS555" s="178"/>
      <c r="DTT555" s="178"/>
      <c r="DTU555" s="178"/>
      <c r="DTV555" s="178"/>
      <c r="DTW555" s="178"/>
      <c r="DTX555" s="178"/>
      <c r="DTY555" s="178"/>
      <c r="DTZ555" s="178"/>
      <c r="DUA555" s="178"/>
      <c r="DUB555" s="178"/>
      <c r="DUC555" s="178"/>
      <c r="DUD555" s="178"/>
      <c r="DUE555" s="178"/>
      <c r="DUF555" s="178"/>
      <c r="DUG555" s="178"/>
      <c r="DUH555" s="178"/>
      <c r="DUI555" s="178"/>
      <c r="DUJ555" s="178"/>
      <c r="DUK555" s="178"/>
      <c r="DUL555" s="178"/>
      <c r="DUM555" s="178"/>
      <c r="DUN555" s="178"/>
      <c r="DUO555" s="178"/>
      <c r="DUP555" s="178"/>
      <c r="DUQ555" s="178"/>
      <c r="DUR555" s="178"/>
      <c r="DUS555" s="178"/>
      <c r="DUT555" s="178"/>
      <c r="DUU555" s="178"/>
      <c r="DUV555" s="178"/>
      <c r="DUW555" s="178"/>
      <c r="DUX555" s="178"/>
      <c r="DUY555" s="178"/>
      <c r="DUZ555" s="178"/>
      <c r="DVA555" s="178"/>
      <c r="DVB555" s="178"/>
      <c r="DVC555" s="178"/>
      <c r="DVD555" s="178"/>
      <c r="DVE555" s="178"/>
      <c r="DVF555" s="178"/>
      <c r="DVG555" s="178"/>
      <c r="DVH555" s="178"/>
      <c r="DVI555" s="178"/>
      <c r="DVJ555" s="178"/>
      <c r="DVK555" s="178"/>
      <c r="DVL555" s="178"/>
      <c r="DVM555" s="178"/>
      <c r="DVN555" s="178"/>
      <c r="DVO555" s="178"/>
      <c r="DVP555" s="178"/>
      <c r="DVQ555" s="178"/>
      <c r="DVR555" s="178"/>
      <c r="DVS555" s="178"/>
      <c r="DVT555" s="178"/>
      <c r="DVU555" s="178"/>
      <c r="DVV555" s="178"/>
      <c r="DVW555" s="178"/>
      <c r="DVX555" s="178"/>
      <c r="DVY555" s="178"/>
      <c r="DVZ555" s="178"/>
      <c r="DWA555" s="178"/>
      <c r="DWB555" s="178"/>
      <c r="DWC555" s="178"/>
      <c r="DWD555" s="178"/>
      <c r="DWE555" s="178"/>
      <c r="DWF555" s="178"/>
      <c r="DWG555" s="178"/>
      <c r="DWH555" s="178"/>
      <c r="DWI555" s="178"/>
      <c r="DWJ555" s="178"/>
      <c r="DWK555" s="178"/>
      <c r="DWL555" s="178"/>
      <c r="DWM555" s="178"/>
      <c r="DWN555" s="178"/>
      <c r="DWO555" s="178"/>
      <c r="DWP555" s="178"/>
      <c r="DWQ555" s="178"/>
      <c r="DWR555" s="178"/>
      <c r="DWS555" s="178"/>
      <c r="DWT555" s="178"/>
      <c r="DWU555" s="178"/>
      <c r="DWV555" s="178"/>
      <c r="DWW555" s="178"/>
      <c r="DWX555" s="178"/>
      <c r="DWY555" s="178"/>
      <c r="DWZ555" s="178"/>
      <c r="DXA555" s="178"/>
      <c r="DXB555" s="178"/>
      <c r="DXC555" s="178"/>
      <c r="DXD555" s="178"/>
      <c r="DXE555" s="178"/>
      <c r="DXF555" s="178"/>
      <c r="DXG555" s="178"/>
      <c r="DXH555" s="178"/>
      <c r="DXI555" s="178"/>
      <c r="DXJ555" s="178"/>
      <c r="DXK555" s="178"/>
      <c r="DXL555" s="178"/>
      <c r="DXM555" s="178"/>
      <c r="DXN555" s="178"/>
      <c r="DXO555" s="178"/>
      <c r="DXP555" s="178"/>
      <c r="DXQ555" s="178"/>
      <c r="DXR555" s="178"/>
      <c r="DXS555" s="178"/>
      <c r="DXT555" s="178"/>
      <c r="DXU555" s="178"/>
      <c r="DXV555" s="178"/>
      <c r="DXW555" s="178"/>
      <c r="DXX555" s="178"/>
      <c r="DXY555" s="178"/>
      <c r="DXZ555" s="178"/>
      <c r="DYA555" s="178"/>
      <c r="DYB555" s="178"/>
      <c r="DYC555" s="178"/>
      <c r="DYD555" s="178"/>
      <c r="DYE555" s="178"/>
      <c r="DYF555" s="178"/>
      <c r="DYG555" s="178"/>
      <c r="DYH555" s="178"/>
      <c r="DYI555" s="178"/>
      <c r="DYJ555" s="178"/>
      <c r="DYK555" s="178"/>
      <c r="DYL555" s="178"/>
      <c r="DYM555" s="178"/>
      <c r="DYN555" s="178"/>
      <c r="DYO555" s="178"/>
      <c r="DYP555" s="178"/>
      <c r="DYQ555" s="178"/>
      <c r="DYR555" s="178"/>
      <c r="DYS555" s="178"/>
      <c r="DYT555" s="178"/>
      <c r="DYU555" s="178"/>
      <c r="DYV555" s="178"/>
      <c r="DYW555" s="178"/>
      <c r="DYX555" s="178"/>
      <c r="DYY555" s="178"/>
      <c r="DYZ555" s="178"/>
      <c r="DZA555" s="178"/>
      <c r="DZB555" s="178"/>
      <c r="DZC555" s="178"/>
      <c r="DZD555" s="178"/>
      <c r="DZE555" s="178"/>
      <c r="DZF555" s="178"/>
      <c r="DZG555" s="178"/>
      <c r="DZH555" s="178"/>
      <c r="DZI555" s="178"/>
      <c r="DZJ555" s="178"/>
      <c r="DZK555" s="178"/>
      <c r="DZL555" s="178"/>
      <c r="DZM555" s="178"/>
      <c r="DZN555" s="178"/>
      <c r="DZO555" s="178"/>
      <c r="DZP555" s="178"/>
      <c r="DZQ555" s="178"/>
      <c r="DZR555" s="178"/>
      <c r="DZS555" s="178"/>
      <c r="DZT555" s="178"/>
      <c r="DZU555" s="178"/>
      <c r="DZV555" s="178"/>
      <c r="DZW555" s="178"/>
      <c r="DZX555" s="178"/>
      <c r="DZY555" s="178"/>
      <c r="DZZ555" s="178"/>
      <c r="EAA555" s="178"/>
      <c r="EAB555" s="178"/>
      <c r="EAC555" s="178"/>
      <c r="EAD555" s="178"/>
      <c r="EAE555" s="178"/>
      <c r="EAF555" s="178"/>
      <c r="EAG555" s="178"/>
      <c r="EAH555" s="178"/>
      <c r="EAI555" s="178"/>
      <c r="EAJ555" s="178"/>
      <c r="EAK555" s="178"/>
      <c r="EAL555" s="178"/>
      <c r="EAM555" s="178"/>
      <c r="EAN555" s="178"/>
      <c r="EAO555" s="178"/>
      <c r="EAP555" s="178"/>
      <c r="EAQ555" s="178"/>
      <c r="EAR555" s="178"/>
      <c r="EAS555" s="178"/>
      <c r="EAT555" s="178"/>
      <c r="EAU555" s="178"/>
      <c r="EAV555" s="178"/>
      <c r="EAW555" s="178"/>
      <c r="EAX555" s="178"/>
      <c r="EAY555" s="178"/>
      <c r="EAZ555" s="178"/>
      <c r="EBA555" s="178"/>
      <c r="EBB555" s="178"/>
      <c r="EBC555" s="178"/>
      <c r="EBD555" s="178"/>
      <c r="EBE555" s="178"/>
      <c r="EBF555" s="178"/>
      <c r="EBG555" s="178"/>
      <c r="EBH555" s="178"/>
      <c r="EBI555" s="178"/>
      <c r="EBJ555" s="178"/>
      <c r="EBK555" s="178"/>
      <c r="EBL555" s="178"/>
      <c r="EBM555" s="178"/>
      <c r="EBN555" s="178"/>
      <c r="EBO555" s="178"/>
      <c r="EBP555" s="178"/>
      <c r="EBQ555" s="178"/>
      <c r="EBR555" s="178"/>
      <c r="EBS555" s="178"/>
      <c r="EBT555" s="178"/>
      <c r="EBU555" s="178"/>
      <c r="EBV555" s="178"/>
      <c r="EBW555" s="178"/>
      <c r="EBX555" s="178"/>
      <c r="EBY555" s="178"/>
      <c r="EBZ555" s="178"/>
      <c r="ECA555" s="178"/>
      <c r="ECB555" s="178"/>
      <c r="ECC555" s="178"/>
      <c r="ECD555" s="178"/>
      <c r="ECE555" s="178"/>
      <c r="ECF555" s="178"/>
      <c r="ECG555" s="178"/>
      <c r="ECH555" s="178"/>
      <c r="ECI555" s="178"/>
      <c r="ECJ555" s="178"/>
      <c r="ECK555" s="178"/>
      <c r="ECL555" s="178"/>
      <c r="ECM555" s="178"/>
      <c r="ECN555" s="178"/>
      <c r="ECO555" s="178"/>
      <c r="ECP555" s="178"/>
      <c r="ECQ555" s="178"/>
      <c r="ECR555" s="178"/>
      <c r="ECS555" s="178"/>
      <c r="ECT555" s="178"/>
      <c r="ECU555" s="178"/>
      <c r="ECV555" s="178"/>
      <c r="ECW555" s="178"/>
      <c r="ECX555" s="178"/>
      <c r="ECY555" s="178"/>
      <c r="ECZ555" s="178"/>
      <c r="EDA555" s="178"/>
      <c r="EDB555" s="178"/>
      <c r="EDC555" s="178"/>
      <c r="EDD555" s="178"/>
      <c r="EDE555" s="178"/>
      <c r="EDF555" s="178"/>
      <c r="EDG555" s="178"/>
      <c r="EDH555" s="178"/>
      <c r="EDI555" s="178"/>
      <c r="EDJ555" s="178"/>
      <c r="EDK555" s="178"/>
      <c r="EDL555" s="178"/>
      <c r="EDM555" s="178"/>
      <c r="EDN555" s="178"/>
      <c r="EDO555" s="178"/>
      <c r="EDP555" s="178"/>
      <c r="EDQ555" s="178"/>
      <c r="EDR555" s="178"/>
      <c r="EDS555" s="178"/>
      <c r="EDT555" s="178"/>
      <c r="EDU555" s="178"/>
      <c r="EDV555" s="178"/>
      <c r="EDW555" s="178"/>
      <c r="EDX555" s="178"/>
      <c r="EDY555" s="178"/>
      <c r="EDZ555" s="178"/>
      <c r="EEA555" s="178"/>
      <c r="EEB555" s="178"/>
      <c r="EEC555" s="178"/>
      <c r="EED555" s="178"/>
      <c r="EEE555" s="178"/>
      <c r="EEF555" s="178"/>
      <c r="EEG555" s="178"/>
      <c r="EEH555" s="178"/>
      <c r="EEI555" s="178"/>
      <c r="EEJ555" s="178"/>
      <c r="EEK555" s="178"/>
      <c r="EEL555" s="178"/>
      <c r="EEM555" s="178"/>
      <c r="EEN555" s="178"/>
      <c r="EEO555" s="178"/>
      <c r="EEP555" s="178"/>
      <c r="EEQ555" s="178"/>
      <c r="EER555" s="178"/>
      <c r="EES555" s="178"/>
      <c r="EET555" s="178"/>
      <c r="EEU555" s="178"/>
      <c r="EEV555" s="178"/>
      <c r="EEW555" s="178"/>
      <c r="EEX555" s="178"/>
      <c r="EEY555" s="178"/>
      <c r="EEZ555" s="178"/>
      <c r="EFA555" s="178"/>
      <c r="EFB555" s="178"/>
      <c r="EFC555" s="178"/>
      <c r="EFD555" s="178"/>
      <c r="EFE555" s="178"/>
      <c r="EFF555" s="178"/>
      <c r="EFG555" s="178"/>
      <c r="EFH555" s="178"/>
      <c r="EFI555" s="178"/>
      <c r="EFJ555" s="178"/>
      <c r="EFK555" s="178"/>
      <c r="EFL555" s="178"/>
      <c r="EFM555" s="178"/>
      <c r="EFN555" s="178"/>
      <c r="EFO555" s="178"/>
      <c r="EFP555" s="178"/>
      <c r="EFQ555" s="178"/>
      <c r="EFR555" s="178"/>
      <c r="EFS555" s="178"/>
      <c r="EFT555" s="178"/>
      <c r="EFU555" s="178"/>
      <c r="EFV555" s="178"/>
      <c r="EFW555" s="178"/>
      <c r="EFX555" s="178"/>
      <c r="EFY555" s="178"/>
      <c r="EFZ555" s="178"/>
      <c r="EGA555" s="178"/>
      <c r="EGB555" s="178"/>
      <c r="EGC555" s="178"/>
      <c r="EGD555" s="178"/>
      <c r="EGE555" s="178"/>
      <c r="EGF555" s="178"/>
      <c r="EGG555" s="178"/>
      <c r="EGH555" s="178"/>
      <c r="EGI555" s="178"/>
      <c r="EGJ555" s="178"/>
      <c r="EGK555" s="178"/>
      <c r="EGL555" s="178"/>
      <c r="EGM555" s="178"/>
      <c r="EGN555" s="178"/>
      <c r="EGO555" s="178"/>
      <c r="EGP555" s="178"/>
      <c r="EGQ555" s="178"/>
      <c r="EGR555" s="178"/>
      <c r="EGS555" s="178"/>
      <c r="EGT555" s="178"/>
      <c r="EGU555" s="178"/>
      <c r="EGV555" s="178"/>
      <c r="EGW555" s="178"/>
      <c r="EGX555" s="178"/>
      <c r="EGY555" s="178"/>
      <c r="EGZ555" s="178"/>
      <c r="EHA555" s="178"/>
      <c r="EHB555" s="178"/>
      <c r="EHC555" s="178"/>
      <c r="EHD555" s="178"/>
      <c r="EHE555" s="178"/>
      <c r="EHF555" s="178"/>
      <c r="EHG555" s="178"/>
      <c r="EHH555" s="178"/>
      <c r="EHI555" s="178"/>
      <c r="EHJ555" s="178"/>
      <c r="EHK555" s="178"/>
      <c r="EHL555" s="178"/>
      <c r="EHM555" s="178"/>
      <c r="EHN555" s="178"/>
      <c r="EHO555" s="178"/>
      <c r="EHP555" s="178"/>
      <c r="EHQ555" s="178"/>
      <c r="EHR555" s="178"/>
      <c r="EHS555" s="178"/>
      <c r="EHT555" s="178"/>
      <c r="EHU555" s="178"/>
      <c r="EHV555" s="178"/>
      <c r="EHW555" s="178"/>
      <c r="EHX555" s="178"/>
      <c r="EHY555" s="178"/>
      <c r="EHZ555" s="178"/>
      <c r="EIA555" s="178"/>
      <c r="EIB555" s="178"/>
      <c r="EIC555" s="178"/>
      <c r="EID555" s="178"/>
      <c r="EIE555" s="178"/>
      <c r="EIF555" s="178"/>
      <c r="EIG555" s="178"/>
      <c r="EIH555" s="178"/>
      <c r="EII555" s="178"/>
      <c r="EIJ555" s="178"/>
      <c r="EIK555" s="178"/>
      <c r="EIL555" s="178"/>
      <c r="EIM555" s="178"/>
      <c r="EIN555" s="178"/>
      <c r="EIO555" s="178"/>
      <c r="EIP555" s="178"/>
      <c r="EIQ555" s="178"/>
      <c r="EIR555" s="178"/>
      <c r="EIS555" s="178"/>
      <c r="EIT555" s="178"/>
      <c r="EIU555" s="178"/>
      <c r="EIV555" s="178"/>
      <c r="EIW555" s="178"/>
      <c r="EIX555" s="178"/>
      <c r="EIY555" s="178"/>
      <c r="EIZ555" s="178"/>
      <c r="EJA555" s="178"/>
      <c r="EJB555" s="178"/>
      <c r="EJC555" s="178"/>
      <c r="EJD555" s="178"/>
      <c r="EJE555" s="178"/>
      <c r="EJF555" s="178"/>
      <c r="EJG555" s="178"/>
      <c r="EJH555" s="178"/>
      <c r="EJI555" s="178"/>
      <c r="EJJ555" s="178"/>
      <c r="EJK555" s="178"/>
      <c r="EJL555" s="178"/>
      <c r="EJM555" s="178"/>
      <c r="EJN555" s="178"/>
      <c r="EJO555" s="178"/>
      <c r="EJP555" s="178"/>
      <c r="EJQ555" s="178"/>
      <c r="EJR555" s="178"/>
      <c r="EJS555" s="178"/>
      <c r="EJT555" s="178"/>
      <c r="EJU555" s="178"/>
      <c r="EJV555" s="178"/>
      <c r="EJW555" s="178"/>
      <c r="EJX555" s="178"/>
      <c r="EJY555" s="178"/>
      <c r="EJZ555" s="178"/>
      <c r="EKA555" s="178"/>
      <c r="EKB555" s="178"/>
      <c r="EKC555" s="178"/>
      <c r="EKD555" s="178"/>
      <c r="EKE555" s="178"/>
      <c r="EKF555" s="178"/>
      <c r="EKG555" s="178"/>
      <c r="EKH555" s="178"/>
      <c r="EKI555" s="178"/>
      <c r="EKJ555" s="178"/>
      <c r="EKK555" s="178"/>
      <c r="EKL555" s="178"/>
      <c r="EKM555" s="178"/>
      <c r="EKN555" s="178"/>
      <c r="EKO555" s="178"/>
      <c r="EKP555" s="178"/>
      <c r="EKQ555" s="178"/>
      <c r="EKR555" s="178"/>
      <c r="EKS555" s="178"/>
      <c r="EKT555" s="178"/>
      <c r="EKU555" s="178"/>
      <c r="EKV555" s="178"/>
      <c r="EKW555" s="178"/>
      <c r="EKX555" s="178"/>
      <c r="EKY555" s="178"/>
      <c r="EKZ555" s="178"/>
      <c r="ELA555" s="178"/>
      <c r="ELB555" s="178"/>
      <c r="ELC555" s="178"/>
      <c r="ELD555" s="178"/>
      <c r="ELE555" s="178"/>
      <c r="ELF555" s="178"/>
      <c r="ELG555" s="178"/>
      <c r="ELH555" s="178"/>
      <c r="ELI555" s="178"/>
      <c r="ELJ555" s="178"/>
      <c r="ELK555" s="178"/>
      <c r="ELL555" s="178"/>
      <c r="ELM555" s="178"/>
      <c r="ELN555" s="178"/>
      <c r="ELO555" s="178"/>
      <c r="ELP555" s="178"/>
      <c r="ELQ555" s="178"/>
      <c r="ELR555" s="178"/>
      <c r="ELS555" s="178"/>
      <c r="ELT555" s="178"/>
      <c r="ELU555" s="178"/>
      <c r="ELV555" s="178"/>
      <c r="ELW555" s="178"/>
      <c r="ELX555" s="178"/>
      <c r="ELY555" s="178"/>
      <c r="ELZ555" s="178"/>
      <c r="EMA555" s="178"/>
      <c r="EMB555" s="178"/>
      <c r="EMC555" s="178"/>
      <c r="EMD555" s="178"/>
      <c r="EME555" s="178"/>
      <c r="EMF555" s="178"/>
      <c r="EMG555" s="178"/>
      <c r="EMH555" s="178"/>
      <c r="EMI555" s="178"/>
      <c r="EMJ555" s="178"/>
      <c r="EMK555" s="178"/>
      <c r="EML555" s="178"/>
      <c r="EMM555" s="178"/>
      <c r="EMN555" s="178"/>
      <c r="EMO555" s="178"/>
      <c r="EMP555" s="178"/>
      <c r="EMQ555" s="178"/>
      <c r="EMR555" s="178"/>
      <c r="EMS555" s="178"/>
      <c r="EMT555" s="178"/>
      <c r="EMU555" s="178"/>
      <c r="EMV555" s="178"/>
      <c r="EMW555" s="178"/>
      <c r="EMX555" s="178"/>
      <c r="EMY555" s="178"/>
      <c r="EMZ555" s="178"/>
      <c r="ENA555" s="178"/>
      <c r="ENB555" s="178"/>
      <c r="ENC555" s="178"/>
      <c r="END555" s="178"/>
      <c r="ENE555" s="178"/>
      <c r="ENF555" s="178"/>
      <c r="ENG555" s="178"/>
      <c r="ENH555" s="178"/>
      <c r="ENI555" s="178"/>
      <c r="ENJ555" s="178"/>
      <c r="ENK555" s="178"/>
      <c r="ENL555" s="178"/>
      <c r="ENM555" s="178"/>
      <c r="ENN555" s="178"/>
      <c r="ENO555" s="178"/>
      <c r="ENP555" s="178"/>
      <c r="ENQ555" s="178"/>
      <c r="ENR555" s="178"/>
      <c r="ENS555" s="178"/>
      <c r="ENT555" s="178"/>
      <c r="ENU555" s="178"/>
      <c r="ENV555" s="178"/>
      <c r="ENW555" s="178"/>
      <c r="ENX555" s="178"/>
      <c r="ENY555" s="178"/>
      <c r="ENZ555" s="178"/>
      <c r="EOA555" s="178"/>
      <c r="EOB555" s="178"/>
      <c r="EOC555" s="178"/>
      <c r="EOD555" s="178"/>
      <c r="EOE555" s="178"/>
      <c r="EOF555" s="178"/>
      <c r="EOG555" s="178"/>
      <c r="EOH555" s="178"/>
      <c r="EOI555" s="178"/>
      <c r="EOJ555" s="178"/>
      <c r="EOK555" s="178"/>
      <c r="EOL555" s="178"/>
      <c r="EOM555" s="178"/>
      <c r="EON555" s="178"/>
      <c r="EOO555" s="178"/>
      <c r="EOP555" s="178"/>
      <c r="EOQ555" s="178"/>
      <c r="EOR555" s="178"/>
      <c r="EOS555" s="178"/>
      <c r="EOT555" s="178"/>
      <c r="EOU555" s="178"/>
      <c r="EOV555" s="178"/>
      <c r="EOW555" s="178"/>
      <c r="EOX555" s="178"/>
      <c r="EOY555" s="178"/>
      <c r="EOZ555" s="178"/>
      <c r="EPA555" s="178"/>
      <c r="EPB555" s="178"/>
      <c r="EPC555" s="178"/>
      <c r="EPD555" s="178"/>
      <c r="EPE555" s="178"/>
      <c r="EPF555" s="178"/>
      <c r="EPG555" s="178"/>
      <c r="EPH555" s="178"/>
      <c r="EPI555" s="178"/>
      <c r="EPJ555" s="178"/>
      <c r="EPK555" s="178"/>
      <c r="EPL555" s="178"/>
      <c r="EPM555" s="178"/>
      <c r="EPN555" s="178"/>
      <c r="EPO555" s="178"/>
      <c r="EPP555" s="178"/>
      <c r="EPQ555" s="178"/>
      <c r="EPR555" s="178"/>
      <c r="EPS555" s="178"/>
      <c r="EPT555" s="178"/>
      <c r="EPU555" s="178"/>
      <c r="EPV555" s="178"/>
      <c r="EPW555" s="178"/>
      <c r="EPX555" s="178"/>
      <c r="EPY555" s="178"/>
      <c r="EPZ555" s="178"/>
      <c r="EQA555" s="178"/>
      <c r="EQB555" s="178"/>
      <c r="EQC555" s="178"/>
      <c r="EQD555" s="178"/>
      <c r="EQE555" s="178"/>
      <c r="EQF555" s="178"/>
      <c r="EQG555" s="178"/>
      <c r="EQH555" s="178"/>
      <c r="EQI555" s="178"/>
      <c r="EQJ555" s="178"/>
      <c r="EQK555" s="178"/>
      <c r="EQL555" s="178"/>
      <c r="EQM555" s="178"/>
      <c r="EQN555" s="178"/>
      <c r="EQO555" s="178"/>
      <c r="EQP555" s="178"/>
      <c r="EQQ555" s="178"/>
      <c r="EQR555" s="178"/>
      <c r="EQS555" s="178"/>
      <c r="EQT555" s="178"/>
      <c r="EQU555" s="178"/>
      <c r="EQV555" s="178"/>
      <c r="EQW555" s="178"/>
      <c r="EQX555" s="178"/>
      <c r="EQY555" s="178"/>
      <c r="EQZ555" s="178"/>
      <c r="ERA555" s="178"/>
      <c r="ERB555" s="178"/>
      <c r="ERC555" s="178"/>
      <c r="ERD555" s="178"/>
      <c r="ERE555" s="178"/>
      <c r="ERF555" s="178"/>
      <c r="ERG555" s="178"/>
      <c r="ERH555" s="178"/>
      <c r="ERI555" s="178"/>
      <c r="ERJ555" s="178"/>
      <c r="ERK555" s="178"/>
      <c r="ERL555" s="178"/>
      <c r="ERM555" s="178"/>
      <c r="ERN555" s="178"/>
      <c r="ERO555" s="178"/>
      <c r="ERP555" s="178"/>
      <c r="ERQ555" s="178"/>
      <c r="ERR555" s="178"/>
      <c r="ERS555" s="178"/>
      <c r="ERT555" s="178"/>
      <c r="ERU555" s="178"/>
      <c r="ERV555" s="178"/>
      <c r="ERW555" s="178"/>
      <c r="ERX555" s="178"/>
      <c r="ERY555" s="178"/>
      <c r="ERZ555" s="178"/>
      <c r="ESA555" s="178"/>
      <c r="ESB555" s="178"/>
      <c r="ESC555" s="178"/>
      <c r="ESD555" s="178"/>
      <c r="ESE555" s="178"/>
      <c r="ESF555" s="178"/>
      <c r="ESG555" s="178"/>
      <c r="ESH555" s="178"/>
      <c r="ESI555" s="178"/>
      <c r="ESJ555" s="178"/>
      <c r="ESK555" s="178"/>
      <c r="ESL555" s="178"/>
      <c r="ESM555" s="178"/>
      <c r="ESN555" s="178"/>
      <c r="ESO555" s="178"/>
      <c r="ESP555" s="178"/>
      <c r="ESQ555" s="178"/>
      <c r="ESR555" s="178"/>
      <c r="ESS555" s="178"/>
      <c r="EST555" s="178"/>
      <c r="ESU555" s="178"/>
      <c r="ESV555" s="178"/>
      <c r="ESW555" s="178"/>
      <c r="ESX555" s="178"/>
      <c r="ESY555" s="178"/>
      <c r="ESZ555" s="178"/>
      <c r="ETA555" s="178"/>
      <c r="ETB555" s="178"/>
      <c r="ETC555" s="178"/>
      <c r="ETD555" s="178"/>
      <c r="ETE555" s="178"/>
      <c r="ETF555" s="178"/>
      <c r="ETG555" s="178"/>
      <c r="ETH555" s="178"/>
      <c r="ETI555" s="178"/>
      <c r="ETJ555" s="178"/>
      <c r="ETK555" s="178"/>
      <c r="ETL555" s="178"/>
      <c r="ETM555" s="178"/>
      <c r="ETN555" s="178"/>
      <c r="ETO555" s="178"/>
      <c r="ETP555" s="178"/>
      <c r="ETQ555" s="178"/>
      <c r="ETR555" s="178"/>
      <c r="ETS555" s="178"/>
      <c r="ETT555" s="178"/>
      <c r="ETU555" s="178"/>
      <c r="ETV555" s="178"/>
      <c r="ETW555" s="178"/>
      <c r="ETX555" s="178"/>
      <c r="ETY555" s="178"/>
      <c r="ETZ555" s="178"/>
      <c r="EUA555" s="178"/>
      <c r="EUB555" s="178"/>
      <c r="EUC555" s="178"/>
      <c r="EUD555" s="178"/>
      <c r="EUE555" s="178"/>
      <c r="EUF555" s="178"/>
      <c r="EUG555" s="178"/>
      <c r="EUH555" s="178"/>
      <c r="EUI555" s="178"/>
      <c r="EUJ555" s="178"/>
      <c r="EUK555" s="178"/>
      <c r="EUL555" s="178"/>
      <c r="EUM555" s="178"/>
      <c r="EUN555" s="178"/>
      <c r="EUO555" s="178"/>
      <c r="EUP555" s="178"/>
      <c r="EUQ555" s="178"/>
      <c r="EUR555" s="178"/>
      <c r="EUS555" s="178"/>
      <c r="EUT555" s="178"/>
      <c r="EUU555" s="178"/>
      <c r="EUV555" s="178"/>
      <c r="EUW555" s="178"/>
      <c r="EUX555" s="178"/>
      <c r="EUY555" s="178"/>
      <c r="EUZ555" s="178"/>
      <c r="EVA555" s="178"/>
      <c r="EVB555" s="178"/>
      <c r="EVC555" s="178"/>
      <c r="EVD555" s="178"/>
      <c r="EVE555" s="178"/>
      <c r="EVF555" s="178"/>
      <c r="EVG555" s="178"/>
      <c r="EVH555" s="178"/>
      <c r="EVI555" s="178"/>
      <c r="EVJ555" s="178"/>
      <c r="EVK555" s="178"/>
      <c r="EVL555" s="178"/>
      <c r="EVM555" s="178"/>
      <c r="EVN555" s="178"/>
      <c r="EVO555" s="178"/>
      <c r="EVP555" s="178"/>
      <c r="EVQ555" s="178"/>
      <c r="EVR555" s="178"/>
      <c r="EVS555" s="178"/>
      <c r="EVT555" s="178"/>
      <c r="EVU555" s="178"/>
      <c r="EVV555" s="178"/>
      <c r="EVW555" s="178"/>
      <c r="EVX555" s="178"/>
      <c r="EVY555" s="178"/>
      <c r="EVZ555" s="178"/>
      <c r="EWA555" s="178"/>
      <c r="EWB555" s="178"/>
      <c r="EWC555" s="178"/>
      <c r="EWD555" s="178"/>
      <c r="EWE555" s="178"/>
      <c r="EWF555" s="178"/>
      <c r="EWG555" s="178"/>
      <c r="EWH555" s="178"/>
      <c r="EWI555" s="178"/>
      <c r="EWJ555" s="178"/>
      <c r="EWK555" s="178"/>
      <c r="EWL555" s="178"/>
      <c r="EWM555" s="178"/>
      <c r="EWN555" s="178"/>
      <c r="EWO555" s="178"/>
      <c r="EWP555" s="178"/>
      <c r="EWQ555" s="178"/>
      <c r="EWR555" s="178"/>
      <c r="EWS555" s="178"/>
      <c r="EWT555" s="178"/>
      <c r="EWU555" s="178"/>
      <c r="EWV555" s="178"/>
      <c r="EWW555" s="178"/>
      <c r="EWX555" s="178"/>
      <c r="EWY555" s="178"/>
      <c r="EWZ555" s="178"/>
      <c r="EXA555" s="178"/>
      <c r="EXB555" s="178"/>
      <c r="EXC555" s="178"/>
      <c r="EXD555" s="178"/>
      <c r="EXE555" s="178"/>
      <c r="EXF555" s="178"/>
      <c r="EXG555" s="178"/>
      <c r="EXH555" s="178"/>
      <c r="EXI555" s="178"/>
      <c r="EXJ555" s="178"/>
      <c r="EXK555" s="178"/>
      <c r="EXL555" s="178"/>
      <c r="EXM555" s="178"/>
      <c r="EXN555" s="178"/>
      <c r="EXO555" s="178"/>
      <c r="EXP555" s="178"/>
      <c r="EXQ555" s="178"/>
      <c r="EXR555" s="178"/>
      <c r="EXS555" s="178"/>
      <c r="EXT555" s="178"/>
      <c r="EXU555" s="178"/>
      <c r="EXV555" s="178"/>
      <c r="EXW555" s="178"/>
      <c r="EXX555" s="178"/>
      <c r="EXY555" s="178"/>
      <c r="EXZ555" s="178"/>
      <c r="EYA555" s="178"/>
      <c r="EYB555" s="178"/>
      <c r="EYC555" s="178"/>
      <c r="EYD555" s="178"/>
      <c r="EYE555" s="178"/>
      <c r="EYF555" s="178"/>
      <c r="EYG555" s="178"/>
      <c r="EYH555" s="178"/>
      <c r="EYI555" s="178"/>
      <c r="EYJ555" s="178"/>
      <c r="EYK555" s="178"/>
      <c r="EYL555" s="178"/>
      <c r="EYM555" s="178"/>
      <c r="EYN555" s="178"/>
      <c r="EYO555" s="178"/>
      <c r="EYP555" s="178"/>
      <c r="EYQ555" s="178"/>
      <c r="EYR555" s="178"/>
      <c r="EYS555" s="178"/>
      <c r="EYT555" s="178"/>
      <c r="EYU555" s="178"/>
      <c r="EYV555" s="178"/>
      <c r="EYW555" s="178"/>
      <c r="EYX555" s="178"/>
      <c r="EYY555" s="178"/>
      <c r="EYZ555" s="178"/>
      <c r="EZA555" s="178"/>
      <c r="EZB555" s="178"/>
      <c r="EZC555" s="178"/>
      <c r="EZD555" s="178"/>
      <c r="EZE555" s="178"/>
      <c r="EZF555" s="178"/>
      <c r="EZG555" s="178"/>
      <c r="EZH555" s="178"/>
      <c r="EZI555" s="178"/>
      <c r="EZJ555" s="178"/>
      <c r="EZK555" s="178"/>
      <c r="EZL555" s="178"/>
      <c r="EZM555" s="178"/>
      <c r="EZN555" s="178"/>
      <c r="EZO555" s="178"/>
      <c r="EZP555" s="178"/>
      <c r="EZQ555" s="178"/>
      <c r="EZR555" s="178"/>
      <c r="EZS555" s="178"/>
      <c r="EZT555" s="178"/>
      <c r="EZU555" s="178"/>
      <c r="EZV555" s="178"/>
      <c r="EZW555" s="178"/>
      <c r="EZX555" s="178"/>
      <c r="EZY555" s="178"/>
      <c r="EZZ555" s="178"/>
      <c r="FAA555" s="178"/>
      <c r="FAB555" s="178"/>
      <c r="FAC555" s="178"/>
      <c r="FAD555" s="178"/>
      <c r="FAE555" s="178"/>
      <c r="FAF555" s="178"/>
      <c r="FAG555" s="178"/>
      <c r="FAH555" s="178"/>
      <c r="FAI555" s="178"/>
      <c r="FAJ555" s="178"/>
      <c r="FAK555" s="178"/>
      <c r="FAL555" s="178"/>
      <c r="FAM555" s="178"/>
      <c r="FAN555" s="178"/>
      <c r="FAO555" s="178"/>
      <c r="FAP555" s="178"/>
      <c r="FAQ555" s="178"/>
      <c r="FAR555" s="178"/>
      <c r="FAS555" s="178"/>
      <c r="FAT555" s="178"/>
      <c r="FAU555" s="178"/>
      <c r="FAV555" s="178"/>
      <c r="FAW555" s="178"/>
      <c r="FAX555" s="178"/>
      <c r="FAY555" s="178"/>
      <c r="FAZ555" s="178"/>
      <c r="FBA555" s="178"/>
      <c r="FBB555" s="178"/>
      <c r="FBC555" s="178"/>
      <c r="FBD555" s="178"/>
      <c r="FBE555" s="178"/>
      <c r="FBF555" s="178"/>
      <c r="FBG555" s="178"/>
      <c r="FBH555" s="178"/>
      <c r="FBI555" s="178"/>
      <c r="FBJ555" s="178"/>
      <c r="FBK555" s="178"/>
      <c r="FBL555" s="178"/>
      <c r="FBM555" s="178"/>
      <c r="FBN555" s="178"/>
      <c r="FBO555" s="178"/>
      <c r="FBP555" s="178"/>
      <c r="FBQ555" s="178"/>
      <c r="FBR555" s="178"/>
      <c r="FBS555" s="178"/>
      <c r="FBT555" s="178"/>
      <c r="FBU555" s="178"/>
      <c r="FBV555" s="178"/>
      <c r="FBW555" s="178"/>
      <c r="FBX555" s="178"/>
      <c r="FBY555" s="178"/>
      <c r="FBZ555" s="178"/>
      <c r="FCA555" s="178"/>
      <c r="FCB555" s="178"/>
      <c r="FCC555" s="178"/>
      <c r="FCD555" s="178"/>
      <c r="FCE555" s="178"/>
      <c r="FCF555" s="178"/>
      <c r="FCG555" s="178"/>
      <c r="FCH555" s="178"/>
      <c r="FCI555" s="178"/>
      <c r="FCJ555" s="178"/>
      <c r="FCK555" s="178"/>
      <c r="FCL555" s="178"/>
      <c r="FCM555" s="178"/>
      <c r="FCN555" s="178"/>
      <c r="FCO555" s="178"/>
      <c r="FCP555" s="178"/>
      <c r="FCQ555" s="178"/>
      <c r="FCR555" s="178"/>
      <c r="FCS555" s="178"/>
      <c r="FCT555" s="178"/>
      <c r="FCU555" s="178"/>
      <c r="FCV555" s="178"/>
      <c r="FCW555" s="178"/>
      <c r="FCX555" s="178"/>
      <c r="FCY555" s="178"/>
      <c r="FCZ555" s="178"/>
      <c r="FDA555" s="178"/>
      <c r="FDB555" s="178"/>
      <c r="FDC555" s="178"/>
      <c r="FDD555" s="178"/>
      <c r="FDE555" s="178"/>
      <c r="FDF555" s="178"/>
      <c r="FDG555" s="178"/>
      <c r="FDH555" s="178"/>
      <c r="FDI555" s="178"/>
      <c r="FDJ555" s="178"/>
      <c r="FDK555" s="178"/>
      <c r="FDL555" s="178"/>
      <c r="FDM555" s="178"/>
      <c r="FDN555" s="178"/>
      <c r="FDO555" s="178"/>
      <c r="FDP555" s="178"/>
      <c r="FDQ555" s="178"/>
      <c r="FDR555" s="178"/>
      <c r="FDS555" s="178"/>
      <c r="FDT555" s="178"/>
      <c r="FDU555" s="178"/>
      <c r="FDV555" s="178"/>
      <c r="FDW555" s="178"/>
      <c r="FDX555" s="178"/>
      <c r="FDY555" s="178"/>
      <c r="FDZ555" s="178"/>
      <c r="FEA555" s="178"/>
      <c r="FEB555" s="178"/>
      <c r="FEC555" s="178"/>
      <c r="FED555" s="178"/>
      <c r="FEE555" s="178"/>
      <c r="FEF555" s="178"/>
      <c r="FEG555" s="178"/>
      <c r="FEH555" s="178"/>
      <c r="FEI555" s="178"/>
      <c r="FEJ555" s="178"/>
      <c r="FEK555" s="178"/>
      <c r="FEL555" s="178"/>
      <c r="FEM555" s="178"/>
      <c r="FEN555" s="178"/>
      <c r="FEO555" s="178"/>
      <c r="FEP555" s="178"/>
      <c r="FEQ555" s="178"/>
      <c r="FER555" s="178"/>
      <c r="FES555" s="178"/>
      <c r="FET555" s="178"/>
      <c r="FEU555" s="178"/>
      <c r="FEV555" s="178"/>
      <c r="FEW555" s="178"/>
      <c r="FEX555" s="178"/>
      <c r="FEY555" s="178"/>
      <c r="FEZ555" s="178"/>
      <c r="FFA555" s="178"/>
      <c r="FFB555" s="178"/>
      <c r="FFC555" s="178"/>
      <c r="FFD555" s="178"/>
      <c r="FFE555" s="178"/>
      <c r="FFF555" s="178"/>
      <c r="FFG555" s="178"/>
      <c r="FFH555" s="178"/>
      <c r="FFI555" s="178"/>
      <c r="FFJ555" s="178"/>
      <c r="FFK555" s="178"/>
      <c r="FFL555" s="178"/>
      <c r="FFM555" s="178"/>
      <c r="FFN555" s="178"/>
      <c r="FFO555" s="178"/>
      <c r="FFP555" s="178"/>
      <c r="FFQ555" s="178"/>
      <c r="FFR555" s="178"/>
      <c r="FFS555" s="178"/>
      <c r="FFT555" s="178"/>
      <c r="FFU555" s="178"/>
      <c r="FFV555" s="178"/>
      <c r="FFW555" s="178"/>
      <c r="FFX555" s="178"/>
      <c r="FFY555" s="178"/>
      <c r="FFZ555" s="178"/>
      <c r="FGA555" s="178"/>
      <c r="FGB555" s="178"/>
      <c r="FGC555" s="178"/>
      <c r="FGD555" s="178"/>
      <c r="FGE555" s="178"/>
      <c r="FGF555" s="178"/>
      <c r="FGG555" s="178"/>
      <c r="FGH555" s="178"/>
      <c r="FGI555" s="178"/>
      <c r="FGJ555" s="178"/>
      <c r="FGK555" s="178"/>
      <c r="FGL555" s="178"/>
      <c r="FGM555" s="178"/>
      <c r="FGN555" s="178"/>
      <c r="FGO555" s="178"/>
      <c r="FGP555" s="178"/>
      <c r="FGQ555" s="178"/>
      <c r="FGR555" s="178"/>
      <c r="FGS555" s="178"/>
      <c r="FGT555" s="178"/>
      <c r="FGU555" s="178"/>
      <c r="FGV555" s="178"/>
      <c r="FGW555" s="178"/>
      <c r="FGX555" s="178"/>
      <c r="FGY555" s="178"/>
      <c r="FGZ555" s="178"/>
      <c r="FHA555" s="178"/>
      <c r="FHB555" s="178"/>
      <c r="FHC555" s="178"/>
      <c r="FHD555" s="178"/>
      <c r="FHE555" s="178"/>
      <c r="FHF555" s="178"/>
      <c r="FHG555" s="178"/>
      <c r="FHH555" s="178"/>
      <c r="FHI555" s="178"/>
      <c r="FHJ555" s="178"/>
      <c r="FHK555" s="178"/>
      <c r="FHL555" s="178"/>
      <c r="FHM555" s="178"/>
      <c r="FHN555" s="178"/>
      <c r="FHO555" s="178"/>
      <c r="FHP555" s="178"/>
      <c r="FHQ555" s="178"/>
      <c r="FHR555" s="178"/>
      <c r="FHS555" s="178"/>
      <c r="FHT555" s="178"/>
      <c r="FHU555" s="178"/>
      <c r="FHV555" s="178"/>
      <c r="FHW555" s="178"/>
      <c r="FHX555" s="178"/>
      <c r="FHY555" s="178"/>
      <c r="FHZ555" s="178"/>
      <c r="FIA555" s="178"/>
      <c r="FIB555" s="178"/>
      <c r="FIC555" s="178"/>
      <c r="FID555" s="178"/>
      <c r="FIE555" s="178"/>
      <c r="FIF555" s="178"/>
      <c r="FIG555" s="178"/>
      <c r="FIH555" s="178"/>
      <c r="FII555" s="178"/>
      <c r="FIJ555" s="178"/>
      <c r="FIK555" s="178"/>
      <c r="FIL555" s="178"/>
      <c r="FIM555" s="178"/>
      <c r="FIN555" s="178"/>
      <c r="FIO555" s="178"/>
      <c r="FIP555" s="178"/>
      <c r="FIQ555" s="178"/>
      <c r="FIR555" s="178"/>
      <c r="FIS555" s="178"/>
      <c r="FIT555" s="178"/>
      <c r="FIU555" s="178"/>
      <c r="FIV555" s="178"/>
      <c r="FIW555" s="178"/>
      <c r="FIX555" s="178"/>
      <c r="FIY555" s="178"/>
      <c r="FIZ555" s="178"/>
      <c r="FJA555" s="178"/>
      <c r="FJB555" s="178"/>
      <c r="FJC555" s="178"/>
      <c r="FJD555" s="178"/>
      <c r="FJE555" s="178"/>
      <c r="FJF555" s="178"/>
      <c r="FJG555" s="178"/>
      <c r="FJH555" s="178"/>
      <c r="FJI555" s="178"/>
      <c r="FJJ555" s="178"/>
      <c r="FJK555" s="178"/>
      <c r="FJL555" s="178"/>
      <c r="FJM555" s="178"/>
      <c r="FJN555" s="178"/>
      <c r="FJO555" s="178"/>
      <c r="FJP555" s="178"/>
      <c r="FJQ555" s="178"/>
      <c r="FJR555" s="178"/>
      <c r="FJS555" s="178"/>
      <c r="FJT555" s="178"/>
      <c r="FJU555" s="178"/>
      <c r="FJV555" s="178"/>
      <c r="FJW555" s="178"/>
      <c r="FJX555" s="178"/>
      <c r="FJY555" s="178"/>
      <c r="FJZ555" s="178"/>
      <c r="FKA555" s="178"/>
      <c r="FKB555" s="178"/>
      <c r="FKC555" s="178"/>
      <c r="FKD555" s="178"/>
      <c r="FKE555" s="178"/>
      <c r="FKF555" s="178"/>
      <c r="FKG555" s="178"/>
      <c r="FKH555" s="178"/>
      <c r="FKI555" s="178"/>
      <c r="FKJ555" s="178"/>
      <c r="FKK555" s="178"/>
      <c r="FKL555" s="178"/>
      <c r="FKM555" s="178"/>
      <c r="FKN555" s="178"/>
      <c r="FKO555" s="178"/>
      <c r="FKP555" s="178"/>
      <c r="FKQ555" s="178"/>
      <c r="FKR555" s="178"/>
      <c r="FKS555" s="178"/>
      <c r="FKT555" s="178"/>
      <c r="FKU555" s="178"/>
      <c r="FKV555" s="178"/>
      <c r="FKW555" s="178"/>
      <c r="FKX555" s="178"/>
      <c r="FKY555" s="178"/>
      <c r="FKZ555" s="178"/>
      <c r="FLA555" s="178"/>
      <c r="FLB555" s="178"/>
      <c r="FLC555" s="178"/>
      <c r="FLD555" s="178"/>
      <c r="FLE555" s="178"/>
      <c r="FLF555" s="178"/>
      <c r="FLG555" s="178"/>
      <c r="FLH555" s="178"/>
      <c r="FLI555" s="178"/>
      <c r="FLJ555" s="178"/>
      <c r="FLK555" s="178"/>
      <c r="FLL555" s="178"/>
      <c r="FLM555" s="178"/>
      <c r="FLN555" s="178"/>
      <c r="FLO555" s="178"/>
      <c r="FLP555" s="178"/>
      <c r="FLQ555" s="178"/>
      <c r="FLR555" s="178"/>
      <c r="FLS555" s="178"/>
      <c r="FLT555" s="178"/>
      <c r="FLU555" s="178"/>
      <c r="FLV555" s="178"/>
      <c r="FLW555" s="178"/>
      <c r="FLX555" s="178"/>
      <c r="FLY555" s="178"/>
      <c r="FLZ555" s="178"/>
      <c r="FMA555" s="178"/>
      <c r="FMB555" s="178"/>
      <c r="FMC555" s="178"/>
      <c r="FMD555" s="178"/>
      <c r="FME555" s="178"/>
      <c r="FMF555" s="178"/>
      <c r="FMG555" s="178"/>
      <c r="FMH555" s="178"/>
      <c r="FMI555" s="178"/>
      <c r="FMJ555" s="178"/>
      <c r="FMK555" s="178"/>
      <c r="FML555" s="178"/>
      <c r="FMM555" s="178"/>
      <c r="FMN555" s="178"/>
      <c r="FMO555" s="178"/>
      <c r="FMP555" s="178"/>
      <c r="FMQ555" s="178"/>
      <c r="FMR555" s="178"/>
      <c r="FMS555" s="178"/>
      <c r="FMT555" s="178"/>
      <c r="FMU555" s="178"/>
      <c r="FMV555" s="178"/>
      <c r="FMW555" s="178"/>
      <c r="FMX555" s="178"/>
      <c r="FMY555" s="178"/>
      <c r="FMZ555" s="178"/>
      <c r="FNA555" s="178"/>
      <c r="FNB555" s="178"/>
      <c r="FNC555" s="178"/>
      <c r="FND555" s="178"/>
      <c r="FNE555" s="178"/>
      <c r="FNF555" s="178"/>
      <c r="FNG555" s="178"/>
      <c r="FNH555" s="178"/>
      <c r="FNI555" s="178"/>
      <c r="FNJ555" s="178"/>
      <c r="FNK555" s="178"/>
      <c r="FNL555" s="178"/>
      <c r="FNM555" s="178"/>
      <c r="FNN555" s="178"/>
      <c r="FNO555" s="178"/>
      <c r="FNP555" s="178"/>
      <c r="FNQ555" s="178"/>
      <c r="FNR555" s="178"/>
      <c r="FNS555" s="178"/>
      <c r="FNT555" s="178"/>
      <c r="FNU555" s="178"/>
      <c r="FNV555" s="178"/>
      <c r="FNW555" s="178"/>
      <c r="FNX555" s="178"/>
      <c r="FNY555" s="178"/>
      <c r="FNZ555" s="178"/>
      <c r="FOA555" s="178"/>
      <c r="FOB555" s="178"/>
      <c r="FOC555" s="178"/>
      <c r="FOD555" s="178"/>
      <c r="FOE555" s="178"/>
      <c r="FOF555" s="178"/>
      <c r="FOG555" s="178"/>
      <c r="FOH555" s="178"/>
      <c r="FOI555" s="178"/>
      <c r="FOJ555" s="178"/>
      <c r="FOK555" s="178"/>
      <c r="FOL555" s="178"/>
      <c r="FOM555" s="178"/>
      <c r="FON555" s="178"/>
      <c r="FOO555" s="178"/>
      <c r="FOP555" s="178"/>
      <c r="FOQ555" s="178"/>
      <c r="FOR555" s="178"/>
      <c r="FOS555" s="178"/>
      <c r="FOT555" s="178"/>
      <c r="FOU555" s="178"/>
      <c r="FOV555" s="178"/>
      <c r="FOW555" s="178"/>
      <c r="FOX555" s="178"/>
      <c r="FOY555" s="178"/>
      <c r="FOZ555" s="178"/>
      <c r="FPA555" s="178"/>
      <c r="FPB555" s="178"/>
      <c r="FPC555" s="178"/>
      <c r="FPD555" s="178"/>
      <c r="FPE555" s="178"/>
      <c r="FPF555" s="178"/>
      <c r="FPG555" s="178"/>
      <c r="FPH555" s="178"/>
      <c r="FPI555" s="178"/>
      <c r="FPJ555" s="178"/>
      <c r="FPK555" s="178"/>
      <c r="FPL555" s="178"/>
      <c r="FPM555" s="178"/>
      <c r="FPN555" s="178"/>
      <c r="FPO555" s="178"/>
      <c r="FPP555" s="178"/>
      <c r="FPQ555" s="178"/>
      <c r="FPR555" s="178"/>
      <c r="FPS555" s="178"/>
      <c r="FPT555" s="178"/>
      <c r="FPU555" s="178"/>
      <c r="FPV555" s="178"/>
      <c r="FPW555" s="178"/>
      <c r="FPX555" s="178"/>
      <c r="FPY555" s="178"/>
      <c r="FPZ555" s="178"/>
      <c r="FQA555" s="178"/>
      <c r="FQB555" s="178"/>
      <c r="FQC555" s="178"/>
      <c r="FQD555" s="178"/>
      <c r="FQE555" s="178"/>
      <c r="FQF555" s="178"/>
      <c r="FQG555" s="178"/>
      <c r="FQH555" s="178"/>
      <c r="FQI555" s="178"/>
      <c r="FQJ555" s="178"/>
      <c r="FQK555" s="178"/>
      <c r="FQL555" s="178"/>
      <c r="FQM555" s="178"/>
      <c r="FQN555" s="178"/>
      <c r="FQO555" s="178"/>
      <c r="FQP555" s="178"/>
      <c r="FQQ555" s="178"/>
      <c r="FQR555" s="178"/>
      <c r="FQS555" s="178"/>
      <c r="FQT555" s="178"/>
      <c r="FQU555" s="178"/>
      <c r="FQV555" s="178"/>
      <c r="FQW555" s="178"/>
      <c r="FQX555" s="178"/>
      <c r="FQY555" s="178"/>
      <c r="FQZ555" s="178"/>
      <c r="FRA555" s="178"/>
      <c r="FRB555" s="178"/>
      <c r="FRC555" s="178"/>
      <c r="FRD555" s="178"/>
      <c r="FRE555" s="178"/>
      <c r="FRF555" s="178"/>
      <c r="FRG555" s="178"/>
      <c r="FRH555" s="178"/>
      <c r="FRI555" s="178"/>
      <c r="FRJ555" s="178"/>
      <c r="FRK555" s="178"/>
      <c r="FRL555" s="178"/>
      <c r="FRM555" s="178"/>
      <c r="FRN555" s="178"/>
      <c r="FRO555" s="178"/>
      <c r="FRP555" s="178"/>
      <c r="FRQ555" s="178"/>
      <c r="FRR555" s="178"/>
      <c r="FRS555" s="178"/>
      <c r="FRT555" s="178"/>
      <c r="FRU555" s="178"/>
      <c r="FRV555" s="178"/>
      <c r="FRW555" s="178"/>
      <c r="FRX555" s="178"/>
      <c r="FRY555" s="178"/>
      <c r="FRZ555" s="178"/>
      <c r="FSA555" s="178"/>
      <c r="FSB555" s="178"/>
      <c r="FSC555" s="178"/>
      <c r="FSD555" s="178"/>
      <c r="FSE555" s="178"/>
      <c r="FSF555" s="178"/>
      <c r="FSG555" s="178"/>
      <c r="FSH555" s="178"/>
      <c r="FSI555" s="178"/>
      <c r="FSJ555" s="178"/>
      <c r="FSK555" s="178"/>
      <c r="FSL555" s="178"/>
      <c r="FSM555" s="178"/>
      <c r="FSN555" s="178"/>
      <c r="FSO555" s="178"/>
      <c r="FSP555" s="178"/>
      <c r="FSQ555" s="178"/>
      <c r="FSR555" s="178"/>
      <c r="FSS555" s="178"/>
      <c r="FST555" s="178"/>
      <c r="FSU555" s="178"/>
      <c r="FSV555" s="178"/>
      <c r="FSW555" s="178"/>
      <c r="FSX555" s="178"/>
      <c r="FSY555" s="178"/>
      <c r="FSZ555" s="178"/>
      <c r="FTA555" s="178"/>
      <c r="FTB555" s="178"/>
      <c r="FTC555" s="178"/>
      <c r="FTD555" s="178"/>
      <c r="FTE555" s="178"/>
      <c r="FTF555" s="178"/>
      <c r="FTG555" s="178"/>
      <c r="FTH555" s="178"/>
      <c r="FTI555" s="178"/>
      <c r="FTJ555" s="178"/>
      <c r="FTK555" s="178"/>
      <c r="FTL555" s="178"/>
      <c r="FTM555" s="178"/>
      <c r="FTN555" s="178"/>
      <c r="FTO555" s="178"/>
      <c r="FTP555" s="178"/>
      <c r="FTQ555" s="178"/>
      <c r="FTR555" s="178"/>
      <c r="FTS555" s="178"/>
      <c r="FTT555" s="178"/>
      <c r="FTU555" s="178"/>
      <c r="FTV555" s="178"/>
      <c r="FTW555" s="178"/>
      <c r="FTX555" s="178"/>
      <c r="FTY555" s="178"/>
      <c r="FTZ555" s="178"/>
      <c r="FUA555" s="178"/>
      <c r="FUB555" s="178"/>
      <c r="FUC555" s="178"/>
      <c r="FUD555" s="178"/>
      <c r="FUE555" s="178"/>
      <c r="FUF555" s="178"/>
      <c r="FUG555" s="178"/>
      <c r="FUH555" s="178"/>
      <c r="FUI555" s="178"/>
      <c r="FUJ555" s="178"/>
      <c r="FUK555" s="178"/>
      <c r="FUL555" s="178"/>
      <c r="FUM555" s="178"/>
      <c r="FUN555" s="178"/>
      <c r="FUO555" s="178"/>
      <c r="FUP555" s="178"/>
      <c r="FUQ555" s="178"/>
      <c r="FUR555" s="178"/>
      <c r="FUS555" s="178"/>
      <c r="FUT555" s="178"/>
      <c r="FUU555" s="178"/>
      <c r="FUV555" s="178"/>
      <c r="FUW555" s="178"/>
      <c r="FUX555" s="178"/>
      <c r="FUY555" s="178"/>
      <c r="FUZ555" s="178"/>
      <c r="FVA555" s="178"/>
      <c r="FVB555" s="178"/>
      <c r="FVC555" s="178"/>
      <c r="FVD555" s="178"/>
      <c r="FVE555" s="178"/>
      <c r="FVF555" s="178"/>
      <c r="FVG555" s="178"/>
      <c r="FVH555" s="178"/>
      <c r="FVI555" s="178"/>
      <c r="FVJ555" s="178"/>
      <c r="FVK555" s="178"/>
      <c r="FVL555" s="178"/>
      <c r="FVM555" s="178"/>
      <c r="FVN555" s="178"/>
      <c r="FVO555" s="178"/>
      <c r="FVP555" s="178"/>
      <c r="FVQ555" s="178"/>
      <c r="FVR555" s="178"/>
      <c r="FVS555" s="178"/>
      <c r="FVT555" s="178"/>
      <c r="FVU555" s="178"/>
      <c r="FVV555" s="178"/>
      <c r="FVW555" s="178"/>
      <c r="FVX555" s="178"/>
      <c r="FVY555" s="178"/>
      <c r="FVZ555" s="178"/>
      <c r="FWA555" s="178"/>
      <c r="FWB555" s="178"/>
      <c r="FWC555" s="178"/>
      <c r="FWD555" s="178"/>
      <c r="FWE555" s="178"/>
      <c r="FWF555" s="178"/>
      <c r="FWG555" s="178"/>
      <c r="FWH555" s="178"/>
      <c r="FWI555" s="178"/>
      <c r="FWJ555" s="178"/>
      <c r="FWK555" s="178"/>
      <c r="FWL555" s="178"/>
      <c r="FWM555" s="178"/>
      <c r="FWN555" s="178"/>
      <c r="FWO555" s="178"/>
      <c r="FWP555" s="178"/>
      <c r="FWQ555" s="178"/>
      <c r="FWR555" s="178"/>
      <c r="FWS555" s="178"/>
      <c r="FWT555" s="178"/>
      <c r="FWU555" s="178"/>
      <c r="FWV555" s="178"/>
      <c r="FWW555" s="178"/>
      <c r="FWX555" s="178"/>
      <c r="FWY555" s="178"/>
      <c r="FWZ555" s="178"/>
      <c r="FXA555" s="178"/>
      <c r="FXB555" s="178"/>
      <c r="FXC555" s="178"/>
      <c r="FXD555" s="178"/>
      <c r="FXE555" s="178"/>
      <c r="FXF555" s="178"/>
      <c r="FXG555" s="178"/>
      <c r="FXH555" s="178"/>
      <c r="FXI555" s="178"/>
      <c r="FXJ555" s="178"/>
      <c r="FXK555" s="178"/>
      <c r="FXL555" s="178"/>
      <c r="FXM555" s="178"/>
      <c r="FXN555" s="178"/>
      <c r="FXO555" s="178"/>
      <c r="FXP555" s="178"/>
      <c r="FXQ555" s="178"/>
      <c r="FXR555" s="178"/>
      <c r="FXS555" s="178"/>
      <c r="FXT555" s="178"/>
      <c r="FXU555" s="178"/>
      <c r="FXV555" s="178"/>
      <c r="FXW555" s="178"/>
      <c r="FXX555" s="178"/>
      <c r="FXY555" s="178"/>
      <c r="FXZ555" s="178"/>
      <c r="FYA555" s="178"/>
      <c r="FYB555" s="178"/>
      <c r="FYC555" s="178"/>
      <c r="FYD555" s="178"/>
      <c r="FYE555" s="178"/>
      <c r="FYF555" s="178"/>
      <c r="FYG555" s="178"/>
      <c r="FYH555" s="178"/>
      <c r="FYI555" s="178"/>
      <c r="FYJ555" s="178"/>
      <c r="FYK555" s="178"/>
      <c r="FYL555" s="178"/>
      <c r="FYM555" s="178"/>
      <c r="FYN555" s="178"/>
      <c r="FYO555" s="178"/>
      <c r="FYP555" s="178"/>
      <c r="FYQ555" s="178"/>
      <c r="FYR555" s="178"/>
      <c r="FYS555" s="178"/>
      <c r="FYT555" s="178"/>
      <c r="FYU555" s="178"/>
      <c r="FYV555" s="178"/>
      <c r="FYW555" s="178"/>
      <c r="FYX555" s="178"/>
      <c r="FYY555" s="178"/>
      <c r="FYZ555" s="178"/>
      <c r="FZA555" s="178"/>
      <c r="FZB555" s="178"/>
      <c r="FZC555" s="178"/>
      <c r="FZD555" s="178"/>
      <c r="FZE555" s="178"/>
      <c r="FZF555" s="178"/>
      <c r="FZG555" s="178"/>
      <c r="FZH555" s="178"/>
      <c r="FZI555" s="178"/>
      <c r="FZJ555" s="178"/>
      <c r="FZK555" s="178"/>
      <c r="FZL555" s="178"/>
      <c r="FZM555" s="178"/>
      <c r="FZN555" s="178"/>
      <c r="FZO555" s="178"/>
      <c r="FZP555" s="178"/>
      <c r="FZQ555" s="178"/>
      <c r="FZR555" s="178"/>
      <c r="FZS555" s="178"/>
      <c r="FZT555" s="178"/>
      <c r="FZU555" s="178"/>
      <c r="FZV555" s="178"/>
      <c r="FZW555" s="178"/>
      <c r="FZX555" s="178"/>
      <c r="FZY555" s="178"/>
      <c r="FZZ555" s="178"/>
      <c r="GAA555" s="178"/>
      <c r="GAB555" s="178"/>
      <c r="GAC555" s="178"/>
      <c r="GAD555" s="178"/>
      <c r="GAE555" s="178"/>
      <c r="GAF555" s="178"/>
      <c r="GAG555" s="178"/>
      <c r="GAH555" s="178"/>
      <c r="GAI555" s="178"/>
      <c r="GAJ555" s="178"/>
      <c r="GAK555" s="178"/>
      <c r="GAL555" s="178"/>
      <c r="GAM555" s="178"/>
      <c r="GAN555" s="178"/>
      <c r="GAO555" s="178"/>
      <c r="GAP555" s="178"/>
      <c r="GAQ555" s="178"/>
      <c r="GAR555" s="178"/>
      <c r="GAS555" s="178"/>
      <c r="GAT555" s="178"/>
      <c r="GAU555" s="178"/>
      <c r="GAV555" s="178"/>
      <c r="GAW555" s="178"/>
      <c r="GAX555" s="178"/>
      <c r="GAY555" s="178"/>
      <c r="GAZ555" s="178"/>
      <c r="GBA555" s="178"/>
      <c r="GBB555" s="178"/>
      <c r="GBC555" s="178"/>
      <c r="GBD555" s="178"/>
      <c r="GBE555" s="178"/>
      <c r="GBF555" s="178"/>
      <c r="GBG555" s="178"/>
      <c r="GBH555" s="178"/>
      <c r="GBI555" s="178"/>
      <c r="GBJ555" s="178"/>
      <c r="GBK555" s="178"/>
      <c r="GBL555" s="178"/>
      <c r="GBM555" s="178"/>
      <c r="GBN555" s="178"/>
      <c r="GBO555" s="178"/>
      <c r="GBP555" s="178"/>
      <c r="GBQ555" s="178"/>
      <c r="GBR555" s="178"/>
      <c r="GBS555" s="178"/>
      <c r="GBT555" s="178"/>
      <c r="GBU555" s="178"/>
      <c r="GBV555" s="178"/>
      <c r="GBW555" s="178"/>
      <c r="GBX555" s="178"/>
      <c r="GBY555" s="178"/>
      <c r="GBZ555" s="178"/>
      <c r="GCA555" s="178"/>
      <c r="GCB555" s="178"/>
      <c r="GCC555" s="178"/>
      <c r="GCD555" s="178"/>
      <c r="GCE555" s="178"/>
      <c r="GCF555" s="178"/>
      <c r="GCG555" s="178"/>
      <c r="GCH555" s="178"/>
      <c r="GCI555" s="178"/>
      <c r="GCJ555" s="178"/>
      <c r="GCK555" s="178"/>
      <c r="GCL555" s="178"/>
      <c r="GCM555" s="178"/>
      <c r="GCN555" s="178"/>
      <c r="GCO555" s="178"/>
      <c r="GCP555" s="178"/>
      <c r="GCQ555" s="178"/>
      <c r="GCR555" s="178"/>
      <c r="GCS555" s="178"/>
      <c r="GCT555" s="178"/>
      <c r="GCU555" s="178"/>
      <c r="GCV555" s="178"/>
      <c r="GCW555" s="178"/>
      <c r="GCX555" s="178"/>
      <c r="GCY555" s="178"/>
      <c r="GCZ555" s="178"/>
      <c r="GDA555" s="178"/>
      <c r="GDB555" s="178"/>
      <c r="GDC555" s="178"/>
      <c r="GDD555" s="178"/>
      <c r="GDE555" s="178"/>
      <c r="GDF555" s="178"/>
      <c r="GDG555" s="178"/>
      <c r="GDH555" s="178"/>
      <c r="GDI555" s="178"/>
      <c r="GDJ555" s="178"/>
      <c r="GDK555" s="178"/>
      <c r="GDL555" s="178"/>
      <c r="GDM555" s="178"/>
      <c r="GDN555" s="178"/>
      <c r="GDO555" s="178"/>
      <c r="GDP555" s="178"/>
      <c r="GDQ555" s="178"/>
      <c r="GDR555" s="178"/>
      <c r="GDS555" s="178"/>
      <c r="GDT555" s="178"/>
      <c r="GDU555" s="178"/>
      <c r="GDV555" s="178"/>
      <c r="GDW555" s="178"/>
      <c r="GDX555" s="178"/>
      <c r="GDY555" s="178"/>
      <c r="GDZ555" s="178"/>
      <c r="GEA555" s="178"/>
      <c r="GEB555" s="178"/>
      <c r="GEC555" s="178"/>
      <c r="GED555" s="178"/>
      <c r="GEE555" s="178"/>
      <c r="GEF555" s="178"/>
      <c r="GEG555" s="178"/>
      <c r="GEH555" s="178"/>
      <c r="GEI555" s="178"/>
      <c r="GEJ555" s="178"/>
      <c r="GEK555" s="178"/>
      <c r="GEL555" s="178"/>
      <c r="GEM555" s="178"/>
      <c r="GEN555" s="178"/>
      <c r="GEO555" s="178"/>
      <c r="GEP555" s="178"/>
      <c r="GEQ555" s="178"/>
      <c r="GER555" s="178"/>
      <c r="GES555" s="178"/>
      <c r="GET555" s="178"/>
      <c r="GEU555" s="178"/>
      <c r="GEV555" s="178"/>
      <c r="GEW555" s="178"/>
      <c r="GEX555" s="178"/>
      <c r="GEY555" s="178"/>
      <c r="GEZ555" s="178"/>
      <c r="GFA555" s="178"/>
      <c r="GFB555" s="178"/>
      <c r="GFC555" s="178"/>
      <c r="GFD555" s="178"/>
      <c r="GFE555" s="178"/>
      <c r="GFF555" s="178"/>
      <c r="GFG555" s="178"/>
      <c r="GFH555" s="178"/>
      <c r="GFI555" s="178"/>
      <c r="GFJ555" s="178"/>
      <c r="GFK555" s="178"/>
      <c r="GFL555" s="178"/>
      <c r="GFM555" s="178"/>
      <c r="GFN555" s="178"/>
      <c r="GFO555" s="178"/>
      <c r="GFP555" s="178"/>
      <c r="GFQ555" s="178"/>
      <c r="GFR555" s="178"/>
      <c r="GFS555" s="178"/>
      <c r="GFT555" s="178"/>
      <c r="GFU555" s="178"/>
      <c r="GFV555" s="178"/>
      <c r="GFW555" s="178"/>
      <c r="GFX555" s="178"/>
      <c r="GFY555" s="178"/>
      <c r="GFZ555" s="178"/>
      <c r="GGA555" s="178"/>
      <c r="GGB555" s="178"/>
      <c r="GGC555" s="178"/>
      <c r="GGD555" s="178"/>
      <c r="GGE555" s="178"/>
      <c r="GGF555" s="178"/>
      <c r="GGG555" s="178"/>
      <c r="GGH555" s="178"/>
      <c r="GGI555" s="178"/>
      <c r="GGJ555" s="178"/>
      <c r="GGK555" s="178"/>
      <c r="GGL555" s="178"/>
      <c r="GGM555" s="178"/>
      <c r="GGN555" s="178"/>
      <c r="GGO555" s="178"/>
      <c r="GGP555" s="178"/>
      <c r="GGQ555" s="178"/>
      <c r="GGR555" s="178"/>
      <c r="GGS555" s="178"/>
      <c r="GGT555" s="178"/>
      <c r="GGU555" s="178"/>
      <c r="GGV555" s="178"/>
      <c r="GGW555" s="178"/>
      <c r="GGX555" s="178"/>
      <c r="GGY555" s="178"/>
      <c r="GGZ555" s="178"/>
      <c r="GHA555" s="178"/>
      <c r="GHB555" s="178"/>
      <c r="GHC555" s="178"/>
      <c r="GHD555" s="178"/>
      <c r="GHE555" s="178"/>
      <c r="GHF555" s="178"/>
      <c r="GHG555" s="178"/>
      <c r="GHH555" s="178"/>
      <c r="GHI555" s="178"/>
      <c r="GHJ555" s="178"/>
      <c r="GHK555" s="178"/>
      <c r="GHL555" s="178"/>
      <c r="GHM555" s="178"/>
      <c r="GHN555" s="178"/>
      <c r="GHO555" s="178"/>
      <c r="GHP555" s="178"/>
      <c r="GHQ555" s="178"/>
      <c r="GHR555" s="178"/>
      <c r="GHS555" s="178"/>
      <c r="GHT555" s="178"/>
      <c r="GHU555" s="178"/>
      <c r="GHV555" s="178"/>
      <c r="GHW555" s="178"/>
      <c r="GHX555" s="178"/>
      <c r="GHY555" s="178"/>
      <c r="GHZ555" s="178"/>
      <c r="GIA555" s="178"/>
      <c r="GIB555" s="178"/>
      <c r="GIC555" s="178"/>
      <c r="GID555" s="178"/>
      <c r="GIE555" s="178"/>
      <c r="GIF555" s="178"/>
      <c r="GIG555" s="178"/>
      <c r="GIH555" s="178"/>
      <c r="GII555" s="178"/>
      <c r="GIJ555" s="178"/>
      <c r="GIK555" s="178"/>
      <c r="GIL555" s="178"/>
      <c r="GIM555" s="178"/>
      <c r="GIN555" s="178"/>
      <c r="GIO555" s="178"/>
      <c r="GIP555" s="178"/>
      <c r="GIQ555" s="178"/>
      <c r="GIR555" s="178"/>
      <c r="GIS555" s="178"/>
      <c r="GIT555" s="178"/>
      <c r="GIU555" s="178"/>
      <c r="GIV555" s="178"/>
      <c r="GIW555" s="178"/>
      <c r="GIX555" s="178"/>
      <c r="GIY555" s="178"/>
      <c r="GIZ555" s="178"/>
      <c r="GJA555" s="178"/>
      <c r="GJB555" s="178"/>
      <c r="GJC555" s="178"/>
      <c r="GJD555" s="178"/>
      <c r="GJE555" s="178"/>
      <c r="GJF555" s="178"/>
      <c r="GJG555" s="178"/>
      <c r="GJH555" s="178"/>
      <c r="GJI555" s="178"/>
      <c r="GJJ555" s="178"/>
      <c r="GJK555" s="178"/>
      <c r="GJL555" s="178"/>
      <c r="GJM555" s="178"/>
      <c r="GJN555" s="178"/>
      <c r="GJO555" s="178"/>
      <c r="GJP555" s="178"/>
      <c r="GJQ555" s="178"/>
      <c r="GJR555" s="178"/>
      <c r="GJS555" s="178"/>
      <c r="GJT555" s="178"/>
      <c r="GJU555" s="178"/>
      <c r="GJV555" s="178"/>
      <c r="GJW555" s="178"/>
      <c r="GJX555" s="178"/>
      <c r="GJY555" s="178"/>
      <c r="GJZ555" s="178"/>
      <c r="GKA555" s="178"/>
      <c r="GKB555" s="178"/>
      <c r="GKC555" s="178"/>
      <c r="GKD555" s="178"/>
      <c r="GKE555" s="178"/>
      <c r="GKF555" s="178"/>
      <c r="GKG555" s="178"/>
      <c r="GKH555" s="178"/>
      <c r="GKI555" s="178"/>
      <c r="GKJ555" s="178"/>
      <c r="GKK555" s="178"/>
      <c r="GKL555" s="178"/>
      <c r="GKM555" s="178"/>
      <c r="GKN555" s="178"/>
      <c r="GKO555" s="178"/>
      <c r="GKP555" s="178"/>
      <c r="GKQ555" s="178"/>
      <c r="GKR555" s="178"/>
      <c r="GKS555" s="178"/>
      <c r="GKT555" s="178"/>
      <c r="GKU555" s="178"/>
      <c r="GKV555" s="178"/>
      <c r="GKW555" s="178"/>
      <c r="GKX555" s="178"/>
      <c r="GKY555" s="178"/>
      <c r="GKZ555" s="178"/>
      <c r="GLA555" s="178"/>
      <c r="GLB555" s="178"/>
      <c r="GLC555" s="178"/>
      <c r="GLD555" s="178"/>
      <c r="GLE555" s="178"/>
      <c r="GLF555" s="178"/>
      <c r="GLG555" s="178"/>
      <c r="GLH555" s="178"/>
      <c r="GLI555" s="178"/>
      <c r="GLJ555" s="178"/>
      <c r="GLK555" s="178"/>
      <c r="GLL555" s="178"/>
      <c r="GLM555" s="178"/>
      <c r="GLN555" s="178"/>
      <c r="GLO555" s="178"/>
      <c r="GLP555" s="178"/>
      <c r="GLQ555" s="178"/>
      <c r="GLR555" s="178"/>
      <c r="GLS555" s="178"/>
      <c r="GLT555" s="178"/>
      <c r="GLU555" s="178"/>
      <c r="GLV555" s="178"/>
      <c r="GLW555" s="178"/>
      <c r="GLX555" s="178"/>
      <c r="GLY555" s="178"/>
      <c r="GLZ555" s="178"/>
      <c r="GMA555" s="178"/>
      <c r="GMB555" s="178"/>
      <c r="GMC555" s="178"/>
      <c r="GMD555" s="178"/>
      <c r="GME555" s="178"/>
      <c r="GMF555" s="178"/>
      <c r="GMG555" s="178"/>
      <c r="GMH555" s="178"/>
      <c r="GMI555" s="178"/>
      <c r="GMJ555" s="178"/>
      <c r="GMK555" s="178"/>
      <c r="GML555" s="178"/>
      <c r="GMM555" s="178"/>
      <c r="GMN555" s="178"/>
      <c r="GMO555" s="178"/>
      <c r="GMP555" s="178"/>
      <c r="GMQ555" s="178"/>
      <c r="GMR555" s="178"/>
      <c r="GMS555" s="178"/>
      <c r="GMT555" s="178"/>
      <c r="GMU555" s="178"/>
      <c r="GMV555" s="178"/>
      <c r="GMW555" s="178"/>
      <c r="GMX555" s="178"/>
      <c r="GMY555" s="178"/>
      <c r="GMZ555" s="178"/>
      <c r="GNA555" s="178"/>
      <c r="GNB555" s="178"/>
      <c r="GNC555" s="178"/>
      <c r="GND555" s="178"/>
      <c r="GNE555" s="178"/>
      <c r="GNF555" s="178"/>
      <c r="GNG555" s="178"/>
      <c r="GNH555" s="178"/>
      <c r="GNI555" s="178"/>
      <c r="GNJ555" s="178"/>
      <c r="GNK555" s="178"/>
      <c r="GNL555" s="178"/>
      <c r="GNM555" s="178"/>
      <c r="GNN555" s="178"/>
      <c r="GNO555" s="178"/>
      <c r="GNP555" s="178"/>
      <c r="GNQ555" s="178"/>
      <c r="GNR555" s="178"/>
      <c r="GNS555" s="178"/>
      <c r="GNT555" s="178"/>
      <c r="GNU555" s="178"/>
      <c r="GNV555" s="178"/>
      <c r="GNW555" s="178"/>
      <c r="GNX555" s="178"/>
      <c r="GNY555" s="178"/>
      <c r="GNZ555" s="178"/>
      <c r="GOA555" s="178"/>
      <c r="GOB555" s="178"/>
      <c r="GOC555" s="178"/>
      <c r="GOD555" s="178"/>
      <c r="GOE555" s="178"/>
      <c r="GOF555" s="178"/>
      <c r="GOG555" s="178"/>
      <c r="GOH555" s="178"/>
      <c r="GOI555" s="178"/>
      <c r="GOJ555" s="178"/>
      <c r="GOK555" s="178"/>
      <c r="GOL555" s="178"/>
      <c r="GOM555" s="178"/>
      <c r="GON555" s="178"/>
      <c r="GOO555" s="178"/>
      <c r="GOP555" s="178"/>
      <c r="GOQ555" s="178"/>
      <c r="GOR555" s="178"/>
      <c r="GOS555" s="178"/>
      <c r="GOT555" s="178"/>
      <c r="GOU555" s="178"/>
      <c r="GOV555" s="178"/>
      <c r="GOW555" s="178"/>
      <c r="GOX555" s="178"/>
      <c r="GOY555" s="178"/>
      <c r="GOZ555" s="178"/>
      <c r="GPA555" s="178"/>
      <c r="GPB555" s="178"/>
      <c r="GPC555" s="178"/>
      <c r="GPD555" s="178"/>
      <c r="GPE555" s="178"/>
      <c r="GPF555" s="178"/>
      <c r="GPG555" s="178"/>
      <c r="GPH555" s="178"/>
      <c r="GPI555" s="178"/>
      <c r="GPJ555" s="178"/>
      <c r="GPK555" s="178"/>
      <c r="GPL555" s="178"/>
      <c r="GPM555" s="178"/>
      <c r="GPN555" s="178"/>
      <c r="GPO555" s="178"/>
      <c r="GPP555" s="178"/>
      <c r="GPQ555" s="178"/>
      <c r="GPR555" s="178"/>
      <c r="GPS555" s="178"/>
      <c r="GPT555" s="178"/>
      <c r="GPU555" s="178"/>
      <c r="GPV555" s="178"/>
      <c r="GPW555" s="178"/>
      <c r="GPX555" s="178"/>
      <c r="GPY555" s="178"/>
      <c r="GPZ555" s="178"/>
      <c r="GQA555" s="178"/>
      <c r="GQB555" s="178"/>
      <c r="GQC555" s="178"/>
      <c r="GQD555" s="178"/>
      <c r="GQE555" s="178"/>
      <c r="GQF555" s="178"/>
      <c r="GQG555" s="178"/>
      <c r="GQH555" s="178"/>
      <c r="GQI555" s="178"/>
      <c r="GQJ555" s="178"/>
      <c r="GQK555" s="178"/>
      <c r="GQL555" s="178"/>
      <c r="GQM555" s="178"/>
      <c r="GQN555" s="178"/>
      <c r="GQO555" s="178"/>
      <c r="GQP555" s="178"/>
      <c r="GQQ555" s="178"/>
      <c r="GQR555" s="178"/>
      <c r="GQS555" s="178"/>
      <c r="GQT555" s="178"/>
      <c r="GQU555" s="178"/>
      <c r="GQV555" s="178"/>
      <c r="GQW555" s="178"/>
      <c r="GQX555" s="178"/>
      <c r="GQY555" s="178"/>
      <c r="GQZ555" s="178"/>
      <c r="GRA555" s="178"/>
      <c r="GRB555" s="178"/>
      <c r="GRC555" s="178"/>
      <c r="GRD555" s="178"/>
      <c r="GRE555" s="178"/>
      <c r="GRF555" s="178"/>
      <c r="GRG555" s="178"/>
      <c r="GRH555" s="178"/>
      <c r="GRI555" s="178"/>
      <c r="GRJ555" s="178"/>
      <c r="GRK555" s="178"/>
      <c r="GRL555" s="178"/>
      <c r="GRM555" s="178"/>
      <c r="GRN555" s="178"/>
      <c r="GRO555" s="178"/>
      <c r="GRP555" s="178"/>
      <c r="GRQ555" s="178"/>
      <c r="GRR555" s="178"/>
      <c r="GRS555" s="178"/>
      <c r="GRT555" s="178"/>
      <c r="GRU555" s="178"/>
      <c r="GRV555" s="178"/>
      <c r="GRW555" s="178"/>
      <c r="GRX555" s="178"/>
      <c r="GRY555" s="178"/>
      <c r="GRZ555" s="178"/>
      <c r="GSA555" s="178"/>
      <c r="GSB555" s="178"/>
      <c r="GSC555" s="178"/>
      <c r="GSD555" s="178"/>
      <c r="GSE555" s="178"/>
      <c r="GSF555" s="178"/>
      <c r="GSG555" s="178"/>
      <c r="GSH555" s="178"/>
      <c r="GSI555" s="178"/>
      <c r="GSJ555" s="178"/>
      <c r="GSK555" s="178"/>
      <c r="GSL555" s="178"/>
      <c r="GSM555" s="178"/>
      <c r="GSN555" s="178"/>
      <c r="GSO555" s="178"/>
      <c r="GSP555" s="178"/>
      <c r="GSQ555" s="178"/>
      <c r="GSR555" s="178"/>
      <c r="GSS555" s="178"/>
      <c r="GST555" s="178"/>
      <c r="GSU555" s="178"/>
      <c r="GSV555" s="178"/>
      <c r="GSW555" s="178"/>
      <c r="GSX555" s="178"/>
      <c r="GSY555" s="178"/>
      <c r="GSZ555" s="178"/>
      <c r="GTA555" s="178"/>
      <c r="GTB555" s="178"/>
      <c r="GTC555" s="178"/>
      <c r="GTD555" s="178"/>
      <c r="GTE555" s="178"/>
      <c r="GTF555" s="178"/>
      <c r="GTG555" s="178"/>
      <c r="GTH555" s="178"/>
      <c r="GTI555" s="178"/>
      <c r="GTJ555" s="178"/>
      <c r="GTK555" s="178"/>
      <c r="GTL555" s="178"/>
      <c r="GTM555" s="178"/>
      <c r="GTN555" s="178"/>
      <c r="GTO555" s="178"/>
      <c r="GTP555" s="178"/>
      <c r="GTQ555" s="178"/>
      <c r="GTR555" s="178"/>
      <c r="GTS555" s="178"/>
      <c r="GTT555" s="178"/>
      <c r="GTU555" s="178"/>
      <c r="GTV555" s="178"/>
      <c r="GTW555" s="178"/>
      <c r="GTX555" s="178"/>
      <c r="GTY555" s="178"/>
      <c r="GTZ555" s="178"/>
      <c r="GUA555" s="178"/>
      <c r="GUB555" s="178"/>
      <c r="GUC555" s="178"/>
      <c r="GUD555" s="178"/>
      <c r="GUE555" s="178"/>
      <c r="GUF555" s="178"/>
      <c r="GUG555" s="178"/>
      <c r="GUH555" s="178"/>
      <c r="GUI555" s="178"/>
      <c r="GUJ555" s="178"/>
      <c r="GUK555" s="178"/>
      <c r="GUL555" s="178"/>
      <c r="GUM555" s="178"/>
      <c r="GUN555" s="178"/>
      <c r="GUO555" s="178"/>
      <c r="GUP555" s="178"/>
      <c r="GUQ555" s="178"/>
      <c r="GUR555" s="178"/>
      <c r="GUS555" s="178"/>
      <c r="GUT555" s="178"/>
      <c r="GUU555" s="178"/>
      <c r="GUV555" s="178"/>
      <c r="GUW555" s="178"/>
      <c r="GUX555" s="178"/>
      <c r="GUY555" s="178"/>
      <c r="GUZ555" s="178"/>
      <c r="GVA555" s="178"/>
      <c r="GVB555" s="178"/>
      <c r="GVC555" s="178"/>
      <c r="GVD555" s="178"/>
      <c r="GVE555" s="178"/>
      <c r="GVF555" s="178"/>
      <c r="GVG555" s="178"/>
      <c r="GVH555" s="178"/>
      <c r="GVI555" s="178"/>
      <c r="GVJ555" s="178"/>
      <c r="GVK555" s="178"/>
      <c r="GVL555" s="178"/>
      <c r="GVM555" s="178"/>
      <c r="GVN555" s="178"/>
      <c r="GVO555" s="178"/>
      <c r="GVP555" s="178"/>
      <c r="GVQ555" s="178"/>
      <c r="GVR555" s="178"/>
      <c r="GVS555" s="178"/>
      <c r="GVT555" s="178"/>
      <c r="GVU555" s="178"/>
      <c r="GVV555" s="178"/>
      <c r="GVW555" s="178"/>
      <c r="GVX555" s="178"/>
      <c r="GVY555" s="178"/>
      <c r="GVZ555" s="178"/>
      <c r="GWA555" s="178"/>
      <c r="GWB555" s="178"/>
      <c r="GWC555" s="178"/>
      <c r="GWD555" s="178"/>
      <c r="GWE555" s="178"/>
      <c r="GWF555" s="178"/>
      <c r="GWG555" s="178"/>
      <c r="GWH555" s="178"/>
      <c r="GWI555" s="178"/>
      <c r="GWJ555" s="178"/>
      <c r="GWK555" s="178"/>
      <c r="GWL555" s="178"/>
      <c r="GWM555" s="178"/>
      <c r="GWN555" s="178"/>
      <c r="GWO555" s="178"/>
      <c r="GWP555" s="178"/>
      <c r="GWQ555" s="178"/>
      <c r="GWR555" s="178"/>
      <c r="GWS555" s="178"/>
      <c r="GWT555" s="178"/>
      <c r="GWU555" s="178"/>
      <c r="GWV555" s="178"/>
      <c r="GWW555" s="178"/>
      <c r="GWX555" s="178"/>
      <c r="GWY555" s="178"/>
      <c r="GWZ555" s="178"/>
      <c r="GXA555" s="178"/>
      <c r="GXB555" s="178"/>
      <c r="GXC555" s="178"/>
      <c r="GXD555" s="178"/>
      <c r="GXE555" s="178"/>
      <c r="GXF555" s="178"/>
      <c r="GXG555" s="178"/>
      <c r="GXH555" s="178"/>
      <c r="GXI555" s="178"/>
      <c r="GXJ555" s="178"/>
      <c r="GXK555" s="178"/>
      <c r="GXL555" s="178"/>
      <c r="GXM555" s="178"/>
      <c r="GXN555" s="178"/>
      <c r="GXO555" s="178"/>
      <c r="GXP555" s="178"/>
      <c r="GXQ555" s="178"/>
      <c r="GXR555" s="178"/>
      <c r="GXS555" s="178"/>
      <c r="GXT555" s="178"/>
      <c r="GXU555" s="178"/>
      <c r="GXV555" s="178"/>
      <c r="GXW555" s="178"/>
      <c r="GXX555" s="178"/>
      <c r="GXY555" s="178"/>
      <c r="GXZ555" s="178"/>
      <c r="GYA555" s="178"/>
      <c r="GYB555" s="178"/>
      <c r="GYC555" s="178"/>
      <c r="GYD555" s="178"/>
      <c r="GYE555" s="178"/>
      <c r="GYF555" s="178"/>
      <c r="GYG555" s="178"/>
      <c r="GYH555" s="178"/>
      <c r="GYI555" s="178"/>
      <c r="GYJ555" s="178"/>
      <c r="GYK555" s="178"/>
      <c r="GYL555" s="178"/>
      <c r="GYM555" s="178"/>
      <c r="GYN555" s="178"/>
      <c r="GYO555" s="178"/>
      <c r="GYP555" s="178"/>
      <c r="GYQ555" s="178"/>
      <c r="GYR555" s="178"/>
      <c r="GYS555" s="178"/>
      <c r="GYT555" s="178"/>
      <c r="GYU555" s="178"/>
      <c r="GYV555" s="178"/>
      <c r="GYW555" s="178"/>
      <c r="GYX555" s="178"/>
      <c r="GYY555" s="178"/>
      <c r="GYZ555" s="178"/>
      <c r="GZA555" s="178"/>
      <c r="GZB555" s="178"/>
      <c r="GZC555" s="178"/>
      <c r="GZD555" s="178"/>
      <c r="GZE555" s="178"/>
      <c r="GZF555" s="178"/>
      <c r="GZG555" s="178"/>
      <c r="GZH555" s="178"/>
      <c r="GZI555" s="178"/>
      <c r="GZJ555" s="178"/>
      <c r="GZK555" s="178"/>
      <c r="GZL555" s="178"/>
      <c r="GZM555" s="178"/>
      <c r="GZN555" s="178"/>
      <c r="GZO555" s="178"/>
      <c r="GZP555" s="178"/>
      <c r="GZQ555" s="178"/>
      <c r="GZR555" s="178"/>
      <c r="GZS555" s="178"/>
      <c r="GZT555" s="178"/>
      <c r="GZU555" s="178"/>
      <c r="GZV555" s="178"/>
      <c r="GZW555" s="178"/>
      <c r="GZX555" s="178"/>
      <c r="GZY555" s="178"/>
      <c r="GZZ555" s="178"/>
      <c r="HAA555" s="178"/>
      <c r="HAB555" s="178"/>
      <c r="HAC555" s="178"/>
      <c r="HAD555" s="178"/>
      <c r="HAE555" s="178"/>
      <c r="HAF555" s="178"/>
      <c r="HAG555" s="178"/>
      <c r="HAH555" s="178"/>
      <c r="HAI555" s="178"/>
      <c r="HAJ555" s="178"/>
      <c r="HAK555" s="178"/>
      <c r="HAL555" s="178"/>
      <c r="HAM555" s="178"/>
      <c r="HAN555" s="178"/>
      <c r="HAO555" s="178"/>
      <c r="HAP555" s="178"/>
      <c r="HAQ555" s="178"/>
      <c r="HAR555" s="178"/>
      <c r="HAS555" s="178"/>
      <c r="HAT555" s="178"/>
      <c r="HAU555" s="178"/>
      <c r="HAV555" s="178"/>
      <c r="HAW555" s="178"/>
      <c r="HAX555" s="178"/>
      <c r="HAY555" s="178"/>
      <c r="HAZ555" s="178"/>
      <c r="HBA555" s="178"/>
      <c r="HBB555" s="178"/>
      <c r="HBC555" s="178"/>
      <c r="HBD555" s="178"/>
      <c r="HBE555" s="178"/>
      <c r="HBF555" s="178"/>
      <c r="HBG555" s="178"/>
      <c r="HBH555" s="178"/>
      <c r="HBI555" s="178"/>
      <c r="HBJ555" s="178"/>
      <c r="HBK555" s="178"/>
      <c r="HBL555" s="178"/>
      <c r="HBM555" s="178"/>
      <c r="HBN555" s="178"/>
      <c r="HBO555" s="178"/>
      <c r="HBP555" s="178"/>
      <c r="HBQ555" s="178"/>
      <c r="HBR555" s="178"/>
      <c r="HBS555" s="178"/>
      <c r="HBT555" s="178"/>
      <c r="HBU555" s="178"/>
      <c r="HBV555" s="178"/>
      <c r="HBW555" s="178"/>
      <c r="HBX555" s="178"/>
      <c r="HBY555" s="178"/>
      <c r="HBZ555" s="178"/>
      <c r="HCA555" s="178"/>
      <c r="HCB555" s="178"/>
      <c r="HCC555" s="178"/>
      <c r="HCD555" s="178"/>
      <c r="HCE555" s="178"/>
      <c r="HCF555" s="178"/>
      <c r="HCG555" s="178"/>
      <c r="HCH555" s="178"/>
      <c r="HCI555" s="178"/>
      <c r="HCJ555" s="178"/>
      <c r="HCK555" s="178"/>
      <c r="HCL555" s="178"/>
      <c r="HCM555" s="178"/>
      <c r="HCN555" s="178"/>
      <c r="HCO555" s="178"/>
      <c r="HCP555" s="178"/>
      <c r="HCQ555" s="178"/>
      <c r="HCR555" s="178"/>
      <c r="HCS555" s="178"/>
      <c r="HCT555" s="178"/>
      <c r="HCU555" s="178"/>
      <c r="HCV555" s="178"/>
      <c r="HCW555" s="178"/>
      <c r="HCX555" s="178"/>
      <c r="HCY555" s="178"/>
      <c r="HCZ555" s="178"/>
      <c r="HDA555" s="178"/>
      <c r="HDB555" s="178"/>
      <c r="HDC555" s="178"/>
      <c r="HDD555" s="178"/>
      <c r="HDE555" s="178"/>
      <c r="HDF555" s="178"/>
      <c r="HDG555" s="178"/>
      <c r="HDH555" s="178"/>
      <c r="HDI555" s="178"/>
      <c r="HDJ555" s="178"/>
      <c r="HDK555" s="178"/>
      <c r="HDL555" s="178"/>
      <c r="HDM555" s="178"/>
      <c r="HDN555" s="178"/>
      <c r="HDO555" s="178"/>
      <c r="HDP555" s="178"/>
      <c r="HDQ555" s="178"/>
      <c r="HDR555" s="178"/>
      <c r="HDS555" s="178"/>
      <c r="HDT555" s="178"/>
      <c r="HDU555" s="178"/>
      <c r="HDV555" s="178"/>
      <c r="HDW555" s="178"/>
      <c r="HDX555" s="178"/>
      <c r="HDY555" s="178"/>
      <c r="HDZ555" s="178"/>
      <c r="HEA555" s="178"/>
      <c r="HEB555" s="178"/>
      <c r="HEC555" s="178"/>
      <c r="HED555" s="178"/>
      <c r="HEE555" s="178"/>
      <c r="HEF555" s="178"/>
      <c r="HEG555" s="178"/>
      <c r="HEH555" s="178"/>
      <c r="HEI555" s="178"/>
      <c r="HEJ555" s="178"/>
      <c r="HEK555" s="178"/>
      <c r="HEL555" s="178"/>
      <c r="HEM555" s="178"/>
      <c r="HEN555" s="178"/>
      <c r="HEO555" s="178"/>
      <c r="HEP555" s="178"/>
      <c r="HEQ555" s="178"/>
      <c r="HER555" s="178"/>
      <c r="HES555" s="178"/>
      <c r="HET555" s="178"/>
      <c r="HEU555" s="178"/>
      <c r="HEV555" s="178"/>
      <c r="HEW555" s="178"/>
      <c r="HEX555" s="178"/>
      <c r="HEY555" s="178"/>
      <c r="HEZ555" s="178"/>
      <c r="HFA555" s="178"/>
      <c r="HFB555" s="178"/>
      <c r="HFC555" s="178"/>
      <c r="HFD555" s="178"/>
      <c r="HFE555" s="178"/>
      <c r="HFF555" s="178"/>
      <c r="HFG555" s="178"/>
      <c r="HFH555" s="178"/>
      <c r="HFI555" s="178"/>
      <c r="HFJ555" s="178"/>
      <c r="HFK555" s="178"/>
      <c r="HFL555" s="178"/>
      <c r="HFM555" s="178"/>
      <c r="HFN555" s="178"/>
      <c r="HFO555" s="178"/>
      <c r="HFP555" s="178"/>
      <c r="HFQ555" s="178"/>
      <c r="HFR555" s="178"/>
      <c r="HFS555" s="178"/>
      <c r="HFT555" s="178"/>
      <c r="HFU555" s="178"/>
      <c r="HFV555" s="178"/>
      <c r="HFW555" s="178"/>
      <c r="HFX555" s="178"/>
      <c r="HFY555" s="178"/>
      <c r="HFZ555" s="178"/>
      <c r="HGA555" s="178"/>
      <c r="HGB555" s="178"/>
      <c r="HGC555" s="178"/>
      <c r="HGD555" s="178"/>
      <c r="HGE555" s="178"/>
      <c r="HGF555" s="178"/>
      <c r="HGG555" s="178"/>
      <c r="HGH555" s="178"/>
      <c r="HGI555" s="178"/>
      <c r="HGJ555" s="178"/>
      <c r="HGK555" s="178"/>
      <c r="HGL555" s="178"/>
      <c r="HGM555" s="178"/>
      <c r="HGN555" s="178"/>
      <c r="HGO555" s="178"/>
      <c r="HGP555" s="178"/>
      <c r="HGQ555" s="178"/>
      <c r="HGR555" s="178"/>
      <c r="HGS555" s="178"/>
      <c r="HGT555" s="178"/>
      <c r="HGU555" s="178"/>
      <c r="HGV555" s="178"/>
      <c r="HGW555" s="178"/>
      <c r="HGX555" s="178"/>
      <c r="HGY555" s="178"/>
      <c r="HGZ555" s="178"/>
      <c r="HHA555" s="178"/>
      <c r="HHB555" s="178"/>
      <c r="HHC555" s="178"/>
      <c r="HHD555" s="178"/>
      <c r="HHE555" s="178"/>
      <c r="HHF555" s="178"/>
      <c r="HHG555" s="178"/>
      <c r="HHH555" s="178"/>
      <c r="HHI555" s="178"/>
      <c r="HHJ555" s="178"/>
      <c r="HHK555" s="178"/>
      <c r="HHL555" s="178"/>
      <c r="HHM555" s="178"/>
      <c r="HHN555" s="178"/>
      <c r="HHO555" s="178"/>
      <c r="HHP555" s="178"/>
      <c r="HHQ555" s="178"/>
      <c r="HHR555" s="178"/>
      <c r="HHS555" s="178"/>
      <c r="HHT555" s="178"/>
      <c r="HHU555" s="178"/>
      <c r="HHV555" s="178"/>
      <c r="HHW555" s="178"/>
      <c r="HHX555" s="178"/>
      <c r="HHY555" s="178"/>
      <c r="HHZ555" s="178"/>
      <c r="HIA555" s="178"/>
      <c r="HIB555" s="178"/>
      <c r="HIC555" s="178"/>
      <c r="HID555" s="178"/>
      <c r="HIE555" s="178"/>
      <c r="HIF555" s="178"/>
      <c r="HIG555" s="178"/>
      <c r="HIH555" s="178"/>
      <c r="HII555" s="178"/>
      <c r="HIJ555" s="178"/>
      <c r="HIK555" s="178"/>
      <c r="HIL555" s="178"/>
      <c r="HIM555" s="178"/>
      <c r="HIN555" s="178"/>
      <c r="HIO555" s="178"/>
      <c r="HIP555" s="178"/>
      <c r="HIQ555" s="178"/>
      <c r="HIR555" s="178"/>
      <c r="HIS555" s="178"/>
      <c r="HIT555" s="178"/>
      <c r="HIU555" s="178"/>
      <c r="HIV555" s="178"/>
      <c r="HIW555" s="178"/>
      <c r="HIX555" s="178"/>
      <c r="HIY555" s="178"/>
      <c r="HIZ555" s="178"/>
      <c r="HJA555" s="178"/>
      <c r="HJB555" s="178"/>
      <c r="HJC555" s="178"/>
      <c r="HJD555" s="178"/>
      <c r="HJE555" s="178"/>
      <c r="HJF555" s="178"/>
      <c r="HJG555" s="178"/>
      <c r="HJH555" s="178"/>
      <c r="HJI555" s="178"/>
      <c r="HJJ555" s="178"/>
      <c r="HJK555" s="178"/>
      <c r="HJL555" s="178"/>
      <c r="HJM555" s="178"/>
      <c r="HJN555" s="178"/>
      <c r="HJO555" s="178"/>
      <c r="HJP555" s="178"/>
      <c r="HJQ555" s="178"/>
      <c r="HJR555" s="178"/>
      <c r="HJS555" s="178"/>
      <c r="HJT555" s="178"/>
      <c r="HJU555" s="178"/>
      <c r="HJV555" s="178"/>
      <c r="HJW555" s="178"/>
      <c r="HJX555" s="178"/>
      <c r="HJY555" s="178"/>
      <c r="HJZ555" s="178"/>
      <c r="HKA555" s="178"/>
      <c r="HKB555" s="178"/>
      <c r="HKC555" s="178"/>
      <c r="HKD555" s="178"/>
      <c r="HKE555" s="178"/>
      <c r="HKF555" s="178"/>
      <c r="HKG555" s="178"/>
      <c r="HKH555" s="178"/>
      <c r="HKI555" s="178"/>
      <c r="HKJ555" s="178"/>
      <c r="HKK555" s="178"/>
      <c r="HKL555" s="178"/>
      <c r="HKM555" s="178"/>
      <c r="HKN555" s="178"/>
      <c r="HKO555" s="178"/>
      <c r="HKP555" s="178"/>
      <c r="HKQ555" s="178"/>
      <c r="HKR555" s="178"/>
      <c r="HKS555" s="178"/>
      <c r="HKT555" s="178"/>
      <c r="HKU555" s="178"/>
      <c r="HKV555" s="178"/>
      <c r="HKW555" s="178"/>
      <c r="HKX555" s="178"/>
      <c r="HKY555" s="178"/>
      <c r="HKZ555" s="178"/>
      <c r="HLA555" s="178"/>
      <c r="HLB555" s="178"/>
      <c r="HLC555" s="178"/>
      <c r="HLD555" s="178"/>
      <c r="HLE555" s="178"/>
      <c r="HLF555" s="178"/>
      <c r="HLG555" s="178"/>
      <c r="HLH555" s="178"/>
      <c r="HLI555" s="178"/>
      <c r="HLJ555" s="178"/>
      <c r="HLK555" s="178"/>
      <c r="HLL555" s="178"/>
      <c r="HLM555" s="178"/>
      <c r="HLN555" s="178"/>
      <c r="HLO555" s="178"/>
      <c r="HLP555" s="178"/>
      <c r="HLQ555" s="178"/>
      <c r="HLR555" s="178"/>
      <c r="HLS555" s="178"/>
      <c r="HLT555" s="178"/>
      <c r="HLU555" s="178"/>
      <c r="HLV555" s="178"/>
      <c r="HLW555" s="178"/>
      <c r="HLX555" s="178"/>
      <c r="HLY555" s="178"/>
      <c r="HLZ555" s="178"/>
      <c r="HMA555" s="178"/>
      <c r="HMB555" s="178"/>
      <c r="HMC555" s="178"/>
      <c r="HMD555" s="178"/>
      <c r="HME555" s="178"/>
      <c r="HMF555" s="178"/>
      <c r="HMG555" s="178"/>
      <c r="HMH555" s="178"/>
      <c r="HMI555" s="178"/>
      <c r="HMJ555" s="178"/>
      <c r="HMK555" s="178"/>
      <c r="HML555" s="178"/>
      <c r="HMM555" s="178"/>
      <c r="HMN555" s="178"/>
      <c r="HMO555" s="178"/>
      <c r="HMP555" s="178"/>
      <c r="HMQ555" s="178"/>
      <c r="HMR555" s="178"/>
      <c r="HMS555" s="178"/>
      <c r="HMT555" s="178"/>
      <c r="HMU555" s="178"/>
      <c r="HMV555" s="178"/>
      <c r="HMW555" s="178"/>
      <c r="HMX555" s="178"/>
      <c r="HMY555" s="178"/>
      <c r="HMZ555" s="178"/>
      <c r="HNA555" s="178"/>
      <c r="HNB555" s="178"/>
      <c r="HNC555" s="178"/>
      <c r="HND555" s="178"/>
      <c r="HNE555" s="178"/>
      <c r="HNF555" s="178"/>
      <c r="HNG555" s="178"/>
      <c r="HNH555" s="178"/>
      <c r="HNI555" s="178"/>
      <c r="HNJ555" s="178"/>
      <c r="HNK555" s="178"/>
      <c r="HNL555" s="178"/>
      <c r="HNM555" s="178"/>
      <c r="HNN555" s="178"/>
      <c r="HNO555" s="178"/>
      <c r="HNP555" s="178"/>
      <c r="HNQ555" s="178"/>
      <c r="HNR555" s="178"/>
      <c r="HNS555" s="178"/>
      <c r="HNT555" s="178"/>
      <c r="HNU555" s="178"/>
      <c r="HNV555" s="178"/>
      <c r="HNW555" s="178"/>
      <c r="HNX555" s="178"/>
      <c r="HNY555" s="178"/>
      <c r="HNZ555" s="178"/>
      <c r="HOA555" s="178"/>
      <c r="HOB555" s="178"/>
      <c r="HOC555" s="178"/>
      <c r="HOD555" s="178"/>
      <c r="HOE555" s="178"/>
      <c r="HOF555" s="178"/>
      <c r="HOG555" s="178"/>
      <c r="HOH555" s="178"/>
      <c r="HOI555" s="178"/>
      <c r="HOJ555" s="178"/>
      <c r="HOK555" s="178"/>
      <c r="HOL555" s="178"/>
      <c r="HOM555" s="178"/>
      <c r="HON555" s="178"/>
      <c r="HOO555" s="178"/>
      <c r="HOP555" s="178"/>
      <c r="HOQ555" s="178"/>
      <c r="HOR555" s="178"/>
      <c r="HOS555" s="178"/>
      <c r="HOT555" s="178"/>
      <c r="HOU555" s="178"/>
      <c r="HOV555" s="178"/>
      <c r="HOW555" s="178"/>
      <c r="HOX555" s="178"/>
      <c r="HOY555" s="178"/>
      <c r="HOZ555" s="178"/>
      <c r="HPA555" s="178"/>
      <c r="HPB555" s="178"/>
      <c r="HPC555" s="178"/>
      <c r="HPD555" s="178"/>
      <c r="HPE555" s="178"/>
      <c r="HPF555" s="178"/>
      <c r="HPG555" s="178"/>
      <c r="HPH555" s="178"/>
      <c r="HPI555" s="178"/>
      <c r="HPJ555" s="178"/>
      <c r="HPK555" s="178"/>
      <c r="HPL555" s="178"/>
      <c r="HPM555" s="178"/>
      <c r="HPN555" s="178"/>
      <c r="HPO555" s="178"/>
      <c r="HPP555" s="178"/>
      <c r="HPQ555" s="178"/>
      <c r="HPR555" s="178"/>
      <c r="HPS555" s="178"/>
      <c r="HPT555" s="178"/>
      <c r="HPU555" s="178"/>
      <c r="HPV555" s="178"/>
      <c r="HPW555" s="178"/>
      <c r="HPX555" s="178"/>
      <c r="HPY555" s="178"/>
      <c r="HPZ555" s="178"/>
      <c r="HQA555" s="178"/>
      <c r="HQB555" s="178"/>
      <c r="HQC555" s="178"/>
      <c r="HQD555" s="178"/>
      <c r="HQE555" s="178"/>
      <c r="HQF555" s="178"/>
      <c r="HQG555" s="178"/>
      <c r="HQH555" s="178"/>
      <c r="HQI555" s="178"/>
      <c r="HQJ555" s="178"/>
      <c r="HQK555" s="178"/>
      <c r="HQL555" s="178"/>
      <c r="HQM555" s="178"/>
      <c r="HQN555" s="178"/>
      <c r="HQO555" s="178"/>
      <c r="HQP555" s="178"/>
      <c r="HQQ555" s="178"/>
      <c r="HQR555" s="178"/>
      <c r="HQS555" s="178"/>
      <c r="HQT555" s="178"/>
      <c r="HQU555" s="178"/>
      <c r="HQV555" s="178"/>
      <c r="HQW555" s="178"/>
      <c r="HQX555" s="178"/>
      <c r="HQY555" s="178"/>
      <c r="HQZ555" s="178"/>
      <c r="HRA555" s="178"/>
      <c r="HRB555" s="178"/>
      <c r="HRC555" s="178"/>
      <c r="HRD555" s="178"/>
      <c r="HRE555" s="178"/>
      <c r="HRF555" s="178"/>
      <c r="HRG555" s="178"/>
      <c r="HRH555" s="178"/>
      <c r="HRI555" s="178"/>
      <c r="HRJ555" s="178"/>
      <c r="HRK555" s="178"/>
      <c r="HRL555" s="178"/>
      <c r="HRM555" s="178"/>
      <c r="HRN555" s="178"/>
      <c r="HRO555" s="178"/>
      <c r="HRP555" s="178"/>
      <c r="HRQ555" s="178"/>
      <c r="HRR555" s="178"/>
      <c r="HRS555" s="178"/>
      <c r="HRT555" s="178"/>
      <c r="HRU555" s="178"/>
      <c r="HRV555" s="178"/>
      <c r="HRW555" s="178"/>
      <c r="HRX555" s="178"/>
      <c r="HRY555" s="178"/>
      <c r="HRZ555" s="178"/>
      <c r="HSA555" s="178"/>
      <c r="HSB555" s="178"/>
      <c r="HSC555" s="178"/>
      <c r="HSD555" s="178"/>
      <c r="HSE555" s="178"/>
      <c r="HSF555" s="178"/>
      <c r="HSG555" s="178"/>
      <c r="HSH555" s="178"/>
      <c r="HSI555" s="178"/>
      <c r="HSJ555" s="178"/>
      <c r="HSK555" s="178"/>
      <c r="HSL555" s="178"/>
      <c r="HSM555" s="178"/>
      <c r="HSN555" s="178"/>
      <c r="HSO555" s="178"/>
      <c r="HSP555" s="178"/>
      <c r="HSQ555" s="178"/>
      <c r="HSR555" s="178"/>
      <c r="HSS555" s="178"/>
      <c r="HST555" s="178"/>
      <c r="HSU555" s="178"/>
      <c r="HSV555" s="178"/>
      <c r="HSW555" s="178"/>
      <c r="HSX555" s="178"/>
      <c r="HSY555" s="178"/>
      <c r="HSZ555" s="178"/>
      <c r="HTA555" s="178"/>
      <c r="HTB555" s="178"/>
      <c r="HTC555" s="178"/>
      <c r="HTD555" s="178"/>
      <c r="HTE555" s="178"/>
      <c r="HTF555" s="178"/>
      <c r="HTG555" s="178"/>
      <c r="HTH555" s="178"/>
      <c r="HTI555" s="178"/>
      <c r="HTJ555" s="178"/>
      <c r="HTK555" s="178"/>
      <c r="HTL555" s="178"/>
      <c r="HTM555" s="178"/>
      <c r="HTN555" s="178"/>
      <c r="HTO555" s="178"/>
      <c r="HTP555" s="178"/>
      <c r="HTQ555" s="178"/>
      <c r="HTR555" s="178"/>
      <c r="HTS555" s="178"/>
      <c r="HTT555" s="178"/>
      <c r="HTU555" s="178"/>
      <c r="HTV555" s="178"/>
      <c r="HTW555" s="178"/>
      <c r="HTX555" s="178"/>
      <c r="HTY555" s="178"/>
      <c r="HTZ555" s="178"/>
      <c r="HUA555" s="178"/>
      <c r="HUB555" s="178"/>
      <c r="HUC555" s="178"/>
      <c r="HUD555" s="178"/>
      <c r="HUE555" s="178"/>
      <c r="HUF555" s="178"/>
      <c r="HUG555" s="178"/>
      <c r="HUH555" s="178"/>
      <c r="HUI555" s="178"/>
      <c r="HUJ555" s="178"/>
      <c r="HUK555" s="178"/>
      <c r="HUL555" s="178"/>
      <c r="HUM555" s="178"/>
      <c r="HUN555" s="178"/>
      <c r="HUO555" s="178"/>
      <c r="HUP555" s="178"/>
      <c r="HUQ555" s="178"/>
      <c r="HUR555" s="178"/>
      <c r="HUS555" s="178"/>
      <c r="HUT555" s="178"/>
      <c r="HUU555" s="178"/>
      <c r="HUV555" s="178"/>
      <c r="HUW555" s="178"/>
      <c r="HUX555" s="178"/>
      <c r="HUY555" s="178"/>
      <c r="HUZ555" s="178"/>
      <c r="HVA555" s="178"/>
      <c r="HVB555" s="178"/>
      <c r="HVC555" s="178"/>
      <c r="HVD555" s="178"/>
      <c r="HVE555" s="178"/>
      <c r="HVF555" s="178"/>
      <c r="HVG555" s="178"/>
      <c r="HVH555" s="178"/>
      <c r="HVI555" s="178"/>
      <c r="HVJ555" s="178"/>
      <c r="HVK555" s="178"/>
      <c r="HVL555" s="178"/>
      <c r="HVM555" s="178"/>
      <c r="HVN555" s="178"/>
      <c r="HVO555" s="178"/>
      <c r="HVP555" s="178"/>
      <c r="HVQ555" s="178"/>
      <c r="HVR555" s="178"/>
      <c r="HVS555" s="178"/>
      <c r="HVT555" s="178"/>
      <c r="HVU555" s="178"/>
      <c r="HVV555" s="178"/>
      <c r="HVW555" s="178"/>
      <c r="HVX555" s="178"/>
      <c r="HVY555" s="178"/>
      <c r="HVZ555" s="178"/>
      <c r="HWA555" s="178"/>
      <c r="HWB555" s="178"/>
      <c r="HWC555" s="178"/>
      <c r="HWD555" s="178"/>
      <c r="HWE555" s="178"/>
      <c r="HWF555" s="178"/>
      <c r="HWG555" s="178"/>
      <c r="HWH555" s="178"/>
      <c r="HWI555" s="178"/>
      <c r="HWJ555" s="178"/>
      <c r="HWK555" s="178"/>
      <c r="HWL555" s="178"/>
      <c r="HWM555" s="178"/>
      <c r="HWN555" s="178"/>
      <c r="HWO555" s="178"/>
      <c r="HWP555" s="178"/>
      <c r="HWQ555" s="178"/>
      <c r="HWR555" s="178"/>
      <c r="HWS555" s="178"/>
      <c r="HWT555" s="178"/>
      <c r="HWU555" s="178"/>
      <c r="HWV555" s="178"/>
      <c r="HWW555" s="178"/>
      <c r="HWX555" s="178"/>
      <c r="HWY555" s="178"/>
      <c r="HWZ555" s="178"/>
      <c r="HXA555" s="178"/>
      <c r="HXB555" s="178"/>
      <c r="HXC555" s="178"/>
      <c r="HXD555" s="178"/>
      <c r="HXE555" s="178"/>
      <c r="HXF555" s="178"/>
      <c r="HXG555" s="178"/>
      <c r="HXH555" s="178"/>
      <c r="HXI555" s="178"/>
      <c r="HXJ555" s="178"/>
      <c r="HXK555" s="178"/>
      <c r="HXL555" s="178"/>
      <c r="HXM555" s="178"/>
      <c r="HXN555" s="178"/>
      <c r="HXO555" s="178"/>
      <c r="HXP555" s="178"/>
      <c r="HXQ555" s="178"/>
      <c r="HXR555" s="178"/>
      <c r="HXS555" s="178"/>
      <c r="HXT555" s="178"/>
      <c r="HXU555" s="178"/>
      <c r="HXV555" s="178"/>
      <c r="HXW555" s="178"/>
      <c r="HXX555" s="178"/>
      <c r="HXY555" s="178"/>
      <c r="HXZ555" s="178"/>
      <c r="HYA555" s="178"/>
      <c r="HYB555" s="178"/>
      <c r="HYC555" s="178"/>
      <c r="HYD555" s="178"/>
      <c r="HYE555" s="178"/>
      <c r="HYF555" s="178"/>
      <c r="HYG555" s="178"/>
      <c r="HYH555" s="178"/>
      <c r="HYI555" s="178"/>
      <c r="HYJ555" s="178"/>
      <c r="HYK555" s="178"/>
      <c r="HYL555" s="178"/>
      <c r="HYM555" s="178"/>
      <c r="HYN555" s="178"/>
      <c r="HYO555" s="178"/>
      <c r="HYP555" s="178"/>
      <c r="HYQ555" s="178"/>
      <c r="HYR555" s="178"/>
      <c r="HYS555" s="178"/>
      <c r="HYT555" s="178"/>
      <c r="HYU555" s="178"/>
      <c r="HYV555" s="178"/>
      <c r="HYW555" s="178"/>
      <c r="HYX555" s="178"/>
      <c r="HYY555" s="178"/>
      <c r="HYZ555" s="178"/>
      <c r="HZA555" s="178"/>
      <c r="HZB555" s="178"/>
      <c r="HZC555" s="178"/>
      <c r="HZD555" s="178"/>
      <c r="HZE555" s="178"/>
      <c r="HZF555" s="178"/>
      <c r="HZG555" s="178"/>
      <c r="HZH555" s="178"/>
      <c r="HZI555" s="178"/>
      <c r="HZJ555" s="178"/>
      <c r="HZK555" s="178"/>
      <c r="HZL555" s="178"/>
      <c r="HZM555" s="178"/>
      <c r="HZN555" s="178"/>
      <c r="HZO555" s="178"/>
      <c r="HZP555" s="178"/>
      <c r="HZQ555" s="178"/>
      <c r="HZR555" s="178"/>
      <c r="HZS555" s="178"/>
      <c r="HZT555" s="178"/>
      <c r="HZU555" s="178"/>
      <c r="HZV555" s="178"/>
      <c r="HZW555" s="178"/>
      <c r="HZX555" s="178"/>
      <c r="HZY555" s="178"/>
      <c r="HZZ555" s="178"/>
      <c r="IAA555" s="178"/>
      <c r="IAB555" s="178"/>
      <c r="IAC555" s="178"/>
      <c r="IAD555" s="178"/>
      <c r="IAE555" s="178"/>
      <c r="IAF555" s="178"/>
      <c r="IAG555" s="178"/>
      <c r="IAH555" s="178"/>
      <c r="IAI555" s="178"/>
      <c r="IAJ555" s="178"/>
      <c r="IAK555" s="178"/>
      <c r="IAL555" s="178"/>
      <c r="IAM555" s="178"/>
      <c r="IAN555" s="178"/>
      <c r="IAO555" s="178"/>
      <c r="IAP555" s="178"/>
      <c r="IAQ555" s="178"/>
      <c r="IAR555" s="178"/>
      <c r="IAS555" s="178"/>
      <c r="IAT555" s="178"/>
      <c r="IAU555" s="178"/>
      <c r="IAV555" s="178"/>
      <c r="IAW555" s="178"/>
      <c r="IAX555" s="178"/>
      <c r="IAY555" s="178"/>
      <c r="IAZ555" s="178"/>
      <c r="IBA555" s="178"/>
      <c r="IBB555" s="178"/>
      <c r="IBC555" s="178"/>
      <c r="IBD555" s="178"/>
      <c r="IBE555" s="178"/>
      <c r="IBF555" s="178"/>
      <c r="IBG555" s="178"/>
      <c r="IBH555" s="178"/>
      <c r="IBI555" s="178"/>
      <c r="IBJ555" s="178"/>
      <c r="IBK555" s="178"/>
      <c r="IBL555" s="178"/>
      <c r="IBM555" s="178"/>
      <c r="IBN555" s="178"/>
      <c r="IBO555" s="178"/>
      <c r="IBP555" s="178"/>
      <c r="IBQ555" s="178"/>
      <c r="IBR555" s="178"/>
      <c r="IBS555" s="178"/>
      <c r="IBT555" s="178"/>
      <c r="IBU555" s="178"/>
      <c r="IBV555" s="178"/>
      <c r="IBW555" s="178"/>
      <c r="IBX555" s="178"/>
      <c r="IBY555" s="178"/>
      <c r="IBZ555" s="178"/>
      <c r="ICA555" s="178"/>
      <c r="ICB555" s="178"/>
      <c r="ICC555" s="178"/>
      <c r="ICD555" s="178"/>
      <c r="ICE555" s="178"/>
      <c r="ICF555" s="178"/>
      <c r="ICG555" s="178"/>
      <c r="ICH555" s="178"/>
      <c r="ICI555" s="178"/>
      <c r="ICJ555" s="178"/>
      <c r="ICK555" s="178"/>
      <c r="ICL555" s="178"/>
      <c r="ICM555" s="178"/>
      <c r="ICN555" s="178"/>
      <c r="ICO555" s="178"/>
      <c r="ICP555" s="178"/>
      <c r="ICQ555" s="178"/>
      <c r="ICR555" s="178"/>
      <c r="ICS555" s="178"/>
      <c r="ICT555" s="178"/>
      <c r="ICU555" s="178"/>
      <c r="ICV555" s="178"/>
      <c r="ICW555" s="178"/>
      <c r="ICX555" s="178"/>
      <c r="ICY555" s="178"/>
      <c r="ICZ555" s="178"/>
      <c r="IDA555" s="178"/>
      <c r="IDB555" s="178"/>
      <c r="IDC555" s="178"/>
      <c r="IDD555" s="178"/>
      <c r="IDE555" s="178"/>
      <c r="IDF555" s="178"/>
      <c r="IDG555" s="178"/>
      <c r="IDH555" s="178"/>
      <c r="IDI555" s="178"/>
      <c r="IDJ555" s="178"/>
      <c r="IDK555" s="178"/>
      <c r="IDL555" s="178"/>
      <c r="IDM555" s="178"/>
      <c r="IDN555" s="178"/>
      <c r="IDO555" s="178"/>
      <c r="IDP555" s="178"/>
      <c r="IDQ555" s="178"/>
      <c r="IDR555" s="178"/>
      <c r="IDS555" s="178"/>
      <c r="IDT555" s="178"/>
      <c r="IDU555" s="178"/>
      <c r="IDV555" s="178"/>
      <c r="IDW555" s="178"/>
      <c r="IDX555" s="178"/>
      <c r="IDY555" s="178"/>
      <c r="IDZ555" s="178"/>
      <c r="IEA555" s="178"/>
      <c r="IEB555" s="178"/>
      <c r="IEC555" s="178"/>
      <c r="IED555" s="178"/>
      <c r="IEE555" s="178"/>
      <c r="IEF555" s="178"/>
      <c r="IEG555" s="178"/>
      <c r="IEH555" s="178"/>
      <c r="IEI555" s="178"/>
      <c r="IEJ555" s="178"/>
      <c r="IEK555" s="178"/>
      <c r="IEL555" s="178"/>
      <c r="IEM555" s="178"/>
      <c r="IEN555" s="178"/>
      <c r="IEO555" s="178"/>
      <c r="IEP555" s="178"/>
      <c r="IEQ555" s="178"/>
      <c r="IER555" s="178"/>
      <c r="IES555" s="178"/>
      <c r="IET555" s="178"/>
      <c r="IEU555" s="178"/>
      <c r="IEV555" s="178"/>
      <c r="IEW555" s="178"/>
      <c r="IEX555" s="178"/>
      <c r="IEY555" s="178"/>
      <c r="IEZ555" s="178"/>
      <c r="IFA555" s="178"/>
      <c r="IFB555" s="178"/>
      <c r="IFC555" s="178"/>
      <c r="IFD555" s="178"/>
      <c r="IFE555" s="178"/>
      <c r="IFF555" s="178"/>
      <c r="IFG555" s="178"/>
      <c r="IFH555" s="178"/>
      <c r="IFI555" s="178"/>
      <c r="IFJ555" s="178"/>
      <c r="IFK555" s="178"/>
      <c r="IFL555" s="178"/>
      <c r="IFM555" s="178"/>
      <c r="IFN555" s="178"/>
      <c r="IFO555" s="178"/>
      <c r="IFP555" s="178"/>
      <c r="IFQ555" s="178"/>
      <c r="IFR555" s="178"/>
      <c r="IFS555" s="178"/>
      <c r="IFT555" s="178"/>
      <c r="IFU555" s="178"/>
      <c r="IFV555" s="178"/>
      <c r="IFW555" s="178"/>
      <c r="IFX555" s="178"/>
      <c r="IFY555" s="178"/>
      <c r="IFZ555" s="178"/>
      <c r="IGA555" s="178"/>
      <c r="IGB555" s="178"/>
      <c r="IGC555" s="178"/>
      <c r="IGD555" s="178"/>
      <c r="IGE555" s="178"/>
      <c r="IGF555" s="178"/>
      <c r="IGG555" s="178"/>
      <c r="IGH555" s="178"/>
      <c r="IGI555" s="178"/>
      <c r="IGJ555" s="178"/>
      <c r="IGK555" s="178"/>
      <c r="IGL555" s="178"/>
      <c r="IGM555" s="178"/>
      <c r="IGN555" s="178"/>
      <c r="IGO555" s="178"/>
      <c r="IGP555" s="178"/>
      <c r="IGQ555" s="178"/>
      <c r="IGR555" s="178"/>
      <c r="IGS555" s="178"/>
      <c r="IGT555" s="178"/>
      <c r="IGU555" s="178"/>
      <c r="IGV555" s="178"/>
      <c r="IGW555" s="178"/>
      <c r="IGX555" s="178"/>
      <c r="IGY555" s="178"/>
      <c r="IGZ555" s="178"/>
      <c r="IHA555" s="178"/>
      <c r="IHB555" s="178"/>
      <c r="IHC555" s="178"/>
      <c r="IHD555" s="178"/>
      <c r="IHE555" s="178"/>
      <c r="IHF555" s="178"/>
      <c r="IHG555" s="178"/>
      <c r="IHH555" s="178"/>
      <c r="IHI555" s="178"/>
      <c r="IHJ555" s="178"/>
      <c r="IHK555" s="178"/>
      <c r="IHL555" s="178"/>
      <c r="IHM555" s="178"/>
      <c r="IHN555" s="178"/>
      <c r="IHO555" s="178"/>
      <c r="IHP555" s="178"/>
      <c r="IHQ555" s="178"/>
      <c r="IHR555" s="178"/>
      <c r="IHS555" s="178"/>
      <c r="IHT555" s="178"/>
      <c r="IHU555" s="178"/>
      <c r="IHV555" s="178"/>
      <c r="IHW555" s="178"/>
      <c r="IHX555" s="178"/>
      <c r="IHY555" s="178"/>
      <c r="IHZ555" s="178"/>
      <c r="IIA555" s="178"/>
      <c r="IIB555" s="178"/>
      <c r="IIC555" s="178"/>
      <c r="IID555" s="178"/>
      <c r="IIE555" s="178"/>
      <c r="IIF555" s="178"/>
      <c r="IIG555" s="178"/>
      <c r="IIH555" s="178"/>
      <c r="III555" s="178"/>
      <c r="IIJ555" s="178"/>
      <c r="IIK555" s="178"/>
      <c r="IIL555" s="178"/>
      <c r="IIM555" s="178"/>
      <c r="IIN555" s="178"/>
      <c r="IIO555" s="178"/>
      <c r="IIP555" s="178"/>
      <c r="IIQ555" s="178"/>
      <c r="IIR555" s="178"/>
      <c r="IIS555" s="178"/>
      <c r="IIT555" s="178"/>
      <c r="IIU555" s="178"/>
      <c r="IIV555" s="178"/>
      <c r="IIW555" s="178"/>
      <c r="IIX555" s="178"/>
      <c r="IIY555" s="178"/>
      <c r="IIZ555" s="178"/>
      <c r="IJA555" s="178"/>
      <c r="IJB555" s="178"/>
      <c r="IJC555" s="178"/>
      <c r="IJD555" s="178"/>
      <c r="IJE555" s="178"/>
      <c r="IJF555" s="178"/>
      <c r="IJG555" s="178"/>
      <c r="IJH555" s="178"/>
      <c r="IJI555" s="178"/>
      <c r="IJJ555" s="178"/>
      <c r="IJK555" s="178"/>
      <c r="IJL555" s="178"/>
      <c r="IJM555" s="178"/>
      <c r="IJN555" s="178"/>
      <c r="IJO555" s="178"/>
      <c r="IJP555" s="178"/>
      <c r="IJQ555" s="178"/>
      <c r="IJR555" s="178"/>
      <c r="IJS555" s="178"/>
      <c r="IJT555" s="178"/>
      <c r="IJU555" s="178"/>
      <c r="IJV555" s="178"/>
      <c r="IJW555" s="178"/>
      <c r="IJX555" s="178"/>
      <c r="IJY555" s="178"/>
      <c r="IJZ555" s="178"/>
      <c r="IKA555" s="178"/>
      <c r="IKB555" s="178"/>
      <c r="IKC555" s="178"/>
      <c r="IKD555" s="178"/>
      <c r="IKE555" s="178"/>
      <c r="IKF555" s="178"/>
      <c r="IKG555" s="178"/>
      <c r="IKH555" s="178"/>
      <c r="IKI555" s="178"/>
      <c r="IKJ555" s="178"/>
      <c r="IKK555" s="178"/>
      <c r="IKL555" s="178"/>
      <c r="IKM555" s="178"/>
      <c r="IKN555" s="178"/>
      <c r="IKO555" s="178"/>
      <c r="IKP555" s="178"/>
      <c r="IKQ555" s="178"/>
      <c r="IKR555" s="178"/>
      <c r="IKS555" s="178"/>
      <c r="IKT555" s="178"/>
      <c r="IKU555" s="178"/>
      <c r="IKV555" s="178"/>
      <c r="IKW555" s="178"/>
      <c r="IKX555" s="178"/>
      <c r="IKY555" s="178"/>
      <c r="IKZ555" s="178"/>
      <c r="ILA555" s="178"/>
      <c r="ILB555" s="178"/>
      <c r="ILC555" s="178"/>
      <c r="ILD555" s="178"/>
      <c r="ILE555" s="178"/>
      <c r="ILF555" s="178"/>
      <c r="ILG555" s="178"/>
      <c r="ILH555" s="178"/>
      <c r="ILI555" s="178"/>
      <c r="ILJ555" s="178"/>
      <c r="ILK555" s="178"/>
      <c r="ILL555" s="178"/>
      <c r="ILM555" s="178"/>
      <c r="ILN555" s="178"/>
      <c r="ILO555" s="178"/>
      <c r="ILP555" s="178"/>
      <c r="ILQ555" s="178"/>
      <c r="ILR555" s="178"/>
      <c r="ILS555" s="178"/>
      <c r="ILT555" s="178"/>
      <c r="ILU555" s="178"/>
      <c r="ILV555" s="178"/>
      <c r="ILW555" s="178"/>
      <c r="ILX555" s="178"/>
      <c r="ILY555" s="178"/>
      <c r="ILZ555" s="178"/>
      <c r="IMA555" s="178"/>
      <c r="IMB555" s="178"/>
      <c r="IMC555" s="178"/>
      <c r="IMD555" s="178"/>
      <c r="IME555" s="178"/>
      <c r="IMF555" s="178"/>
      <c r="IMG555" s="178"/>
      <c r="IMH555" s="178"/>
      <c r="IMI555" s="178"/>
      <c r="IMJ555" s="178"/>
      <c r="IMK555" s="178"/>
      <c r="IML555" s="178"/>
      <c r="IMM555" s="178"/>
      <c r="IMN555" s="178"/>
      <c r="IMO555" s="178"/>
      <c r="IMP555" s="178"/>
      <c r="IMQ555" s="178"/>
      <c r="IMR555" s="178"/>
      <c r="IMS555" s="178"/>
      <c r="IMT555" s="178"/>
      <c r="IMU555" s="178"/>
      <c r="IMV555" s="178"/>
      <c r="IMW555" s="178"/>
      <c r="IMX555" s="178"/>
      <c r="IMY555" s="178"/>
      <c r="IMZ555" s="178"/>
      <c r="INA555" s="178"/>
      <c r="INB555" s="178"/>
      <c r="INC555" s="178"/>
      <c r="IND555" s="178"/>
      <c r="INE555" s="178"/>
      <c r="INF555" s="178"/>
      <c r="ING555" s="178"/>
      <c r="INH555" s="178"/>
      <c r="INI555" s="178"/>
      <c r="INJ555" s="178"/>
      <c r="INK555" s="178"/>
      <c r="INL555" s="178"/>
      <c r="INM555" s="178"/>
      <c r="INN555" s="178"/>
      <c r="INO555" s="178"/>
      <c r="INP555" s="178"/>
      <c r="INQ555" s="178"/>
      <c r="INR555" s="178"/>
      <c r="INS555" s="178"/>
      <c r="INT555" s="178"/>
      <c r="INU555" s="178"/>
      <c r="INV555" s="178"/>
      <c r="INW555" s="178"/>
      <c r="INX555" s="178"/>
      <c r="INY555" s="178"/>
      <c r="INZ555" s="178"/>
      <c r="IOA555" s="178"/>
      <c r="IOB555" s="178"/>
      <c r="IOC555" s="178"/>
      <c r="IOD555" s="178"/>
      <c r="IOE555" s="178"/>
      <c r="IOF555" s="178"/>
      <c r="IOG555" s="178"/>
      <c r="IOH555" s="178"/>
      <c r="IOI555" s="178"/>
      <c r="IOJ555" s="178"/>
      <c r="IOK555" s="178"/>
      <c r="IOL555" s="178"/>
      <c r="IOM555" s="178"/>
      <c r="ION555" s="178"/>
      <c r="IOO555" s="178"/>
      <c r="IOP555" s="178"/>
      <c r="IOQ555" s="178"/>
      <c r="IOR555" s="178"/>
      <c r="IOS555" s="178"/>
      <c r="IOT555" s="178"/>
      <c r="IOU555" s="178"/>
      <c r="IOV555" s="178"/>
      <c r="IOW555" s="178"/>
      <c r="IOX555" s="178"/>
      <c r="IOY555" s="178"/>
      <c r="IOZ555" s="178"/>
      <c r="IPA555" s="178"/>
      <c r="IPB555" s="178"/>
      <c r="IPC555" s="178"/>
      <c r="IPD555" s="178"/>
      <c r="IPE555" s="178"/>
      <c r="IPF555" s="178"/>
      <c r="IPG555" s="178"/>
      <c r="IPH555" s="178"/>
      <c r="IPI555" s="178"/>
      <c r="IPJ555" s="178"/>
      <c r="IPK555" s="178"/>
      <c r="IPL555" s="178"/>
      <c r="IPM555" s="178"/>
      <c r="IPN555" s="178"/>
      <c r="IPO555" s="178"/>
      <c r="IPP555" s="178"/>
      <c r="IPQ555" s="178"/>
      <c r="IPR555" s="178"/>
      <c r="IPS555" s="178"/>
      <c r="IPT555" s="178"/>
      <c r="IPU555" s="178"/>
      <c r="IPV555" s="178"/>
      <c r="IPW555" s="178"/>
      <c r="IPX555" s="178"/>
      <c r="IPY555" s="178"/>
      <c r="IPZ555" s="178"/>
      <c r="IQA555" s="178"/>
      <c r="IQB555" s="178"/>
      <c r="IQC555" s="178"/>
      <c r="IQD555" s="178"/>
      <c r="IQE555" s="178"/>
      <c r="IQF555" s="178"/>
      <c r="IQG555" s="178"/>
      <c r="IQH555" s="178"/>
      <c r="IQI555" s="178"/>
      <c r="IQJ555" s="178"/>
      <c r="IQK555" s="178"/>
      <c r="IQL555" s="178"/>
      <c r="IQM555" s="178"/>
      <c r="IQN555" s="178"/>
      <c r="IQO555" s="178"/>
      <c r="IQP555" s="178"/>
      <c r="IQQ555" s="178"/>
      <c r="IQR555" s="178"/>
      <c r="IQS555" s="178"/>
      <c r="IQT555" s="178"/>
      <c r="IQU555" s="178"/>
      <c r="IQV555" s="178"/>
      <c r="IQW555" s="178"/>
      <c r="IQX555" s="178"/>
      <c r="IQY555" s="178"/>
      <c r="IQZ555" s="178"/>
      <c r="IRA555" s="178"/>
      <c r="IRB555" s="178"/>
      <c r="IRC555" s="178"/>
      <c r="IRD555" s="178"/>
      <c r="IRE555" s="178"/>
      <c r="IRF555" s="178"/>
      <c r="IRG555" s="178"/>
      <c r="IRH555" s="178"/>
      <c r="IRI555" s="178"/>
      <c r="IRJ555" s="178"/>
      <c r="IRK555" s="178"/>
      <c r="IRL555" s="178"/>
      <c r="IRM555" s="178"/>
      <c r="IRN555" s="178"/>
      <c r="IRO555" s="178"/>
      <c r="IRP555" s="178"/>
      <c r="IRQ555" s="178"/>
      <c r="IRR555" s="178"/>
      <c r="IRS555" s="178"/>
      <c r="IRT555" s="178"/>
      <c r="IRU555" s="178"/>
      <c r="IRV555" s="178"/>
      <c r="IRW555" s="178"/>
      <c r="IRX555" s="178"/>
      <c r="IRY555" s="178"/>
      <c r="IRZ555" s="178"/>
      <c r="ISA555" s="178"/>
      <c r="ISB555" s="178"/>
      <c r="ISC555" s="178"/>
      <c r="ISD555" s="178"/>
      <c r="ISE555" s="178"/>
      <c r="ISF555" s="178"/>
      <c r="ISG555" s="178"/>
      <c r="ISH555" s="178"/>
      <c r="ISI555" s="178"/>
      <c r="ISJ555" s="178"/>
      <c r="ISK555" s="178"/>
      <c r="ISL555" s="178"/>
      <c r="ISM555" s="178"/>
      <c r="ISN555" s="178"/>
      <c r="ISO555" s="178"/>
      <c r="ISP555" s="178"/>
      <c r="ISQ555" s="178"/>
      <c r="ISR555" s="178"/>
      <c r="ISS555" s="178"/>
      <c r="IST555" s="178"/>
      <c r="ISU555" s="178"/>
      <c r="ISV555" s="178"/>
      <c r="ISW555" s="178"/>
      <c r="ISX555" s="178"/>
      <c r="ISY555" s="178"/>
      <c r="ISZ555" s="178"/>
      <c r="ITA555" s="178"/>
      <c r="ITB555" s="178"/>
      <c r="ITC555" s="178"/>
      <c r="ITD555" s="178"/>
      <c r="ITE555" s="178"/>
      <c r="ITF555" s="178"/>
      <c r="ITG555" s="178"/>
      <c r="ITH555" s="178"/>
      <c r="ITI555" s="178"/>
      <c r="ITJ555" s="178"/>
      <c r="ITK555" s="178"/>
      <c r="ITL555" s="178"/>
      <c r="ITM555" s="178"/>
      <c r="ITN555" s="178"/>
      <c r="ITO555" s="178"/>
      <c r="ITP555" s="178"/>
      <c r="ITQ555" s="178"/>
      <c r="ITR555" s="178"/>
      <c r="ITS555" s="178"/>
      <c r="ITT555" s="178"/>
      <c r="ITU555" s="178"/>
      <c r="ITV555" s="178"/>
      <c r="ITW555" s="178"/>
      <c r="ITX555" s="178"/>
      <c r="ITY555" s="178"/>
      <c r="ITZ555" s="178"/>
      <c r="IUA555" s="178"/>
      <c r="IUB555" s="178"/>
      <c r="IUC555" s="178"/>
      <c r="IUD555" s="178"/>
      <c r="IUE555" s="178"/>
      <c r="IUF555" s="178"/>
      <c r="IUG555" s="178"/>
      <c r="IUH555" s="178"/>
      <c r="IUI555" s="178"/>
      <c r="IUJ555" s="178"/>
      <c r="IUK555" s="178"/>
      <c r="IUL555" s="178"/>
      <c r="IUM555" s="178"/>
      <c r="IUN555" s="178"/>
      <c r="IUO555" s="178"/>
      <c r="IUP555" s="178"/>
      <c r="IUQ555" s="178"/>
      <c r="IUR555" s="178"/>
      <c r="IUS555" s="178"/>
      <c r="IUT555" s="178"/>
      <c r="IUU555" s="178"/>
      <c r="IUV555" s="178"/>
      <c r="IUW555" s="178"/>
      <c r="IUX555" s="178"/>
      <c r="IUY555" s="178"/>
      <c r="IUZ555" s="178"/>
      <c r="IVA555" s="178"/>
      <c r="IVB555" s="178"/>
      <c r="IVC555" s="178"/>
      <c r="IVD555" s="178"/>
      <c r="IVE555" s="178"/>
      <c r="IVF555" s="178"/>
      <c r="IVG555" s="178"/>
      <c r="IVH555" s="178"/>
      <c r="IVI555" s="178"/>
      <c r="IVJ555" s="178"/>
      <c r="IVK555" s="178"/>
      <c r="IVL555" s="178"/>
      <c r="IVM555" s="178"/>
      <c r="IVN555" s="178"/>
      <c r="IVO555" s="178"/>
      <c r="IVP555" s="178"/>
      <c r="IVQ555" s="178"/>
      <c r="IVR555" s="178"/>
      <c r="IVS555" s="178"/>
      <c r="IVT555" s="178"/>
      <c r="IVU555" s="178"/>
      <c r="IVV555" s="178"/>
      <c r="IVW555" s="178"/>
      <c r="IVX555" s="178"/>
      <c r="IVY555" s="178"/>
      <c r="IVZ555" s="178"/>
      <c r="IWA555" s="178"/>
      <c r="IWB555" s="178"/>
      <c r="IWC555" s="178"/>
      <c r="IWD555" s="178"/>
      <c r="IWE555" s="178"/>
      <c r="IWF555" s="178"/>
      <c r="IWG555" s="178"/>
      <c r="IWH555" s="178"/>
      <c r="IWI555" s="178"/>
      <c r="IWJ555" s="178"/>
      <c r="IWK555" s="178"/>
      <c r="IWL555" s="178"/>
      <c r="IWM555" s="178"/>
      <c r="IWN555" s="178"/>
      <c r="IWO555" s="178"/>
      <c r="IWP555" s="178"/>
      <c r="IWQ555" s="178"/>
      <c r="IWR555" s="178"/>
      <c r="IWS555" s="178"/>
      <c r="IWT555" s="178"/>
      <c r="IWU555" s="178"/>
      <c r="IWV555" s="178"/>
      <c r="IWW555" s="178"/>
      <c r="IWX555" s="178"/>
      <c r="IWY555" s="178"/>
      <c r="IWZ555" s="178"/>
      <c r="IXA555" s="178"/>
      <c r="IXB555" s="178"/>
      <c r="IXC555" s="178"/>
      <c r="IXD555" s="178"/>
      <c r="IXE555" s="178"/>
      <c r="IXF555" s="178"/>
      <c r="IXG555" s="178"/>
      <c r="IXH555" s="178"/>
      <c r="IXI555" s="178"/>
      <c r="IXJ555" s="178"/>
      <c r="IXK555" s="178"/>
      <c r="IXL555" s="178"/>
      <c r="IXM555" s="178"/>
      <c r="IXN555" s="178"/>
      <c r="IXO555" s="178"/>
      <c r="IXP555" s="178"/>
      <c r="IXQ555" s="178"/>
      <c r="IXR555" s="178"/>
      <c r="IXS555" s="178"/>
      <c r="IXT555" s="178"/>
      <c r="IXU555" s="178"/>
      <c r="IXV555" s="178"/>
      <c r="IXW555" s="178"/>
      <c r="IXX555" s="178"/>
      <c r="IXY555" s="178"/>
      <c r="IXZ555" s="178"/>
      <c r="IYA555" s="178"/>
      <c r="IYB555" s="178"/>
      <c r="IYC555" s="178"/>
      <c r="IYD555" s="178"/>
      <c r="IYE555" s="178"/>
      <c r="IYF555" s="178"/>
      <c r="IYG555" s="178"/>
      <c r="IYH555" s="178"/>
      <c r="IYI555" s="178"/>
      <c r="IYJ555" s="178"/>
      <c r="IYK555" s="178"/>
      <c r="IYL555" s="178"/>
      <c r="IYM555" s="178"/>
      <c r="IYN555" s="178"/>
      <c r="IYO555" s="178"/>
      <c r="IYP555" s="178"/>
      <c r="IYQ555" s="178"/>
      <c r="IYR555" s="178"/>
      <c r="IYS555" s="178"/>
      <c r="IYT555" s="178"/>
      <c r="IYU555" s="178"/>
      <c r="IYV555" s="178"/>
      <c r="IYW555" s="178"/>
      <c r="IYX555" s="178"/>
      <c r="IYY555" s="178"/>
      <c r="IYZ555" s="178"/>
      <c r="IZA555" s="178"/>
      <c r="IZB555" s="178"/>
      <c r="IZC555" s="178"/>
      <c r="IZD555" s="178"/>
      <c r="IZE555" s="178"/>
      <c r="IZF555" s="178"/>
      <c r="IZG555" s="178"/>
      <c r="IZH555" s="178"/>
      <c r="IZI555" s="178"/>
      <c r="IZJ555" s="178"/>
      <c r="IZK555" s="178"/>
      <c r="IZL555" s="178"/>
      <c r="IZM555" s="178"/>
      <c r="IZN555" s="178"/>
      <c r="IZO555" s="178"/>
      <c r="IZP555" s="178"/>
      <c r="IZQ555" s="178"/>
      <c r="IZR555" s="178"/>
      <c r="IZS555" s="178"/>
      <c r="IZT555" s="178"/>
      <c r="IZU555" s="178"/>
      <c r="IZV555" s="178"/>
      <c r="IZW555" s="178"/>
      <c r="IZX555" s="178"/>
      <c r="IZY555" s="178"/>
      <c r="IZZ555" s="178"/>
      <c r="JAA555" s="178"/>
      <c r="JAB555" s="178"/>
      <c r="JAC555" s="178"/>
      <c r="JAD555" s="178"/>
      <c r="JAE555" s="178"/>
      <c r="JAF555" s="178"/>
      <c r="JAG555" s="178"/>
      <c r="JAH555" s="178"/>
      <c r="JAI555" s="178"/>
      <c r="JAJ555" s="178"/>
      <c r="JAK555" s="178"/>
      <c r="JAL555" s="178"/>
      <c r="JAM555" s="178"/>
      <c r="JAN555" s="178"/>
      <c r="JAO555" s="178"/>
      <c r="JAP555" s="178"/>
      <c r="JAQ555" s="178"/>
      <c r="JAR555" s="178"/>
      <c r="JAS555" s="178"/>
      <c r="JAT555" s="178"/>
      <c r="JAU555" s="178"/>
      <c r="JAV555" s="178"/>
      <c r="JAW555" s="178"/>
      <c r="JAX555" s="178"/>
      <c r="JAY555" s="178"/>
      <c r="JAZ555" s="178"/>
      <c r="JBA555" s="178"/>
      <c r="JBB555" s="178"/>
      <c r="JBC555" s="178"/>
      <c r="JBD555" s="178"/>
      <c r="JBE555" s="178"/>
      <c r="JBF555" s="178"/>
      <c r="JBG555" s="178"/>
      <c r="JBH555" s="178"/>
      <c r="JBI555" s="178"/>
      <c r="JBJ555" s="178"/>
      <c r="JBK555" s="178"/>
      <c r="JBL555" s="178"/>
      <c r="JBM555" s="178"/>
      <c r="JBN555" s="178"/>
      <c r="JBO555" s="178"/>
      <c r="JBP555" s="178"/>
      <c r="JBQ555" s="178"/>
      <c r="JBR555" s="178"/>
      <c r="JBS555" s="178"/>
      <c r="JBT555" s="178"/>
      <c r="JBU555" s="178"/>
      <c r="JBV555" s="178"/>
      <c r="JBW555" s="178"/>
      <c r="JBX555" s="178"/>
      <c r="JBY555" s="178"/>
      <c r="JBZ555" s="178"/>
      <c r="JCA555" s="178"/>
      <c r="JCB555" s="178"/>
      <c r="JCC555" s="178"/>
      <c r="JCD555" s="178"/>
      <c r="JCE555" s="178"/>
      <c r="JCF555" s="178"/>
      <c r="JCG555" s="178"/>
      <c r="JCH555" s="178"/>
      <c r="JCI555" s="178"/>
      <c r="JCJ555" s="178"/>
      <c r="JCK555" s="178"/>
      <c r="JCL555" s="178"/>
      <c r="JCM555" s="178"/>
      <c r="JCN555" s="178"/>
      <c r="JCO555" s="178"/>
      <c r="JCP555" s="178"/>
      <c r="JCQ555" s="178"/>
      <c r="JCR555" s="178"/>
      <c r="JCS555" s="178"/>
      <c r="JCT555" s="178"/>
      <c r="JCU555" s="178"/>
      <c r="JCV555" s="178"/>
      <c r="JCW555" s="178"/>
      <c r="JCX555" s="178"/>
      <c r="JCY555" s="178"/>
      <c r="JCZ555" s="178"/>
      <c r="JDA555" s="178"/>
      <c r="JDB555" s="178"/>
      <c r="JDC555" s="178"/>
      <c r="JDD555" s="178"/>
      <c r="JDE555" s="178"/>
      <c r="JDF555" s="178"/>
      <c r="JDG555" s="178"/>
      <c r="JDH555" s="178"/>
      <c r="JDI555" s="178"/>
      <c r="JDJ555" s="178"/>
      <c r="JDK555" s="178"/>
      <c r="JDL555" s="178"/>
      <c r="JDM555" s="178"/>
      <c r="JDN555" s="178"/>
      <c r="JDO555" s="178"/>
      <c r="JDP555" s="178"/>
      <c r="JDQ555" s="178"/>
      <c r="JDR555" s="178"/>
      <c r="JDS555" s="178"/>
      <c r="JDT555" s="178"/>
      <c r="JDU555" s="178"/>
      <c r="JDV555" s="178"/>
      <c r="JDW555" s="178"/>
      <c r="JDX555" s="178"/>
      <c r="JDY555" s="178"/>
      <c r="JDZ555" s="178"/>
      <c r="JEA555" s="178"/>
      <c r="JEB555" s="178"/>
      <c r="JEC555" s="178"/>
      <c r="JED555" s="178"/>
      <c r="JEE555" s="178"/>
      <c r="JEF555" s="178"/>
      <c r="JEG555" s="178"/>
      <c r="JEH555" s="178"/>
      <c r="JEI555" s="178"/>
      <c r="JEJ555" s="178"/>
      <c r="JEK555" s="178"/>
      <c r="JEL555" s="178"/>
      <c r="JEM555" s="178"/>
      <c r="JEN555" s="178"/>
      <c r="JEO555" s="178"/>
      <c r="JEP555" s="178"/>
      <c r="JEQ555" s="178"/>
      <c r="JER555" s="178"/>
      <c r="JES555" s="178"/>
      <c r="JET555" s="178"/>
      <c r="JEU555" s="178"/>
      <c r="JEV555" s="178"/>
      <c r="JEW555" s="178"/>
      <c r="JEX555" s="178"/>
      <c r="JEY555" s="178"/>
      <c r="JEZ555" s="178"/>
      <c r="JFA555" s="178"/>
      <c r="JFB555" s="178"/>
      <c r="JFC555" s="178"/>
      <c r="JFD555" s="178"/>
      <c r="JFE555" s="178"/>
      <c r="JFF555" s="178"/>
      <c r="JFG555" s="178"/>
      <c r="JFH555" s="178"/>
      <c r="JFI555" s="178"/>
      <c r="JFJ555" s="178"/>
      <c r="JFK555" s="178"/>
      <c r="JFL555" s="178"/>
      <c r="JFM555" s="178"/>
      <c r="JFN555" s="178"/>
      <c r="JFO555" s="178"/>
      <c r="JFP555" s="178"/>
      <c r="JFQ555" s="178"/>
      <c r="JFR555" s="178"/>
      <c r="JFS555" s="178"/>
      <c r="JFT555" s="178"/>
      <c r="JFU555" s="178"/>
      <c r="JFV555" s="178"/>
      <c r="JFW555" s="178"/>
      <c r="JFX555" s="178"/>
      <c r="JFY555" s="178"/>
      <c r="JFZ555" s="178"/>
      <c r="JGA555" s="178"/>
      <c r="JGB555" s="178"/>
      <c r="JGC555" s="178"/>
      <c r="JGD555" s="178"/>
      <c r="JGE555" s="178"/>
      <c r="JGF555" s="178"/>
      <c r="JGG555" s="178"/>
      <c r="JGH555" s="178"/>
      <c r="JGI555" s="178"/>
      <c r="JGJ555" s="178"/>
      <c r="JGK555" s="178"/>
      <c r="JGL555" s="178"/>
      <c r="JGM555" s="178"/>
      <c r="JGN555" s="178"/>
      <c r="JGO555" s="178"/>
      <c r="JGP555" s="178"/>
      <c r="JGQ555" s="178"/>
      <c r="JGR555" s="178"/>
      <c r="JGS555" s="178"/>
      <c r="JGT555" s="178"/>
      <c r="JGU555" s="178"/>
      <c r="JGV555" s="178"/>
      <c r="JGW555" s="178"/>
      <c r="JGX555" s="178"/>
      <c r="JGY555" s="178"/>
      <c r="JGZ555" s="178"/>
      <c r="JHA555" s="178"/>
      <c r="JHB555" s="178"/>
      <c r="JHC555" s="178"/>
      <c r="JHD555" s="178"/>
      <c r="JHE555" s="178"/>
      <c r="JHF555" s="178"/>
      <c r="JHG555" s="178"/>
      <c r="JHH555" s="178"/>
      <c r="JHI555" s="178"/>
      <c r="JHJ555" s="178"/>
      <c r="JHK555" s="178"/>
      <c r="JHL555" s="178"/>
      <c r="JHM555" s="178"/>
      <c r="JHN555" s="178"/>
      <c r="JHO555" s="178"/>
      <c r="JHP555" s="178"/>
      <c r="JHQ555" s="178"/>
      <c r="JHR555" s="178"/>
      <c r="JHS555" s="178"/>
      <c r="JHT555" s="178"/>
      <c r="JHU555" s="178"/>
      <c r="JHV555" s="178"/>
      <c r="JHW555" s="178"/>
      <c r="JHX555" s="178"/>
      <c r="JHY555" s="178"/>
      <c r="JHZ555" s="178"/>
      <c r="JIA555" s="178"/>
      <c r="JIB555" s="178"/>
      <c r="JIC555" s="178"/>
      <c r="JID555" s="178"/>
      <c r="JIE555" s="178"/>
      <c r="JIF555" s="178"/>
      <c r="JIG555" s="178"/>
      <c r="JIH555" s="178"/>
      <c r="JII555" s="178"/>
      <c r="JIJ555" s="178"/>
      <c r="JIK555" s="178"/>
      <c r="JIL555" s="178"/>
      <c r="JIM555" s="178"/>
      <c r="JIN555" s="178"/>
      <c r="JIO555" s="178"/>
      <c r="JIP555" s="178"/>
      <c r="JIQ555" s="178"/>
      <c r="JIR555" s="178"/>
      <c r="JIS555" s="178"/>
      <c r="JIT555" s="178"/>
      <c r="JIU555" s="178"/>
      <c r="JIV555" s="178"/>
      <c r="JIW555" s="178"/>
      <c r="JIX555" s="178"/>
      <c r="JIY555" s="178"/>
      <c r="JIZ555" s="178"/>
      <c r="JJA555" s="178"/>
      <c r="JJB555" s="178"/>
      <c r="JJC555" s="178"/>
      <c r="JJD555" s="178"/>
      <c r="JJE555" s="178"/>
      <c r="JJF555" s="178"/>
      <c r="JJG555" s="178"/>
      <c r="JJH555" s="178"/>
      <c r="JJI555" s="178"/>
      <c r="JJJ555" s="178"/>
      <c r="JJK555" s="178"/>
      <c r="JJL555" s="178"/>
      <c r="JJM555" s="178"/>
      <c r="JJN555" s="178"/>
      <c r="JJO555" s="178"/>
      <c r="JJP555" s="178"/>
      <c r="JJQ555" s="178"/>
      <c r="JJR555" s="178"/>
      <c r="JJS555" s="178"/>
      <c r="JJT555" s="178"/>
      <c r="JJU555" s="178"/>
      <c r="JJV555" s="178"/>
      <c r="JJW555" s="178"/>
      <c r="JJX555" s="178"/>
      <c r="JJY555" s="178"/>
      <c r="JJZ555" s="178"/>
      <c r="JKA555" s="178"/>
      <c r="JKB555" s="178"/>
      <c r="JKC555" s="178"/>
      <c r="JKD555" s="178"/>
      <c r="JKE555" s="178"/>
      <c r="JKF555" s="178"/>
      <c r="JKG555" s="178"/>
      <c r="JKH555" s="178"/>
      <c r="JKI555" s="178"/>
      <c r="JKJ555" s="178"/>
      <c r="JKK555" s="178"/>
      <c r="JKL555" s="178"/>
      <c r="JKM555" s="178"/>
      <c r="JKN555" s="178"/>
      <c r="JKO555" s="178"/>
      <c r="JKP555" s="178"/>
      <c r="JKQ555" s="178"/>
      <c r="JKR555" s="178"/>
      <c r="JKS555" s="178"/>
      <c r="JKT555" s="178"/>
      <c r="JKU555" s="178"/>
      <c r="JKV555" s="178"/>
      <c r="JKW555" s="178"/>
      <c r="JKX555" s="178"/>
      <c r="JKY555" s="178"/>
      <c r="JKZ555" s="178"/>
      <c r="JLA555" s="178"/>
      <c r="JLB555" s="178"/>
      <c r="JLC555" s="178"/>
      <c r="JLD555" s="178"/>
      <c r="JLE555" s="178"/>
      <c r="JLF555" s="178"/>
      <c r="JLG555" s="178"/>
      <c r="JLH555" s="178"/>
      <c r="JLI555" s="178"/>
      <c r="JLJ555" s="178"/>
      <c r="JLK555" s="178"/>
      <c r="JLL555" s="178"/>
      <c r="JLM555" s="178"/>
      <c r="JLN555" s="178"/>
      <c r="JLO555" s="178"/>
      <c r="JLP555" s="178"/>
      <c r="JLQ555" s="178"/>
      <c r="JLR555" s="178"/>
      <c r="JLS555" s="178"/>
      <c r="JLT555" s="178"/>
      <c r="JLU555" s="178"/>
      <c r="JLV555" s="178"/>
      <c r="JLW555" s="178"/>
      <c r="JLX555" s="178"/>
      <c r="JLY555" s="178"/>
      <c r="JLZ555" s="178"/>
      <c r="JMA555" s="178"/>
      <c r="JMB555" s="178"/>
      <c r="JMC555" s="178"/>
      <c r="JMD555" s="178"/>
      <c r="JME555" s="178"/>
      <c r="JMF555" s="178"/>
      <c r="JMG555" s="178"/>
      <c r="JMH555" s="178"/>
      <c r="JMI555" s="178"/>
      <c r="JMJ555" s="178"/>
      <c r="JMK555" s="178"/>
      <c r="JML555" s="178"/>
      <c r="JMM555" s="178"/>
      <c r="JMN555" s="178"/>
      <c r="JMO555" s="178"/>
      <c r="JMP555" s="178"/>
      <c r="JMQ555" s="178"/>
      <c r="JMR555" s="178"/>
      <c r="JMS555" s="178"/>
      <c r="JMT555" s="178"/>
      <c r="JMU555" s="178"/>
      <c r="JMV555" s="178"/>
      <c r="JMW555" s="178"/>
      <c r="JMX555" s="178"/>
      <c r="JMY555" s="178"/>
      <c r="JMZ555" s="178"/>
      <c r="JNA555" s="178"/>
      <c r="JNB555" s="178"/>
      <c r="JNC555" s="178"/>
      <c r="JND555" s="178"/>
      <c r="JNE555" s="178"/>
      <c r="JNF555" s="178"/>
      <c r="JNG555" s="178"/>
      <c r="JNH555" s="178"/>
      <c r="JNI555" s="178"/>
      <c r="JNJ555" s="178"/>
      <c r="JNK555" s="178"/>
      <c r="JNL555" s="178"/>
      <c r="JNM555" s="178"/>
      <c r="JNN555" s="178"/>
      <c r="JNO555" s="178"/>
      <c r="JNP555" s="178"/>
      <c r="JNQ555" s="178"/>
      <c r="JNR555" s="178"/>
      <c r="JNS555" s="178"/>
      <c r="JNT555" s="178"/>
      <c r="JNU555" s="178"/>
      <c r="JNV555" s="178"/>
      <c r="JNW555" s="178"/>
      <c r="JNX555" s="178"/>
      <c r="JNY555" s="178"/>
      <c r="JNZ555" s="178"/>
      <c r="JOA555" s="178"/>
      <c r="JOB555" s="178"/>
      <c r="JOC555" s="178"/>
      <c r="JOD555" s="178"/>
      <c r="JOE555" s="178"/>
      <c r="JOF555" s="178"/>
      <c r="JOG555" s="178"/>
      <c r="JOH555" s="178"/>
      <c r="JOI555" s="178"/>
      <c r="JOJ555" s="178"/>
      <c r="JOK555" s="178"/>
      <c r="JOL555" s="178"/>
      <c r="JOM555" s="178"/>
      <c r="JON555" s="178"/>
      <c r="JOO555" s="178"/>
      <c r="JOP555" s="178"/>
      <c r="JOQ555" s="178"/>
      <c r="JOR555" s="178"/>
      <c r="JOS555" s="178"/>
      <c r="JOT555" s="178"/>
      <c r="JOU555" s="178"/>
      <c r="JOV555" s="178"/>
      <c r="JOW555" s="178"/>
      <c r="JOX555" s="178"/>
      <c r="JOY555" s="178"/>
      <c r="JOZ555" s="178"/>
      <c r="JPA555" s="178"/>
      <c r="JPB555" s="178"/>
      <c r="JPC555" s="178"/>
      <c r="JPD555" s="178"/>
      <c r="JPE555" s="178"/>
      <c r="JPF555" s="178"/>
      <c r="JPG555" s="178"/>
      <c r="JPH555" s="178"/>
      <c r="JPI555" s="178"/>
      <c r="JPJ555" s="178"/>
      <c r="JPK555" s="178"/>
      <c r="JPL555" s="178"/>
      <c r="JPM555" s="178"/>
      <c r="JPN555" s="178"/>
      <c r="JPO555" s="178"/>
      <c r="JPP555" s="178"/>
      <c r="JPQ555" s="178"/>
      <c r="JPR555" s="178"/>
      <c r="JPS555" s="178"/>
      <c r="JPT555" s="178"/>
      <c r="JPU555" s="178"/>
      <c r="JPV555" s="178"/>
      <c r="JPW555" s="178"/>
      <c r="JPX555" s="178"/>
      <c r="JPY555" s="178"/>
      <c r="JPZ555" s="178"/>
      <c r="JQA555" s="178"/>
      <c r="JQB555" s="178"/>
      <c r="JQC555" s="178"/>
      <c r="JQD555" s="178"/>
      <c r="JQE555" s="178"/>
      <c r="JQF555" s="178"/>
      <c r="JQG555" s="178"/>
      <c r="JQH555" s="178"/>
      <c r="JQI555" s="178"/>
      <c r="JQJ555" s="178"/>
      <c r="JQK555" s="178"/>
      <c r="JQL555" s="178"/>
      <c r="JQM555" s="178"/>
      <c r="JQN555" s="178"/>
      <c r="JQO555" s="178"/>
      <c r="JQP555" s="178"/>
      <c r="JQQ555" s="178"/>
      <c r="JQR555" s="178"/>
      <c r="JQS555" s="178"/>
      <c r="JQT555" s="178"/>
      <c r="JQU555" s="178"/>
      <c r="JQV555" s="178"/>
      <c r="JQW555" s="178"/>
      <c r="JQX555" s="178"/>
      <c r="JQY555" s="178"/>
      <c r="JQZ555" s="178"/>
      <c r="JRA555" s="178"/>
      <c r="JRB555" s="178"/>
      <c r="JRC555" s="178"/>
      <c r="JRD555" s="178"/>
      <c r="JRE555" s="178"/>
      <c r="JRF555" s="178"/>
      <c r="JRG555" s="178"/>
      <c r="JRH555" s="178"/>
      <c r="JRI555" s="178"/>
      <c r="JRJ555" s="178"/>
      <c r="JRK555" s="178"/>
      <c r="JRL555" s="178"/>
      <c r="JRM555" s="178"/>
      <c r="JRN555" s="178"/>
      <c r="JRO555" s="178"/>
      <c r="JRP555" s="178"/>
      <c r="JRQ555" s="178"/>
      <c r="JRR555" s="178"/>
      <c r="JRS555" s="178"/>
      <c r="JRT555" s="178"/>
      <c r="JRU555" s="178"/>
      <c r="JRV555" s="178"/>
      <c r="JRW555" s="178"/>
      <c r="JRX555" s="178"/>
      <c r="JRY555" s="178"/>
      <c r="JRZ555" s="178"/>
      <c r="JSA555" s="178"/>
      <c r="JSB555" s="178"/>
      <c r="JSC555" s="178"/>
      <c r="JSD555" s="178"/>
      <c r="JSE555" s="178"/>
      <c r="JSF555" s="178"/>
      <c r="JSG555" s="178"/>
      <c r="JSH555" s="178"/>
      <c r="JSI555" s="178"/>
      <c r="JSJ555" s="178"/>
      <c r="JSK555" s="178"/>
      <c r="JSL555" s="178"/>
      <c r="JSM555" s="178"/>
      <c r="JSN555" s="178"/>
      <c r="JSO555" s="178"/>
      <c r="JSP555" s="178"/>
      <c r="JSQ555" s="178"/>
      <c r="JSR555" s="178"/>
      <c r="JSS555" s="178"/>
      <c r="JST555" s="178"/>
      <c r="JSU555" s="178"/>
      <c r="JSV555" s="178"/>
      <c r="JSW555" s="178"/>
      <c r="JSX555" s="178"/>
      <c r="JSY555" s="178"/>
      <c r="JSZ555" s="178"/>
      <c r="JTA555" s="178"/>
      <c r="JTB555" s="178"/>
      <c r="JTC555" s="178"/>
      <c r="JTD555" s="178"/>
      <c r="JTE555" s="178"/>
      <c r="JTF555" s="178"/>
      <c r="JTG555" s="178"/>
      <c r="JTH555" s="178"/>
      <c r="JTI555" s="178"/>
      <c r="JTJ555" s="178"/>
      <c r="JTK555" s="178"/>
      <c r="JTL555" s="178"/>
      <c r="JTM555" s="178"/>
      <c r="JTN555" s="178"/>
      <c r="JTO555" s="178"/>
      <c r="JTP555" s="178"/>
      <c r="JTQ555" s="178"/>
      <c r="JTR555" s="178"/>
      <c r="JTS555" s="178"/>
      <c r="JTT555" s="178"/>
      <c r="JTU555" s="178"/>
      <c r="JTV555" s="178"/>
      <c r="JTW555" s="178"/>
      <c r="JTX555" s="178"/>
      <c r="JTY555" s="178"/>
      <c r="JTZ555" s="178"/>
      <c r="JUA555" s="178"/>
      <c r="JUB555" s="178"/>
      <c r="JUC555" s="178"/>
      <c r="JUD555" s="178"/>
      <c r="JUE555" s="178"/>
      <c r="JUF555" s="178"/>
      <c r="JUG555" s="178"/>
      <c r="JUH555" s="178"/>
      <c r="JUI555" s="178"/>
      <c r="JUJ555" s="178"/>
      <c r="JUK555" s="178"/>
      <c r="JUL555" s="178"/>
      <c r="JUM555" s="178"/>
      <c r="JUN555" s="178"/>
      <c r="JUO555" s="178"/>
      <c r="JUP555" s="178"/>
      <c r="JUQ555" s="178"/>
      <c r="JUR555" s="178"/>
      <c r="JUS555" s="178"/>
      <c r="JUT555" s="178"/>
      <c r="JUU555" s="178"/>
      <c r="JUV555" s="178"/>
      <c r="JUW555" s="178"/>
      <c r="JUX555" s="178"/>
      <c r="JUY555" s="178"/>
      <c r="JUZ555" s="178"/>
      <c r="JVA555" s="178"/>
      <c r="JVB555" s="178"/>
      <c r="JVC555" s="178"/>
      <c r="JVD555" s="178"/>
      <c r="JVE555" s="178"/>
      <c r="JVF555" s="178"/>
      <c r="JVG555" s="178"/>
      <c r="JVH555" s="178"/>
      <c r="JVI555" s="178"/>
      <c r="JVJ555" s="178"/>
      <c r="JVK555" s="178"/>
      <c r="JVL555" s="178"/>
      <c r="JVM555" s="178"/>
      <c r="JVN555" s="178"/>
      <c r="JVO555" s="178"/>
      <c r="JVP555" s="178"/>
      <c r="JVQ555" s="178"/>
      <c r="JVR555" s="178"/>
      <c r="JVS555" s="178"/>
      <c r="JVT555" s="178"/>
      <c r="JVU555" s="178"/>
      <c r="JVV555" s="178"/>
      <c r="JVW555" s="178"/>
      <c r="JVX555" s="178"/>
      <c r="JVY555" s="178"/>
      <c r="JVZ555" s="178"/>
      <c r="JWA555" s="178"/>
      <c r="JWB555" s="178"/>
      <c r="JWC555" s="178"/>
      <c r="JWD555" s="178"/>
      <c r="JWE555" s="178"/>
      <c r="JWF555" s="178"/>
      <c r="JWG555" s="178"/>
      <c r="JWH555" s="178"/>
      <c r="JWI555" s="178"/>
      <c r="JWJ555" s="178"/>
      <c r="JWK555" s="178"/>
      <c r="JWL555" s="178"/>
      <c r="JWM555" s="178"/>
      <c r="JWN555" s="178"/>
      <c r="JWO555" s="178"/>
      <c r="JWP555" s="178"/>
      <c r="JWQ555" s="178"/>
      <c r="JWR555" s="178"/>
      <c r="JWS555" s="178"/>
      <c r="JWT555" s="178"/>
      <c r="JWU555" s="178"/>
      <c r="JWV555" s="178"/>
      <c r="JWW555" s="178"/>
      <c r="JWX555" s="178"/>
      <c r="JWY555" s="178"/>
      <c r="JWZ555" s="178"/>
      <c r="JXA555" s="178"/>
      <c r="JXB555" s="178"/>
      <c r="JXC555" s="178"/>
      <c r="JXD555" s="178"/>
      <c r="JXE555" s="178"/>
      <c r="JXF555" s="178"/>
      <c r="JXG555" s="178"/>
      <c r="JXH555" s="178"/>
      <c r="JXI555" s="178"/>
      <c r="JXJ555" s="178"/>
      <c r="JXK555" s="178"/>
      <c r="JXL555" s="178"/>
      <c r="JXM555" s="178"/>
      <c r="JXN555" s="178"/>
      <c r="JXO555" s="178"/>
      <c r="JXP555" s="178"/>
      <c r="JXQ555" s="178"/>
      <c r="JXR555" s="178"/>
      <c r="JXS555" s="178"/>
      <c r="JXT555" s="178"/>
      <c r="JXU555" s="178"/>
      <c r="JXV555" s="178"/>
      <c r="JXW555" s="178"/>
      <c r="JXX555" s="178"/>
      <c r="JXY555" s="178"/>
      <c r="JXZ555" s="178"/>
      <c r="JYA555" s="178"/>
      <c r="JYB555" s="178"/>
      <c r="JYC555" s="178"/>
      <c r="JYD555" s="178"/>
      <c r="JYE555" s="178"/>
      <c r="JYF555" s="178"/>
      <c r="JYG555" s="178"/>
      <c r="JYH555" s="178"/>
      <c r="JYI555" s="178"/>
      <c r="JYJ555" s="178"/>
      <c r="JYK555" s="178"/>
      <c r="JYL555" s="178"/>
      <c r="JYM555" s="178"/>
      <c r="JYN555" s="178"/>
      <c r="JYO555" s="178"/>
      <c r="JYP555" s="178"/>
      <c r="JYQ555" s="178"/>
      <c r="JYR555" s="178"/>
      <c r="JYS555" s="178"/>
      <c r="JYT555" s="178"/>
      <c r="JYU555" s="178"/>
      <c r="JYV555" s="178"/>
      <c r="JYW555" s="178"/>
      <c r="JYX555" s="178"/>
      <c r="JYY555" s="178"/>
      <c r="JYZ555" s="178"/>
      <c r="JZA555" s="178"/>
      <c r="JZB555" s="178"/>
      <c r="JZC555" s="178"/>
      <c r="JZD555" s="178"/>
      <c r="JZE555" s="178"/>
      <c r="JZF555" s="178"/>
      <c r="JZG555" s="178"/>
      <c r="JZH555" s="178"/>
      <c r="JZI555" s="178"/>
      <c r="JZJ555" s="178"/>
      <c r="JZK555" s="178"/>
      <c r="JZL555" s="178"/>
      <c r="JZM555" s="178"/>
      <c r="JZN555" s="178"/>
      <c r="JZO555" s="178"/>
      <c r="JZP555" s="178"/>
      <c r="JZQ555" s="178"/>
      <c r="JZR555" s="178"/>
      <c r="JZS555" s="178"/>
      <c r="JZT555" s="178"/>
      <c r="JZU555" s="178"/>
      <c r="JZV555" s="178"/>
      <c r="JZW555" s="178"/>
      <c r="JZX555" s="178"/>
      <c r="JZY555" s="178"/>
      <c r="JZZ555" s="178"/>
      <c r="KAA555" s="178"/>
      <c r="KAB555" s="178"/>
      <c r="KAC555" s="178"/>
      <c r="KAD555" s="178"/>
      <c r="KAE555" s="178"/>
      <c r="KAF555" s="178"/>
      <c r="KAG555" s="178"/>
      <c r="KAH555" s="178"/>
      <c r="KAI555" s="178"/>
      <c r="KAJ555" s="178"/>
      <c r="KAK555" s="178"/>
      <c r="KAL555" s="178"/>
      <c r="KAM555" s="178"/>
      <c r="KAN555" s="178"/>
      <c r="KAO555" s="178"/>
      <c r="KAP555" s="178"/>
      <c r="KAQ555" s="178"/>
      <c r="KAR555" s="178"/>
      <c r="KAS555" s="178"/>
      <c r="KAT555" s="178"/>
      <c r="KAU555" s="178"/>
      <c r="KAV555" s="178"/>
      <c r="KAW555" s="178"/>
      <c r="KAX555" s="178"/>
      <c r="KAY555" s="178"/>
      <c r="KAZ555" s="178"/>
      <c r="KBA555" s="178"/>
      <c r="KBB555" s="178"/>
      <c r="KBC555" s="178"/>
      <c r="KBD555" s="178"/>
      <c r="KBE555" s="178"/>
      <c r="KBF555" s="178"/>
      <c r="KBG555" s="178"/>
      <c r="KBH555" s="178"/>
      <c r="KBI555" s="178"/>
      <c r="KBJ555" s="178"/>
      <c r="KBK555" s="178"/>
      <c r="KBL555" s="178"/>
      <c r="KBM555" s="178"/>
      <c r="KBN555" s="178"/>
      <c r="KBO555" s="178"/>
      <c r="KBP555" s="178"/>
      <c r="KBQ555" s="178"/>
      <c r="KBR555" s="178"/>
      <c r="KBS555" s="178"/>
      <c r="KBT555" s="178"/>
      <c r="KBU555" s="178"/>
      <c r="KBV555" s="178"/>
      <c r="KBW555" s="178"/>
      <c r="KBX555" s="178"/>
      <c r="KBY555" s="178"/>
      <c r="KBZ555" s="178"/>
      <c r="KCA555" s="178"/>
      <c r="KCB555" s="178"/>
      <c r="KCC555" s="178"/>
      <c r="KCD555" s="178"/>
      <c r="KCE555" s="178"/>
      <c r="KCF555" s="178"/>
      <c r="KCG555" s="178"/>
      <c r="KCH555" s="178"/>
      <c r="KCI555" s="178"/>
      <c r="KCJ555" s="178"/>
      <c r="KCK555" s="178"/>
      <c r="KCL555" s="178"/>
      <c r="KCM555" s="178"/>
      <c r="KCN555" s="178"/>
      <c r="KCO555" s="178"/>
      <c r="KCP555" s="178"/>
      <c r="KCQ555" s="178"/>
      <c r="KCR555" s="178"/>
      <c r="KCS555" s="178"/>
      <c r="KCT555" s="178"/>
      <c r="KCU555" s="178"/>
      <c r="KCV555" s="178"/>
      <c r="KCW555" s="178"/>
      <c r="KCX555" s="178"/>
      <c r="KCY555" s="178"/>
      <c r="KCZ555" s="178"/>
      <c r="KDA555" s="178"/>
      <c r="KDB555" s="178"/>
      <c r="KDC555" s="178"/>
      <c r="KDD555" s="178"/>
      <c r="KDE555" s="178"/>
      <c r="KDF555" s="178"/>
      <c r="KDG555" s="178"/>
      <c r="KDH555" s="178"/>
      <c r="KDI555" s="178"/>
      <c r="KDJ555" s="178"/>
      <c r="KDK555" s="178"/>
      <c r="KDL555" s="178"/>
      <c r="KDM555" s="178"/>
      <c r="KDN555" s="178"/>
      <c r="KDO555" s="178"/>
      <c r="KDP555" s="178"/>
      <c r="KDQ555" s="178"/>
      <c r="KDR555" s="178"/>
      <c r="KDS555" s="178"/>
      <c r="KDT555" s="178"/>
      <c r="KDU555" s="178"/>
      <c r="KDV555" s="178"/>
      <c r="KDW555" s="178"/>
      <c r="KDX555" s="178"/>
      <c r="KDY555" s="178"/>
      <c r="KDZ555" s="178"/>
      <c r="KEA555" s="178"/>
      <c r="KEB555" s="178"/>
      <c r="KEC555" s="178"/>
      <c r="KED555" s="178"/>
      <c r="KEE555" s="178"/>
      <c r="KEF555" s="178"/>
      <c r="KEG555" s="178"/>
      <c r="KEH555" s="178"/>
      <c r="KEI555" s="178"/>
      <c r="KEJ555" s="178"/>
      <c r="KEK555" s="178"/>
      <c r="KEL555" s="178"/>
      <c r="KEM555" s="178"/>
      <c r="KEN555" s="178"/>
      <c r="KEO555" s="178"/>
      <c r="KEP555" s="178"/>
      <c r="KEQ555" s="178"/>
      <c r="KER555" s="178"/>
      <c r="KES555" s="178"/>
      <c r="KET555" s="178"/>
      <c r="KEU555" s="178"/>
      <c r="KEV555" s="178"/>
      <c r="KEW555" s="178"/>
      <c r="KEX555" s="178"/>
      <c r="KEY555" s="178"/>
      <c r="KEZ555" s="178"/>
      <c r="KFA555" s="178"/>
      <c r="KFB555" s="178"/>
      <c r="KFC555" s="178"/>
      <c r="KFD555" s="178"/>
      <c r="KFE555" s="178"/>
      <c r="KFF555" s="178"/>
      <c r="KFG555" s="178"/>
      <c r="KFH555" s="178"/>
      <c r="KFI555" s="178"/>
      <c r="KFJ555" s="178"/>
      <c r="KFK555" s="178"/>
      <c r="KFL555" s="178"/>
      <c r="KFM555" s="178"/>
      <c r="KFN555" s="178"/>
      <c r="KFO555" s="178"/>
      <c r="KFP555" s="178"/>
      <c r="KFQ555" s="178"/>
      <c r="KFR555" s="178"/>
      <c r="KFS555" s="178"/>
      <c r="KFT555" s="178"/>
      <c r="KFU555" s="178"/>
      <c r="KFV555" s="178"/>
      <c r="KFW555" s="178"/>
      <c r="KFX555" s="178"/>
      <c r="KFY555" s="178"/>
      <c r="KFZ555" s="178"/>
      <c r="KGA555" s="178"/>
      <c r="KGB555" s="178"/>
      <c r="KGC555" s="178"/>
      <c r="KGD555" s="178"/>
      <c r="KGE555" s="178"/>
      <c r="KGF555" s="178"/>
      <c r="KGG555" s="178"/>
      <c r="KGH555" s="178"/>
      <c r="KGI555" s="178"/>
      <c r="KGJ555" s="178"/>
      <c r="KGK555" s="178"/>
      <c r="KGL555" s="178"/>
      <c r="KGM555" s="178"/>
      <c r="KGN555" s="178"/>
      <c r="KGO555" s="178"/>
      <c r="KGP555" s="178"/>
      <c r="KGQ555" s="178"/>
      <c r="KGR555" s="178"/>
      <c r="KGS555" s="178"/>
      <c r="KGT555" s="178"/>
      <c r="KGU555" s="178"/>
      <c r="KGV555" s="178"/>
      <c r="KGW555" s="178"/>
      <c r="KGX555" s="178"/>
      <c r="KGY555" s="178"/>
      <c r="KGZ555" s="178"/>
      <c r="KHA555" s="178"/>
      <c r="KHB555" s="178"/>
      <c r="KHC555" s="178"/>
      <c r="KHD555" s="178"/>
      <c r="KHE555" s="178"/>
      <c r="KHF555" s="178"/>
      <c r="KHG555" s="178"/>
      <c r="KHH555" s="178"/>
      <c r="KHI555" s="178"/>
      <c r="KHJ555" s="178"/>
      <c r="KHK555" s="178"/>
      <c r="KHL555" s="178"/>
      <c r="KHM555" s="178"/>
      <c r="KHN555" s="178"/>
      <c r="KHO555" s="178"/>
      <c r="KHP555" s="178"/>
      <c r="KHQ555" s="178"/>
      <c r="KHR555" s="178"/>
      <c r="KHS555" s="178"/>
      <c r="KHT555" s="178"/>
      <c r="KHU555" s="178"/>
      <c r="KHV555" s="178"/>
      <c r="KHW555" s="178"/>
      <c r="KHX555" s="178"/>
      <c r="KHY555" s="178"/>
      <c r="KHZ555" s="178"/>
      <c r="KIA555" s="178"/>
      <c r="KIB555" s="178"/>
      <c r="KIC555" s="178"/>
      <c r="KID555" s="178"/>
      <c r="KIE555" s="178"/>
      <c r="KIF555" s="178"/>
      <c r="KIG555" s="178"/>
      <c r="KIH555" s="178"/>
      <c r="KII555" s="178"/>
      <c r="KIJ555" s="178"/>
      <c r="KIK555" s="178"/>
      <c r="KIL555" s="178"/>
      <c r="KIM555" s="178"/>
      <c r="KIN555" s="178"/>
      <c r="KIO555" s="178"/>
      <c r="KIP555" s="178"/>
      <c r="KIQ555" s="178"/>
      <c r="KIR555" s="178"/>
      <c r="KIS555" s="178"/>
      <c r="KIT555" s="178"/>
      <c r="KIU555" s="178"/>
      <c r="KIV555" s="178"/>
      <c r="KIW555" s="178"/>
      <c r="KIX555" s="178"/>
      <c r="KIY555" s="178"/>
      <c r="KIZ555" s="178"/>
      <c r="KJA555" s="178"/>
      <c r="KJB555" s="178"/>
      <c r="KJC555" s="178"/>
      <c r="KJD555" s="178"/>
      <c r="KJE555" s="178"/>
      <c r="KJF555" s="178"/>
      <c r="KJG555" s="178"/>
      <c r="KJH555" s="178"/>
      <c r="KJI555" s="178"/>
      <c r="KJJ555" s="178"/>
      <c r="KJK555" s="178"/>
      <c r="KJL555" s="178"/>
      <c r="KJM555" s="178"/>
      <c r="KJN555" s="178"/>
      <c r="KJO555" s="178"/>
      <c r="KJP555" s="178"/>
      <c r="KJQ555" s="178"/>
      <c r="KJR555" s="178"/>
      <c r="KJS555" s="178"/>
      <c r="KJT555" s="178"/>
      <c r="KJU555" s="178"/>
      <c r="KJV555" s="178"/>
      <c r="KJW555" s="178"/>
      <c r="KJX555" s="178"/>
      <c r="KJY555" s="178"/>
      <c r="KJZ555" s="178"/>
      <c r="KKA555" s="178"/>
      <c r="KKB555" s="178"/>
      <c r="KKC555" s="178"/>
      <c r="KKD555" s="178"/>
      <c r="KKE555" s="178"/>
      <c r="KKF555" s="178"/>
      <c r="KKG555" s="178"/>
      <c r="KKH555" s="178"/>
      <c r="KKI555" s="178"/>
      <c r="KKJ555" s="178"/>
      <c r="KKK555" s="178"/>
      <c r="KKL555" s="178"/>
      <c r="KKM555" s="178"/>
      <c r="KKN555" s="178"/>
      <c r="KKO555" s="178"/>
      <c r="KKP555" s="178"/>
      <c r="KKQ555" s="178"/>
      <c r="KKR555" s="178"/>
      <c r="KKS555" s="178"/>
      <c r="KKT555" s="178"/>
      <c r="KKU555" s="178"/>
      <c r="KKV555" s="178"/>
      <c r="KKW555" s="178"/>
      <c r="KKX555" s="178"/>
      <c r="KKY555" s="178"/>
      <c r="KKZ555" s="178"/>
      <c r="KLA555" s="178"/>
      <c r="KLB555" s="178"/>
      <c r="KLC555" s="178"/>
      <c r="KLD555" s="178"/>
      <c r="KLE555" s="178"/>
      <c r="KLF555" s="178"/>
      <c r="KLG555" s="178"/>
      <c r="KLH555" s="178"/>
      <c r="KLI555" s="178"/>
      <c r="KLJ555" s="178"/>
      <c r="KLK555" s="178"/>
      <c r="KLL555" s="178"/>
      <c r="KLM555" s="178"/>
      <c r="KLN555" s="178"/>
      <c r="KLO555" s="178"/>
      <c r="KLP555" s="178"/>
      <c r="KLQ555" s="178"/>
      <c r="KLR555" s="178"/>
      <c r="KLS555" s="178"/>
      <c r="KLT555" s="178"/>
      <c r="KLU555" s="178"/>
      <c r="KLV555" s="178"/>
      <c r="KLW555" s="178"/>
      <c r="KLX555" s="178"/>
      <c r="KLY555" s="178"/>
      <c r="KLZ555" s="178"/>
      <c r="KMA555" s="178"/>
      <c r="KMB555" s="178"/>
      <c r="KMC555" s="178"/>
      <c r="KMD555" s="178"/>
      <c r="KME555" s="178"/>
      <c r="KMF555" s="178"/>
      <c r="KMG555" s="178"/>
      <c r="KMH555" s="178"/>
      <c r="KMI555" s="178"/>
      <c r="KMJ555" s="178"/>
      <c r="KMK555" s="178"/>
      <c r="KML555" s="178"/>
      <c r="KMM555" s="178"/>
      <c r="KMN555" s="178"/>
      <c r="KMO555" s="178"/>
      <c r="KMP555" s="178"/>
      <c r="KMQ555" s="178"/>
      <c r="KMR555" s="178"/>
      <c r="KMS555" s="178"/>
      <c r="KMT555" s="178"/>
      <c r="KMU555" s="178"/>
      <c r="KMV555" s="178"/>
      <c r="KMW555" s="178"/>
      <c r="KMX555" s="178"/>
      <c r="KMY555" s="178"/>
      <c r="KMZ555" s="178"/>
      <c r="KNA555" s="178"/>
      <c r="KNB555" s="178"/>
      <c r="KNC555" s="178"/>
      <c r="KND555" s="178"/>
      <c r="KNE555" s="178"/>
      <c r="KNF555" s="178"/>
      <c r="KNG555" s="178"/>
      <c r="KNH555" s="178"/>
      <c r="KNI555" s="178"/>
      <c r="KNJ555" s="178"/>
      <c r="KNK555" s="178"/>
      <c r="KNL555" s="178"/>
      <c r="KNM555" s="178"/>
      <c r="KNN555" s="178"/>
      <c r="KNO555" s="178"/>
      <c r="KNP555" s="178"/>
      <c r="KNQ555" s="178"/>
      <c r="KNR555" s="178"/>
      <c r="KNS555" s="178"/>
      <c r="KNT555" s="178"/>
      <c r="KNU555" s="178"/>
      <c r="KNV555" s="178"/>
      <c r="KNW555" s="178"/>
      <c r="KNX555" s="178"/>
      <c r="KNY555" s="178"/>
      <c r="KNZ555" s="178"/>
      <c r="KOA555" s="178"/>
      <c r="KOB555" s="178"/>
      <c r="KOC555" s="178"/>
      <c r="KOD555" s="178"/>
      <c r="KOE555" s="178"/>
      <c r="KOF555" s="178"/>
      <c r="KOG555" s="178"/>
      <c r="KOH555" s="178"/>
      <c r="KOI555" s="178"/>
      <c r="KOJ555" s="178"/>
      <c r="KOK555" s="178"/>
      <c r="KOL555" s="178"/>
      <c r="KOM555" s="178"/>
      <c r="KON555" s="178"/>
      <c r="KOO555" s="178"/>
      <c r="KOP555" s="178"/>
      <c r="KOQ555" s="178"/>
      <c r="KOR555" s="178"/>
      <c r="KOS555" s="178"/>
      <c r="KOT555" s="178"/>
      <c r="KOU555" s="178"/>
      <c r="KOV555" s="178"/>
      <c r="KOW555" s="178"/>
      <c r="KOX555" s="178"/>
      <c r="KOY555" s="178"/>
      <c r="KOZ555" s="178"/>
      <c r="KPA555" s="178"/>
      <c r="KPB555" s="178"/>
      <c r="KPC555" s="178"/>
      <c r="KPD555" s="178"/>
      <c r="KPE555" s="178"/>
      <c r="KPF555" s="178"/>
      <c r="KPG555" s="178"/>
      <c r="KPH555" s="178"/>
      <c r="KPI555" s="178"/>
      <c r="KPJ555" s="178"/>
      <c r="KPK555" s="178"/>
      <c r="KPL555" s="178"/>
      <c r="KPM555" s="178"/>
      <c r="KPN555" s="178"/>
      <c r="KPO555" s="178"/>
      <c r="KPP555" s="178"/>
      <c r="KPQ555" s="178"/>
      <c r="KPR555" s="178"/>
      <c r="KPS555" s="178"/>
      <c r="KPT555" s="178"/>
      <c r="KPU555" s="178"/>
      <c r="KPV555" s="178"/>
      <c r="KPW555" s="178"/>
      <c r="KPX555" s="178"/>
      <c r="KPY555" s="178"/>
      <c r="KPZ555" s="178"/>
      <c r="KQA555" s="178"/>
      <c r="KQB555" s="178"/>
      <c r="KQC555" s="178"/>
      <c r="KQD555" s="178"/>
      <c r="KQE555" s="178"/>
      <c r="KQF555" s="178"/>
      <c r="KQG555" s="178"/>
      <c r="KQH555" s="178"/>
      <c r="KQI555" s="178"/>
      <c r="KQJ555" s="178"/>
      <c r="KQK555" s="178"/>
      <c r="KQL555" s="178"/>
      <c r="KQM555" s="178"/>
      <c r="KQN555" s="178"/>
      <c r="KQO555" s="178"/>
      <c r="KQP555" s="178"/>
      <c r="KQQ555" s="178"/>
      <c r="KQR555" s="178"/>
      <c r="KQS555" s="178"/>
      <c r="KQT555" s="178"/>
      <c r="KQU555" s="178"/>
      <c r="KQV555" s="178"/>
      <c r="KQW555" s="178"/>
      <c r="KQX555" s="178"/>
      <c r="KQY555" s="178"/>
      <c r="KQZ555" s="178"/>
      <c r="KRA555" s="178"/>
      <c r="KRB555" s="178"/>
      <c r="KRC555" s="178"/>
      <c r="KRD555" s="178"/>
      <c r="KRE555" s="178"/>
      <c r="KRF555" s="178"/>
      <c r="KRG555" s="178"/>
      <c r="KRH555" s="178"/>
      <c r="KRI555" s="178"/>
      <c r="KRJ555" s="178"/>
      <c r="KRK555" s="178"/>
      <c r="KRL555" s="178"/>
      <c r="KRM555" s="178"/>
      <c r="KRN555" s="178"/>
      <c r="KRO555" s="178"/>
      <c r="KRP555" s="178"/>
      <c r="KRQ555" s="178"/>
      <c r="KRR555" s="178"/>
      <c r="KRS555" s="178"/>
      <c r="KRT555" s="178"/>
      <c r="KRU555" s="178"/>
      <c r="KRV555" s="178"/>
      <c r="KRW555" s="178"/>
      <c r="KRX555" s="178"/>
      <c r="KRY555" s="178"/>
      <c r="KRZ555" s="178"/>
      <c r="KSA555" s="178"/>
      <c r="KSB555" s="178"/>
      <c r="KSC555" s="178"/>
      <c r="KSD555" s="178"/>
      <c r="KSE555" s="178"/>
      <c r="KSF555" s="178"/>
      <c r="KSG555" s="178"/>
      <c r="KSH555" s="178"/>
      <c r="KSI555" s="178"/>
      <c r="KSJ555" s="178"/>
      <c r="KSK555" s="178"/>
      <c r="KSL555" s="178"/>
      <c r="KSM555" s="178"/>
      <c r="KSN555" s="178"/>
      <c r="KSO555" s="178"/>
      <c r="KSP555" s="178"/>
      <c r="KSQ555" s="178"/>
      <c r="KSR555" s="178"/>
      <c r="KSS555" s="178"/>
      <c r="KST555" s="178"/>
      <c r="KSU555" s="178"/>
      <c r="KSV555" s="178"/>
      <c r="KSW555" s="178"/>
      <c r="KSX555" s="178"/>
      <c r="KSY555" s="178"/>
      <c r="KSZ555" s="178"/>
      <c r="KTA555" s="178"/>
      <c r="KTB555" s="178"/>
      <c r="KTC555" s="178"/>
      <c r="KTD555" s="178"/>
      <c r="KTE555" s="178"/>
      <c r="KTF555" s="178"/>
      <c r="KTG555" s="178"/>
      <c r="KTH555" s="178"/>
      <c r="KTI555" s="178"/>
      <c r="KTJ555" s="178"/>
      <c r="KTK555" s="178"/>
      <c r="KTL555" s="178"/>
      <c r="KTM555" s="178"/>
      <c r="KTN555" s="178"/>
      <c r="KTO555" s="178"/>
      <c r="KTP555" s="178"/>
      <c r="KTQ555" s="178"/>
      <c r="KTR555" s="178"/>
      <c r="KTS555" s="178"/>
      <c r="KTT555" s="178"/>
      <c r="KTU555" s="178"/>
      <c r="KTV555" s="178"/>
      <c r="KTW555" s="178"/>
      <c r="KTX555" s="178"/>
      <c r="KTY555" s="178"/>
      <c r="KTZ555" s="178"/>
      <c r="KUA555" s="178"/>
      <c r="KUB555" s="178"/>
      <c r="KUC555" s="178"/>
      <c r="KUD555" s="178"/>
      <c r="KUE555" s="178"/>
      <c r="KUF555" s="178"/>
      <c r="KUG555" s="178"/>
      <c r="KUH555" s="178"/>
      <c r="KUI555" s="178"/>
      <c r="KUJ555" s="178"/>
      <c r="KUK555" s="178"/>
      <c r="KUL555" s="178"/>
      <c r="KUM555" s="178"/>
      <c r="KUN555" s="178"/>
      <c r="KUO555" s="178"/>
      <c r="KUP555" s="178"/>
      <c r="KUQ555" s="178"/>
      <c r="KUR555" s="178"/>
      <c r="KUS555" s="178"/>
      <c r="KUT555" s="178"/>
      <c r="KUU555" s="178"/>
      <c r="KUV555" s="178"/>
      <c r="KUW555" s="178"/>
      <c r="KUX555" s="178"/>
      <c r="KUY555" s="178"/>
      <c r="KUZ555" s="178"/>
      <c r="KVA555" s="178"/>
      <c r="KVB555" s="178"/>
      <c r="KVC555" s="178"/>
      <c r="KVD555" s="178"/>
      <c r="KVE555" s="178"/>
      <c r="KVF555" s="178"/>
      <c r="KVG555" s="178"/>
      <c r="KVH555" s="178"/>
      <c r="KVI555" s="178"/>
      <c r="KVJ555" s="178"/>
      <c r="KVK555" s="178"/>
      <c r="KVL555" s="178"/>
      <c r="KVM555" s="178"/>
      <c r="KVN555" s="178"/>
      <c r="KVO555" s="178"/>
      <c r="KVP555" s="178"/>
      <c r="KVQ555" s="178"/>
      <c r="KVR555" s="178"/>
      <c r="KVS555" s="178"/>
      <c r="KVT555" s="178"/>
      <c r="KVU555" s="178"/>
      <c r="KVV555" s="178"/>
      <c r="KVW555" s="178"/>
      <c r="KVX555" s="178"/>
      <c r="KVY555" s="178"/>
      <c r="KVZ555" s="178"/>
      <c r="KWA555" s="178"/>
      <c r="KWB555" s="178"/>
      <c r="KWC555" s="178"/>
      <c r="KWD555" s="178"/>
      <c r="KWE555" s="178"/>
      <c r="KWF555" s="178"/>
      <c r="KWG555" s="178"/>
      <c r="KWH555" s="178"/>
      <c r="KWI555" s="178"/>
      <c r="KWJ555" s="178"/>
      <c r="KWK555" s="178"/>
      <c r="KWL555" s="178"/>
      <c r="KWM555" s="178"/>
      <c r="KWN555" s="178"/>
      <c r="KWO555" s="178"/>
      <c r="KWP555" s="178"/>
      <c r="KWQ555" s="178"/>
      <c r="KWR555" s="178"/>
      <c r="KWS555" s="178"/>
      <c r="KWT555" s="178"/>
      <c r="KWU555" s="178"/>
      <c r="KWV555" s="178"/>
      <c r="KWW555" s="178"/>
      <c r="KWX555" s="178"/>
      <c r="KWY555" s="178"/>
      <c r="KWZ555" s="178"/>
      <c r="KXA555" s="178"/>
      <c r="KXB555" s="178"/>
      <c r="KXC555" s="178"/>
      <c r="KXD555" s="178"/>
      <c r="KXE555" s="178"/>
      <c r="KXF555" s="178"/>
      <c r="KXG555" s="178"/>
      <c r="KXH555" s="178"/>
      <c r="KXI555" s="178"/>
      <c r="KXJ555" s="178"/>
      <c r="KXK555" s="178"/>
      <c r="KXL555" s="178"/>
      <c r="KXM555" s="178"/>
      <c r="KXN555" s="178"/>
      <c r="KXO555" s="178"/>
      <c r="KXP555" s="178"/>
      <c r="KXQ555" s="178"/>
      <c r="KXR555" s="178"/>
      <c r="KXS555" s="178"/>
      <c r="KXT555" s="178"/>
      <c r="KXU555" s="178"/>
      <c r="KXV555" s="178"/>
      <c r="KXW555" s="178"/>
      <c r="KXX555" s="178"/>
      <c r="KXY555" s="178"/>
      <c r="KXZ555" s="178"/>
      <c r="KYA555" s="178"/>
      <c r="KYB555" s="178"/>
      <c r="KYC555" s="178"/>
      <c r="KYD555" s="178"/>
      <c r="KYE555" s="178"/>
      <c r="KYF555" s="178"/>
      <c r="KYG555" s="178"/>
      <c r="KYH555" s="178"/>
      <c r="KYI555" s="178"/>
      <c r="KYJ555" s="178"/>
      <c r="KYK555" s="178"/>
      <c r="KYL555" s="178"/>
      <c r="KYM555" s="178"/>
      <c r="KYN555" s="178"/>
      <c r="KYO555" s="178"/>
      <c r="KYP555" s="178"/>
      <c r="KYQ555" s="178"/>
      <c r="KYR555" s="178"/>
      <c r="KYS555" s="178"/>
      <c r="KYT555" s="178"/>
      <c r="KYU555" s="178"/>
      <c r="KYV555" s="178"/>
      <c r="KYW555" s="178"/>
      <c r="KYX555" s="178"/>
      <c r="KYY555" s="178"/>
      <c r="KYZ555" s="178"/>
      <c r="KZA555" s="178"/>
      <c r="KZB555" s="178"/>
      <c r="KZC555" s="178"/>
      <c r="KZD555" s="178"/>
      <c r="KZE555" s="178"/>
      <c r="KZF555" s="178"/>
      <c r="KZG555" s="178"/>
      <c r="KZH555" s="178"/>
      <c r="KZI555" s="178"/>
      <c r="KZJ555" s="178"/>
      <c r="KZK555" s="178"/>
      <c r="KZL555" s="178"/>
      <c r="KZM555" s="178"/>
      <c r="KZN555" s="178"/>
      <c r="KZO555" s="178"/>
      <c r="KZP555" s="178"/>
      <c r="KZQ555" s="178"/>
      <c r="KZR555" s="178"/>
      <c r="KZS555" s="178"/>
      <c r="KZT555" s="178"/>
      <c r="KZU555" s="178"/>
      <c r="KZV555" s="178"/>
      <c r="KZW555" s="178"/>
      <c r="KZX555" s="178"/>
      <c r="KZY555" s="178"/>
      <c r="KZZ555" s="178"/>
      <c r="LAA555" s="178"/>
      <c r="LAB555" s="178"/>
      <c r="LAC555" s="178"/>
      <c r="LAD555" s="178"/>
      <c r="LAE555" s="178"/>
      <c r="LAF555" s="178"/>
      <c r="LAG555" s="178"/>
      <c r="LAH555" s="178"/>
      <c r="LAI555" s="178"/>
      <c r="LAJ555" s="178"/>
      <c r="LAK555" s="178"/>
      <c r="LAL555" s="178"/>
      <c r="LAM555" s="178"/>
      <c r="LAN555" s="178"/>
      <c r="LAO555" s="178"/>
      <c r="LAP555" s="178"/>
      <c r="LAQ555" s="178"/>
      <c r="LAR555" s="178"/>
      <c r="LAS555" s="178"/>
      <c r="LAT555" s="178"/>
      <c r="LAU555" s="178"/>
      <c r="LAV555" s="178"/>
      <c r="LAW555" s="178"/>
      <c r="LAX555" s="178"/>
      <c r="LAY555" s="178"/>
      <c r="LAZ555" s="178"/>
      <c r="LBA555" s="178"/>
      <c r="LBB555" s="178"/>
      <c r="LBC555" s="178"/>
      <c r="LBD555" s="178"/>
      <c r="LBE555" s="178"/>
      <c r="LBF555" s="178"/>
      <c r="LBG555" s="178"/>
      <c r="LBH555" s="178"/>
      <c r="LBI555" s="178"/>
      <c r="LBJ555" s="178"/>
      <c r="LBK555" s="178"/>
      <c r="LBL555" s="178"/>
      <c r="LBM555" s="178"/>
      <c r="LBN555" s="178"/>
      <c r="LBO555" s="178"/>
      <c r="LBP555" s="178"/>
      <c r="LBQ555" s="178"/>
      <c r="LBR555" s="178"/>
      <c r="LBS555" s="178"/>
      <c r="LBT555" s="178"/>
      <c r="LBU555" s="178"/>
      <c r="LBV555" s="178"/>
      <c r="LBW555" s="178"/>
      <c r="LBX555" s="178"/>
      <c r="LBY555" s="178"/>
      <c r="LBZ555" s="178"/>
      <c r="LCA555" s="178"/>
      <c r="LCB555" s="178"/>
      <c r="LCC555" s="178"/>
      <c r="LCD555" s="178"/>
      <c r="LCE555" s="178"/>
      <c r="LCF555" s="178"/>
      <c r="LCG555" s="178"/>
      <c r="LCH555" s="178"/>
      <c r="LCI555" s="178"/>
      <c r="LCJ555" s="178"/>
      <c r="LCK555" s="178"/>
      <c r="LCL555" s="178"/>
      <c r="LCM555" s="178"/>
      <c r="LCN555" s="178"/>
      <c r="LCO555" s="178"/>
      <c r="LCP555" s="178"/>
      <c r="LCQ555" s="178"/>
      <c r="LCR555" s="178"/>
      <c r="LCS555" s="178"/>
      <c r="LCT555" s="178"/>
      <c r="LCU555" s="178"/>
      <c r="LCV555" s="178"/>
      <c r="LCW555" s="178"/>
      <c r="LCX555" s="178"/>
      <c r="LCY555" s="178"/>
      <c r="LCZ555" s="178"/>
      <c r="LDA555" s="178"/>
      <c r="LDB555" s="178"/>
      <c r="LDC555" s="178"/>
      <c r="LDD555" s="178"/>
      <c r="LDE555" s="178"/>
      <c r="LDF555" s="178"/>
      <c r="LDG555" s="178"/>
      <c r="LDH555" s="178"/>
      <c r="LDI555" s="178"/>
      <c r="LDJ555" s="178"/>
      <c r="LDK555" s="178"/>
      <c r="LDL555" s="178"/>
      <c r="LDM555" s="178"/>
      <c r="LDN555" s="178"/>
      <c r="LDO555" s="178"/>
      <c r="LDP555" s="178"/>
      <c r="LDQ555" s="178"/>
      <c r="LDR555" s="178"/>
      <c r="LDS555" s="178"/>
      <c r="LDT555" s="178"/>
      <c r="LDU555" s="178"/>
      <c r="LDV555" s="178"/>
      <c r="LDW555" s="178"/>
      <c r="LDX555" s="178"/>
      <c r="LDY555" s="178"/>
      <c r="LDZ555" s="178"/>
      <c r="LEA555" s="178"/>
      <c r="LEB555" s="178"/>
      <c r="LEC555" s="178"/>
      <c r="LED555" s="178"/>
      <c r="LEE555" s="178"/>
      <c r="LEF555" s="178"/>
      <c r="LEG555" s="178"/>
      <c r="LEH555" s="178"/>
      <c r="LEI555" s="178"/>
      <c r="LEJ555" s="178"/>
      <c r="LEK555" s="178"/>
      <c r="LEL555" s="178"/>
      <c r="LEM555" s="178"/>
      <c r="LEN555" s="178"/>
      <c r="LEO555" s="178"/>
      <c r="LEP555" s="178"/>
      <c r="LEQ555" s="178"/>
      <c r="LER555" s="178"/>
      <c r="LES555" s="178"/>
      <c r="LET555" s="178"/>
      <c r="LEU555" s="178"/>
      <c r="LEV555" s="178"/>
      <c r="LEW555" s="178"/>
      <c r="LEX555" s="178"/>
      <c r="LEY555" s="178"/>
      <c r="LEZ555" s="178"/>
      <c r="LFA555" s="178"/>
      <c r="LFB555" s="178"/>
      <c r="LFC555" s="178"/>
      <c r="LFD555" s="178"/>
      <c r="LFE555" s="178"/>
      <c r="LFF555" s="178"/>
      <c r="LFG555" s="178"/>
      <c r="LFH555" s="178"/>
      <c r="LFI555" s="178"/>
      <c r="LFJ555" s="178"/>
      <c r="LFK555" s="178"/>
      <c r="LFL555" s="178"/>
      <c r="LFM555" s="178"/>
      <c r="LFN555" s="178"/>
      <c r="LFO555" s="178"/>
      <c r="LFP555" s="178"/>
      <c r="LFQ555" s="178"/>
      <c r="LFR555" s="178"/>
      <c r="LFS555" s="178"/>
      <c r="LFT555" s="178"/>
      <c r="LFU555" s="178"/>
      <c r="LFV555" s="178"/>
      <c r="LFW555" s="178"/>
      <c r="LFX555" s="178"/>
      <c r="LFY555" s="178"/>
      <c r="LFZ555" s="178"/>
      <c r="LGA555" s="178"/>
      <c r="LGB555" s="178"/>
      <c r="LGC555" s="178"/>
      <c r="LGD555" s="178"/>
      <c r="LGE555" s="178"/>
      <c r="LGF555" s="178"/>
      <c r="LGG555" s="178"/>
      <c r="LGH555" s="178"/>
      <c r="LGI555" s="178"/>
      <c r="LGJ555" s="178"/>
      <c r="LGK555" s="178"/>
      <c r="LGL555" s="178"/>
      <c r="LGM555" s="178"/>
      <c r="LGN555" s="178"/>
      <c r="LGO555" s="178"/>
      <c r="LGP555" s="178"/>
      <c r="LGQ555" s="178"/>
      <c r="LGR555" s="178"/>
      <c r="LGS555" s="178"/>
      <c r="LGT555" s="178"/>
      <c r="LGU555" s="178"/>
      <c r="LGV555" s="178"/>
      <c r="LGW555" s="178"/>
      <c r="LGX555" s="178"/>
      <c r="LGY555" s="178"/>
      <c r="LGZ555" s="178"/>
      <c r="LHA555" s="178"/>
      <c r="LHB555" s="178"/>
      <c r="LHC555" s="178"/>
      <c r="LHD555" s="178"/>
      <c r="LHE555" s="178"/>
      <c r="LHF555" s="178"/>
      <c r="LHG555" s="178"/>
      <c r="LHH555" s="178"/>
      <c r="LHI555" s="178"/>
      <c r="LHJ555" s="178"/>
      <c r="LHK555" s="178"/>
      <c r="LHL555" s="178"/>
      <c r="LHM555" s="178"/>
      <c r="LHN555" s="178"/>
      <c r="LHO555" s="178"/>
      <c r="LHP555" s="178"/>
      <c r="LHQ555" s="178"/>
      <c r="LHR555" s="178"/>
      <c r="LHS555" s="178"/>
      <c r="LHT555" s="178"/>
      <c r="LHU555" s="178"/>
      <c r="LHV555" s="178"/>
      <c r="LHW555" s="178"/>
      <c r="LHX555" s="178"/>
      <c r="LHY555" s="178"/>
      <c r="LHZ555" s="178"/>
      <c r="LIA555" s="178"/>
      <c r="LIB555" s="178"/>
      <c r="LIC555" s="178"/>
      <c r="LID555" s="178"/>
      <c r="LIE555" s="178"/>
      <c r="LIF555" s="178"/>
      <c r="LIG555" s="178"/>
      <c r="LIH555" s="178"/>
      <c r="LII555" s="178"/>
      <c r="LIJ555" s="178"/>
      <c r="LIK555" s="178"/>
      <c r="LIL555" s="178"/>
      <c r="LIM555" s="178"/>
      <c r="LIN555" s="178"/>
      <c r="LIO555" s="178"/>
      <c r="LIP555" s="178"/>
      <c r="LIQ555" s="178"/>
      <c r="LIR555" s="178"/>
      <c r="LIS555" s="178"/>
      <c r="LIT555" s="178"/>
      <c r="LIU555" s="178"/>
      <c r="LIV555" s="178"/>
      <c r="LIW555" s="178"/>
      <c r="LIX555" s="178"/>
      <c r="LIY555" s="178"/>
      <c r="LIZ555" s="178"/>
      <c r="LJA555" s="178"/>
      <c r="LJB555" s="178"/>
      <c r="LJC555" s="178"/>
      <c r="LJD555" s="178"/>
      <c r="LJE555" s="178"/>
      <c r="LJF555" s="178"/>
      <c r="LJG555" s="178"/>
      <c r="LJH555" s="178"/>
      <c r="LJI555" s="178"/>
      <c r="LJJ555" s="178"/>
      <c r="LJK555" s="178"/>
      <c r="LJL555" s="178"/>
      <c r="LJM555" s="178"/>
      <c r="LJN555" s="178"/>
      <c r="LJO555" s="178"/>
      <c r="LJP555" s="178"/>
      <c r="LJQ555" s="178"/>
      <c r="LJR555" s="178"/>
      <c r="LJS555" s="178"/>
      <c r="LJT555" s="178"/>
      <c r="LJU555" s="178"/>
      <c r="LJV555" s="178"/>
      <c r="LJW555" s="178"/>
      <c r="LJX555" s="178"/>
      <c r="LJY555" s="178"/>
      <c r="LJZ555" s="178"/>
      <c r="LKA555" s="178"/>
      <c r="LKB555" s="178"/>
      <c r="LKC555" s="178"/>
      <c r="LKD555" s="178"/>
      <c r="LKE555" s="178"/>
      <c r="LKF555" s="178"/>
      <c r="LKG555" s="178"/>
      <c r="LKH555" s="178"/>
      <c r="LKI555" s="178"/>
      <c r="LKJ555" s="178"/>
      <c r="LKK555" s="178"/>
      <c r="LKL555" s="178"/>
      <c r="LKM555" s="178"/>
      <c r="LKN555" s="178"/>
      <c r="LKO555" s="178"/>
      <c r="LKP555" s="178"/>
      <c r="LKQ555" s="178"/>
      <c r="LKR555" s="178"/>
      <c r="LKS555" s="178"/>
      <c r="LKT555" s="178"/>
      <c r="LKU555" s="178"/>
      <c r="LKV555" s="178"/>
      <c r="LKW555" s="178"/>
      <c r="LKX555" s="178"/>
      <c r="LKY555" s="178"/>
      <c r="LKZ555" s="178"/>
      <c r="LLA555" s="178"/>
      <c r="LLB555" s="178"/>
      <c r="LLC555" s="178"/>
      <c r="LLD555" s="178"/>
      <c r="LLE555" s="178"/>
      <c r="LLF555" s="178"/>
      <c r="LLG555" s="178"/>
      <c r="LLH555" s="178"/>
      <c r="LLI555" s="178"/>
      <c r="LLJ555" s="178"/>
      <c r="LLK555" s="178"/>
      <c r="LLL555" s="178"/>
      <c r="LLM555" s="178"/>
      <c r="LLN555" s="178"/>
      <c r="LLO555" s="178"/>
      <c r="LLP555" s="178"/>
      <c r="LLQ555" s="178"/>
      <c r="LLR555" s="178"/>
      <c r="LLS555" s="178"/>
      <c r="LLT555" s="178"/>
      <c r="LLU555" s="178"/>
      <c r="LLV555" s="178"/>
      <c r="LLW555" s="178"/>
      <c r="LLX555" s="178"/>
      <c r="LLY555" s="178"/>
      <c r="LLZ555" s="178"/>
      <c r="LMA555" s="178"/>
      <c r="LMB555" s="178"/>
      <c r="LMC555" s="178"/>
      <c r="LMD555" s="178"/>
      <c r="LME555" s="178"/>
      <c r="LMF555" s="178"/>
      <c r="LMG555" s="178"/>
      <c r="LMH555" s="178"/>
      <c r="LMI555" s="178"/>
      <c r="LMJ555" s="178"/>
      <c r="LMK555" s="178"/>
      <c r="LML555" s="178"/>
      <c r="LMM555" s="178"/>
      <c r="LMN555" s="178"/>
      <c r="LMO555" s="178"/>
      <c r="LMP555" s="178"/>
      <c r="LMQ555" s="178"/>
      <c r="LMR555" s="178"/>
      <c r="LMS555" s="178"/>
      <c r="LMT555" s="178"/>
      <c r="LMU555" s="178"/>
      <c r="LMV555" s="178"/>
      <c r="LMW555" s="178"/>
      <c r="LMX555" s="178"/>
      <c r="LMY555" s="178"/>
      <c r="LMZ555" s="178"/>
      <c r="LNA555" s="178"/>
      <c r="LNB555" s="178"/>
      <c r="LNC555" s="178"/>
      <c r="LND555" s="178"/>
      <c r="LNE555" s="178"/>
      <c r="LNF555" s="178"/>
      <c r="LNG555" s="178"/>
      <c r="LNH555" s="178"/>
      <c r="LNI555" s="178"/>
      <c r="LNJ555" s="178"/>
      <c r="LNK555" s="178"/>
      <c r="LNL555" s="178"/>
      <c r="LNM555" s="178"/>
      <c r="LNN555" s="178"/>
      <c r="LNO555" s="178"/>
      <c r="LNP555" s="178"/>
      <c r="LNQ555" s="178"/>
      <c r="LNR555" s="178"/>
      <c r="LNS555" s="178"/>
      <c r="LNT555" s="178"/>
      <c r="LNU555" s="178"/>
      <c r="LNV555" s="178"/>
      <c r="LNW555" s="178"/>
      <c r="LNX555" s="178"/>
      <c r="LNY555" s="178"/>
      <c r="LNZ555" s="178"/>
      <c r="LOA555" s="178"/>
      <c r="LOB555" s="178"/>
      <c r="LOC555" s="178"/>
      <c r="LOD555" s="178"/>
      <c r="LOE555" s="178"/>
      <c r="LOF555" s="178"/>
      <c r="LOG555" s="178"/>
      <c r="LOH555" s="178"/>
      <c r="LOI555" s="178"/>
      <c r="LOJ555" s="178"/>
      <c r="LOK555" s="178"/>
      <c r="LOL555" s="178"/>
      <c r="LOM555" s="178"/>
      <c r="LON555" s="178"/>
      <c r="LOO555" s="178"/>
      <c r="LOP555" s="178"/>
      <c r="LOQ555" s="178"/>
      <c r="LOR555" s="178"/>
      <c r="LOS555" s="178"/>
      <c r="LOT555" s="178"/>
      <c r="LOU555" s="178"/>
      <c r="LOV555" s="178"/>
      <c r="LOW555" s="178"/>
      <c r="LOX555" s="178"/>
      <c r="LOY555" s="178"/>
      <c r="LOZ555" s="178"/>
      <c r="LPA555" s="178"/>
      <c r="LPB555" s="178"/>
      <c r="LPC555" s="178"/>
      <c r="LPD555" s="178"/>
      <c r="LPE555" s="178"/>
      <c r="LPF555" s="178"/>
      <c r="LPG555" s="178"/>
      <c r="LPH555" s="178"/>
      <c r="LPI555" s="178"/>
      <c r="LPJ555" s="178"/>
      <c r="LPK555" s="178"/>
      <c r="LPL555" s="178"/>
      <c r="LPM555" s="178"/>
      <c r="LPN555" s="178"/>
      <c r="LPO555" s="178"/>
      <c r="LPP555" s="178"/>
      <c r="LPQ555" s="178"/>
      <c r="LPR555" s="178"/>
      <c r="LPS555" s="178"/>
      <c r="LPT555" s="178"/>
      <c r="LPU555" s="178"/>
      <c r="LPV555" s="178"/>
      <c r="LPW555" s="178"/>
      <c r="LPX555" s="178"/>
      <c r="LPY555" s="178"/>
      <c r="LPZ555" s="178"/>
      <c r="LQA555" s="178"/>
      <c r="LQB555" s="178"/>
      <c r="LQC555" s="178"/>
      <c r="LQD555" s="178"/>
      <c r="LQE555" s="178"/>
      <c r="LQF555" s="178"/>
      <c r="LQG555" s="178"/>
      <c r="LQH555" s="178"/>
      <c r="LQI555" s="178"/>
      <c r="LQJ555" s="178"/>
      <c r="LQK555" s="178"/>
      <c r="LQL555" s="178"/>
      <c r="LQM555" s="178"/>
      <c r="LQN555" s="178"/>
      <c r="LQO555" s="178"/>
      <c r="LQP555" s="178"/>
      <c r="LQQ555" s="178"/>
      <c r="LQR555" s="178"/>
      <c r="LQS555" s="178"/>
      <c r="LQT555" s="178"/>
      <c r="LQU555" s="178"/>
      <c r="LQV555" s="178"/>
      <c r="LQW555" s="178"/>
      <c r="LQX555" s="178"/>
      <c r="LQY555" s="178"/>
      <c r="LQZ555" s="178"/>
      <c r="LRA555" s="178"/>
      <c r="LRB555" s="178"/>
      <c r="LRC555" s="178"/>
      <c r="LRD555" s="178"/>
      <c r="LRE555" s="178"/>
      <c r="LRF555" s="178"/>
      <c r="LRG555" s="178"/>
      <c r="LRH555" s="178"/>
      <c r="LRI555" s="178"/>
      <c r="LRJ555" s="178"/>
      <c r="LRK555" s="178"/>
      <c r="LRL555" s="178"/>
      <c r="LRM555" s="178"/>
      <c r="LRN555" s="178"/>
      <c r="LRO555" s="178"/>
      <c r="LRP555" s="178"/>
      <c r="LRQ555" s="178"/>
      <c r="LRR555" s="178"/>
      <c r="LRS555" s="178"/>
      <c r="LRT555" s="178"/>
      <c r="LRU555" s="178"/>
      <c r="LRV555" s="178"/>
      <c r="LRW555" s="178"/>
      <c r="LRX555" s="178"/>
      <c r="LRY555" s="178"/>
      <c r="LRZ555" s="178"/>
      <c r="LSA555" s="178"/>
      <c r="LSB555" s="178"/>
      <c r="LSC555" s="178"/>
      <c r="LSD555" s="178"/>
      <c r="LSE555" s="178"/>
      <c r="LSF555" s="178"/>
      <c r="LSG555" s="178"/>
      <c r="LSH555" s="178"/>
      <c r="LSI555" s="178"/>
      <c r="LSJ555" s="178"/>
      <c r="LSK555" s="178"/>
      <c r="LSL555" s="178"/>
      <c r="LSM555" s="178"/>
      <c r="LSN555" s="178"/>
      <c r="LSO555" s="178"/>
      <c r="LSP555" s="178"/>
      <c r="LSQ555" s="178"/>
      <c r="LSR555" s="178"/>
      <c r="LSS555" s="178"/>
      <c r="LST555" s="178"/>
      <c r="LSU555" s="178"/>
      <c r="LSV555" s="178"/>
      <c r="LSW555" s="178"/>
      <c r="LSX555" s="178"/>
      <c r="LSY555" s="178"/>
      <c r="LSZ555" s="178"/>
      <c r="LTA555" s="178"/>
      <c r="LTB555" s="178"/>
      <c r="LTC555" s="178"/>
      <c r="LTD555" s="178"/>
      <c r="LTE555" s="178"/>
      <c r="LTF555" s="178"/>
      <c r="LTG555" s="178"/>
      <c r="LTH555" s="178"/>
      <c r="LTI555" s="178"/>
      <c r="LTJ555" s="178"/>
      <c r="LTK555" s="178"/>
      <c r="LTL555" s="178"/>
      <c r="LTM555" s="178"/>
      <c r="LTN555" s="178"/>
      <c r="LTO555" s="178"/>
      <c r="LTP555" s="178"/>
      <c r="LTQ555" s="178"/>
      <c r="LTR555" s="178"/>
      <c r="LTS555" s="178"/>
      <c r="LTT555" s="178"/>
      <c r="LTU555" s="178"/>
      <c r="LTV555" s="178"/>
      <c r="LTW555" s="178"/>
      <c r="LTX555" s="178"/>
      <c r="LTY555" s="178"/>
      <c r="LTZ555" s="178"/>
      <c r="LUA555" s="178"/>
      <c r="LUB555" s="178"/>
      <c r="LUC555" s="178"/>
      <c r="LUD555" s="178"/>
      <c r="LUE555" s="178"/>
      <c r="LUF555" s="178"/>
      <c r="LUG555" s="178"/>
      <c r="LUH555" s="178"/>
      <c r="LUI555" s="178"/>
      <c r="LUJ555" s="178"/>
      <c r="LUK555" s="178"/>
      <c r="LUL555" s="178"/>
      <c r="LUM555" s="178"/>
      <c r="LUN555" s="178"/>
      <c r="LUO555" s="178"/>
      <c r="LUP555" s="178"/>
      <c r="LUQ555" s="178"/>
      <c r="LUR555" s="178"/>
      <c r="LUS555" s="178"/>
      <c r="LUT555" s="178"/>
      <c r="LUU555" s="178"/>
      <c r="LUV555" s="178"/>
      <c r="LUW555" s="178"/>
      <c r="LUX555" s="178"/>
      <c r="LUY555" s="178"/>
      <c r="LUZ555" s="178"/>
      <c r="LVA555" s="178"/>
      <c r="LVB555" s="178"/>
      <c r="LVC555" s="178"/>
      <c r="LVD555" s="178"/>
      <c r="LVE555" s="178"/>
      <c r="LVF555" s="178"/>
      <c r="LVG555" s="178"/>
      <c r="LVH555" s="178"/>
      <c r="LVI555" s="178"/>
      <c r="LVJ555" s="178"/>
      <c r="LVK555" s="178"/>
      <c r="LVL555" s="178"/>
      <c r="LVM555" s="178"/>
      <c r="LVN555" s="178"/>
      <c r="LVO555" s="178"/>
      <c r="LVP555" s="178"/>
      <c r="LVQ555" s="178"/>
      <c r="LVR555" s="178"/>
      <c r="LVS555" s="178"/>
      <c r="LVT555" s="178"/>
      <c r="LVU555" s="178"/>
      <c r="LVV555" s="178"/>
      <c r="LVW555" s="178"/>
      <c r="LVX555" s="178"/>
      <c r="LVY555" s="178"/>
      <c r="LVZ555" s="178"/>
      <c r="LWA555" s="178"/>
      <c r="LWB555" s="178"/>
      <c r="LWC555" s="178"/>
      <c r="LWD555" s="178"/>
      <c r="LWE555" s="178"/>
      <c r="LWF555" s="178"/>
      <c r="LWG555" s="178"/>
      <c r="LWH555" s="178"/>
      <c r="LWI555" s="178"/>
      <c r="LWJ555" s="178"/>
      <c r="LWK555" s="178"/>
      <c r="LWL555" s="178"/>
      <c r="LWM555" s="178"/>
      <c r="LWN555" s="178"/>
      <c r="LWO555" s="178"/>
      <c r="LWP555" s="178"/>
      <c r="LWQ555" s="178"/>
      <c r="LWR555" s="178"/>
      <c r="LWS555" s="178"/>
      <c r="LWT555" s="178"/>
      <c r="LWU555" s="178"/>
      <c r="LWV555" s="178"/>
      <c r="LWW555" s="178"/>
      <c r="LWX555" s="178"/>
      <c r="LWY555" s="178"/>
      <c r="LWZ555" s="178"/>
      <c r="LXA555" s="178"/>
      <c r="LXB555" s="178"/>
      <c r="LXC555" s="178"/>
      <c r="LXD555" s="178"/>
      <c r="LXE555" s="178"/>
      <c r="LXF555" s="178"/>
      <c r="LXG555" s="178"/>
      <c r="LXH555" s="178"/>
      <c r="LXI555" s="178"/>
      <c r="LXJ555" s="178"/>
      <c r="LXK555" s="178"/>
      <c r="LXL555" s="178"/>
      <c r="LXM555" s="178"/>
      <c r="LXN555" s="178"/>
      <c r="LXO555" s="178"/>
      <c r="LXP555" s="178"/>
      <c r="LXQ555" s="178"/>
      <c r="LXR555" s="178"/>
      <c r="LXS555" s="178"/>
      <c r="LXT555" s="178"/>
      <c r="LXU555" s="178"/>
      <c r="LXV555" s="178"/>
      <c r="LXW555" s="178"/>
      <c r="LXX555" s="178"/>
      <c r="LXY555" s="178"/>
      <c r="LXZ555" s="178"/>
      <c r="LYA555" s="178"/>
      <c r="LYB555" s="178"/>
      <c r="LYC555" s="178"/>
      <c r="LYD555" s="178"/>
      <c r="LYE555" s="178"/>
      <c r="LYF555" s="178"/>
      <c r="LYG555" s="178"/>
      <c r="LYH555" s="178"/>
      <c r="LYI555" s="178"/>
      <c r="LYJ555" s="178"/>
      <c r="LYK555" s="178"/>
      <c r="LYL555" s="178"/>
      <c r="LYM555" s="178"/>
      <c r="LYN555" s="178"/>
      <c r="LYO555" s="178"/>
      <c r="LYP555" s="178"/>
      <c r="LYQ555" s="178"/>
      <c r="LYR555" s="178"/>
      <c r="LYS555" s="178"/>
      <c r="LYT555" s="178"/>
      <c r="LYU555" s="178"/>
      <c r="LYV555" s="178"/>
      <c r="LYW555" s="178"/>
      <c r="LYX555" s="178"/>
      <c r="LYY555" s="178"/>
      <c r="LYZ555" s="178"/>
      <c r="LZA555" s="178"/>
      <c r="LZB555" s="178"/>
      <c r="LZC555" s="178"/>
      <c r="LZD555" s="178"/>
      <c r="LZE555" s="178"/>
      <c r="LZF555" s="178"/>
      <c r="LZG555" s="178"/>
      <c r="LZH555" s="178"/>
      <c r="LZI555" s="178"/>
      <c r="LZJ555" s="178"/>
      <c r="LZK555" s="178"/>
      <c r="LZL555" s="178"/>
      <c r="LZM555" s="178"/>
      <c r="LZN555" s="178"/>
      <c r="LZO555" s="178"/>
      <c r="LZP555" s="178"/>
      <c r="LZQ555" s="178"/>
      <c r="LZR555" s="178"/>
      <c r="LZS555" s="178"/>
      <c r="LZT555" s="178"/>
      <c r="LZU555" s="178"/>
      <c r="LZV555" s="178"/>
      <c r="LZW555" s="178"/>
      <c r="LZX555" s="178"/>
      <c r="LZY555" s="178"/>
      <c r="LZZ555" s="178"/>
      <c r="MAA555" s="178"/>
      <c r="MAB555" s="178"/>
      <c r="MAC555" s="178"/>
      <c r="MAD555" s="178"/>
      <c r="MAE555" s="178"/>
      <c r="MAF555" s="178"/>
      <c r="MAG555" s="178"/>
      <c r="MAH555" s="178"/>
      <c r="MAI555" s="178"/>
      <c r="MAJ555" s="178"/>
      <c r="MAK555" s="178"/>
      <c r="MAL555" s="178"/>
      <c r="MAM555" s="178"/>
      <c r="MAN555" s="178"/>
      <c r="MAO555" s="178"/>
      <c r="MAP555" s="178"/>
      <c r="MAQ555" s="178"/>
      <c r="MAR555" s="178"/>
      <c r="MAS555" s="178"/>
      <c r="MAT555" s="178"/>
      <c r="MAU555" s="178"/>
      <c r="MAV555" s="178"/>
      <c r="MAW555" s="178"/>
      <c r="MAX555" s="178"/>
      <c r="MAY555" s="178"/>
      <c r="MAZ555" s="178"/>
      <c r="MBA555" s="178"/>
      <c r="MBB555" s="178"/>
      <c r="MBC555" s="178"/>
      <c r="MBD555" s="178"/>
      <c r="MBE555" s="178"/>
      <c r="MBF555" s="178"/>
      <c r="MBG555" s="178"/>
      <c r="MBH555" s="178"/>
      <c r="MBI555" s="178"/>
      <c r="MBJ555" s="178"/>
      <c r="MBK555" s="178"/>
      <c r="MBL555" s="178"/>
      <c r="MBM555" s="178"/>
      <c r="MBN555" s="178"/>
      <c r="MBO555" s="178"/>
      <c r="MBP555" s="178"/>
      <c r="MBQ555" s="178"/>
      <c r="MBR555" s="178"/>
      <c r="MBS555" s="178"/>
      <c r="MBT555" s="178"/>
      <c r="MBU555" s="178"/>
      <c r="MBV555" s="178"/>
      <c r="MBW555" s="178"/>
      <c r="MBX555" s="178"/>
      <c r="MBY555" s="178"/>
      <c r="MBZ555" s="178"/>
      <c r="MCA555" s="178"/>
      <c r="MCB555" s="178"/>
      <c r="MCC555" s="178"/>
      <c r="MCD555" s="178"/>
      <c r="MCE555" s="178"/>
      <c r="MCF555" s="178"/>
      <c r="MCG555" s="178"/>
      <c r="MCH555" s="178"/>
      <c r="MCI555" s="178"/>
      <c r="MCJ555" s="178"/>
      <c r="MCK555" s="178"/>
      <c r="MCL555" s="178"/>
      <c r="MCM555" s="178"/>
      <c r="MCN555" s="178"/>
      <c r="MCO555" s="178"/>
      <c r="MCP555" s="178"/>
      <c r="MCQ555" s="178"/>
      <c r="MCR555" s="178"/>
      <c r="MCS555" s="178"/>
      <c r="MCT555" s="178"/>
      <c r="MCU555" s="178"/>
      <c r="MCV555" s="178"/>
      <c r="MCW555" s="178"/>
      <c r="MCX555" s="178"/>
      <c r="MCY555" s="178"/>
      <c r="MCZ555" s="178"/>
      <c r="MDA555" s="178"/>
      <c r="MDB555" s="178"/>
      <c r="MDC555" s="178"/>
      <c r="MDD555" s="178"/>
      <c r="MDE555" s="178"/>
      <c r="MDF555" s="178"/>
      <c r="MDG555" s="178"/>
      <c r="MDH555" s="178"/>
      <c r="MDI555" s="178"/>
      <c r="MDJ555" s="178"/>
      <c r="MDK555" s="178"/>
      <c r="MDL555" s="178"/>
      <c r="MDM555" s="178"/>
      <c r="MDN555" s="178"/>
      <c r="MDO555" s="178"/>
      <c r="MDP555" s="178"/>
      <c r="MDQ555" s="178"/>
      <c r="MDR555" s="178"/>
      <c r="MDS555" s="178"/>
      <c r="MDT555" s="178"/>
      <c r="MDU555" s="178"/>
      <c r="MDV555" s="178"/>
      <c r="MDW555" s="178"/>
      <c r="MDX555" s="178"/>
      <c r="MDY555" s="178"/>
      <c r="MDZ555" s="178"/>
      <c r="MEA555" s="178"/>
      <c r="MEB555" s="178"/>
      <c r="MEC555" s="178"/>
      <c r="MED555" s="178"/>
      <c r="MEE555" s="178"/>
      <c r="MEF555" s="178"/>
      <c r="MEG555" s="178"/>
      <c r="MEH555" s="178"/>
      <c r="MEI555" s="178"/>
      <c r="MEJ555" s="178"/>
      <c r="MEK555" s="178"/>
      <c r="MEL555" s="178"/>
      <c r="MEM555" s="178"/>
      <c r="MEN555" s="178"/>
      <c r="MEO555" s="178"/>
      <c r="MEP555" s="178"/>
      <c r="MEQ555" s="178"/>
      <c r="MER555" s="178"/>
      <c r="MES555" s="178"/>
      <c r="MET555" s="178"/>
      <c r="MEU555" s="178"/>
      <c r="MEV555" s="178"/>
      <c r="MEW555" s="178"/>
      <c r="MEX555" s="178"/>
      <c r="MEY555" s="178"/>
      <c r="MEZ555" s="178"/>
      <c r="MFA555" s="178"/>
      <c r="MFB555" s="178"/>
      <c r="MFC555" s="178"/>
      <c r="MFD555" s="178"/>
      <c r="MFE555" s="178"/>
      <c r="MFF555" s="178"/>
      <c r="MFG555" s="178"/>
      <c r="MFH555" s="178"/>
      <c r="MFI555" s="178"/>
      <c r="MFJ555" s="178"/>
      <c r="MFK555" s="178"/>
      <c r="MFL555" s="178"/>
      <c r="MFM555" s="178"/>
      <c r="MFN555" s="178"/>
      <c r="MFO555" s="178"/>
      <c r="MFP555" s="178"/>
      <c r="MFQ555" s="178"/>
      <c r="MFR555" s="178"/>
      <c r="MFS555" s="178"/>
      <c r="MFT555" s="178"/>
      <c r="MFU555" s="178"/>
      <c r="MFV555" s="178"/>
      <c r="MFW555" s="178"/>
      <c r="MFX555" s="178"/>
      <c r="MFY555" s="178"/>
      <c r="MFZ555" s="178"/>
      <c r="MGA555" s="178"/>
      <c r="MGB555" s="178"/>
      <c r="MGC555" s="178"/>
      <c r="MGD555" s="178"/>
      <c r="MGE555" s="178"/>
      <c r="MGF555" s="178"/>
      <c r="MGG555" s="178"/>
      <c r="MGH555" s="178"/>
      <c r="MGI555" s="178"/>
      <c r="MGJ555" s="178"/>
      <c r="MGK555" s="178"/>
      <c r="MGL555" s="178"/>
      <c r="MGM555" s="178"/>
      <c r="MGN555" s="178"/>
      <c r="MGO555" s="178"/>
      <c r="MGP555" s="178"/>
      <c r="MGQ555" s="178"/>
      <c r="MGR555" s="178"/>
      <c r="MGS555" s="178"/>
      <c r="MGT555" s="178"/>
      <c r="MGU555" s="178"/>
      <c r="MGV555" s="178"/>
      <c r="MGW555" s="178"/>
      <c r="MGX555" s="178"/>
      <c r="MGY555" s="178"/>
      <c r="MGZ555" s="178"/>
      <c r="MHA555" s="178"/>
      <c r="MHB555" s="178"/>
      <c r="MHC555" s="178"/>
      <c r="MHD555" s="178"/>
      <c r="MHE555" s="178"/>
      <c r="MHF555" s="178"/>
      <c r="MHG555" s="178"/>
      <c r="MHH555" s="178"/>
      <c r="MHI555" s="178"/>
      <c r="MHJ555" s="178"/>
      <c r="MHK555" s="178"/>
      <c r="MHL555" s="178"/>
      <c r="MHM555" s="178"/>
      <c r="MHN555" s="178"/>
      <c r="MHO555" s="178"/>
      <c r="MHP555" s="178"/>
      <c r="MHQ555" s="178"/>
      <c r="MHR555" s="178"/>
      <c r="MHS555" s="178"/>
      <c r="MHT555" s="178"/>
      <c r="MHU555" s="178"/>
      <c r="MHV555" s="178"/>
      <c r="MHW555" s="178"/>
      <c r="MHX555" s="178"/>
      <c r="MHY555" s="178"/>
      <c r="MHZ555" s="178"/>
      <c r="MIA555" s="178"/>
      <c r="MIB555" s="178"/>
      <c r="MIC555" s="178"/>
      <c r="MID555" s="178"/>
      <c r="MIE555" s="178"/>
      <c r="MIF555" s="178"/>
      <c r="MIG555" s="178"/>
      <c r="MIH555" s="178"/>
      <c r="MII555" s="178"/>
      <c r="MIJ555" s="178"/>
      <c r="MIK555" s="178"/>
      <c r="MIL555" s="178"/>
      <c r="MIM555" s="178"/>
      <c r="MIN555" s="178"/>
      <c r="MIO555" s="178"/>
      <c r="MIP555" s="178"/>
      <c r="MIQ555" s="178"/>
      <c r="MIR555" s="178"/>
      <c r="MIS555" s="178"/>
      <c r="MIT555" s="178"/>
      <c r="MIU555" s="178"/>
      <c r="MIV555" s="178"/>
      <c r="MIW555" s="178"/>
      <c r="MIX555" s="178"/>
      <c r="MIY555" s="178"/>
      <c r="MIZ555" s="178"/>
      <c r="MJA555" s="178"/>
      <c r="MJB555" s="178"/>
      <c r="MJC555" s="178"/>
      <c r="MJD555" s="178"/>
      <c r="MJE555" s="178"/>
      <c r="MJF555" s="178"/>
      <c r="MJG555" s="178"/>
      <c r="MJH555" s="178"/>
      <c r="MJI555" s="178"/>
      <c r="MJJ555" s="178"/>
      <c r="MJK555" s="178"/>
      <c r="MJL555" s="178"/>
      <c r="MJM555" s="178"/>
      <c r="MJN555" s="178"/>
      <c r="MJO555" s="178"/>
      <c r="MJP555" s="178"/>
      <c r="MJQ555" s="178"/>
      <c r="MJR555" s="178"/>
      <c r="MJS555" s="178"/>
      <c r="MJT555" s="178"/>
      <c r="MJU555" s="178"/>
      <c r="MJV555" s="178"/>
      <c r="MJW555" s="178"/>
      <c r="MJX555" s="178"/>
      <c r="MJY555" s="178"/>
      <c r="MJZ555" s="178"/>
      <c r="MKA555" s="178"/>
      <c r="MKB555" s="178"/>
      <c r="MKC555" s="178"/>
      <c r="MKD555" s="178"/>
      <c r="MKE555" s="178"/>
      <c r="MKF555" s="178"/>
      <c r="MKG555" s="178"/>
      <c r="MKH555" s="178"/>
      <c r="MKI555" s="178"/>
      <c r="MKJ555" s="178"/>
      <c r="MKK555" s="178"/>
      <c r="MKL555" s="178"/>
      <c r="MKM555" s="178"/>
      <c r="MKN555" s="178"/>
      <c r="MKO555" s="178"/>
      <c r="MKP555" s="178"/>
      <c r="MKQ555" s="178"/>
      <c r="MKR555" s="178"/>
      <c r="MKS555" s="178"/>
      <c r="MKT555" s="178"/>
      <c r="MKU555" s="178"/>
      <c r="MKV555" s="178"/>
      <c r="MKW555" s="178"/>
      <c r="MKX555" s="178"/>
      <c r="MKY555" s="178"/>
      <c r="MKZ555" s="178"/>
      <c r="MLA555" s="178"/>
      <c r="MLB555" s="178"/>
      <c r="MLC555" s="178"/>
      <c r="MLD555" s="178"/>
      <c r="MLE555" s="178"/>
      <c r="MLF555" s="178"/>
      <c r="MLG555" s="178"/>
      <c r="MLH555" s="178"/>
      <c r="MLI555" s="178"/>
      <c r="MLJ555" s="178"/>
      <c r="MLK555" s="178"/>
      <c r="MLL555" s="178"/>
      <c r="MLM555" s="178"/>
      <c r="MLN555" s="178"/>
      <c r="MLO555" s="178"/>
      <c r="MLP555" s="178"/>
      <c r="MLQ555" s="178"/>
      <c r="MLR555" s="178"/>
      <c r="MLS555" s="178"/>
      <c r="MLT555" s="178"/>
      <c r="MLU555" s="178"/>
      <c r="MLV555" s="178"/>
      <c r="MLW555" s="178"/>
      <c r="MLX555" s="178"/>
      <c r="MLY555" s="178"/>
      <c r="MLZ555" s="178"/>
      <c r="MMA555" s="178"/>
      <c r="MMB555" s="178"/>
      <c r="MMC555" s="178"/>
      <c r="MMD555" s="178"/>
      <c r="MME555" s="178"/>
      <c r="MMF555" s="178"/>
      <c r="MMG555" s="178"/>
      <c r="MMH555" s="178"/>
      <c r="MMI555" s="178"/>
      <c r="MMJ555" s="178"/>
      <c r="MMK555" s="178"/>
      <c r="MML555" s="178"/>
      <c r="MMM555" s="178"/>
      <c r="MMN555" s="178"/>
      <c r="MMO555" s="178"/>
      <c r="MMP555" s="178"/>
      <c r="MMQ555" s="178"/>
      <c r="MMR555" s="178"/>
      <c r="MMS555" s="178"/>
      <c r="MMT555" s="178"/>
      <c r="MMU555" s="178"/>
      <c r="MMV555" s="178"/>
      <c r="MMW555" s="178"/>
      <c r="MMX555" s="178"/>
      <c r="MMY555" s="178"/>
      <c r="MMZ555" s="178"/>
      <c r="MNA555" s="178"/>
      <c r="MNB555" s="178"/>
      <c r="MNC555" s="178"/>
      <c r="MND555" s="178"/>
      <c r="MNE555" s="178"/>
      <c r="MNF555" s="178"/>
      <c r="MNG555" s="178"/>
      <c r="MNH555" s="178"/>
      <c r="MNI555" s="178"/>
      <c r="MNJ555" s="178"/>
      <c r="MNK555" s="178"/>
      <c r="MNL555" s="178"/>
      <c r="MNM555" s="178"/>
      <c r="MNN555" s="178"/>
      <c r="MNO555" s="178"/>
      <c r="MNP555" s="178"/>
      <c r="MNQ555" s="178"/>
      <c r="MNR555" s="178"/>
      <c r="MNS555" s="178"/>
      <c r="MNT555" s="178"/>
      <c r="MNU555" s="178"/>
      <c r="MNV555" s="178"/>
      <c r="MNW555" s="178"/>
      <c r="MNX555" s="178"/>
      <c r="MNY555" s="178"/>
      <c r="MNZ555" s="178"/>
      <c r="MOA555" s="178"/>
      <c r="MOB555" s="178"/>
      <c r="MOC555" s="178"/>
      <c r="MOD555" s="178"/>
      <c r="MOE555" s="178"/>
      <c r="MOF555" s="178"/>
      <c r="MOG555" s="178"/>
      <c r="MOH555" s="178"/>
      <c r="MOI555" s="178"/>
      <c r="MOJ555" s="178"/>
      <c r="MOK555" s="178"/>
      <c r="MOL555" s="178"/>
      <c r="MOM555" s="178"/>
      <c r="MON555" s="178"/>
      <c r="MOO555" s="178"/>
      <c r="MOP555" s="178"/>
      <c r="MOQ555" s="178"/>
      <c r="MOR555" s="178"/>
      <c r="MOS555" s="178"/>
      <c r="MOT555" s="178"/>
      <c r="MOU555" s="178"/>
      <c r="MOV555" s="178"/>
      <c r="MOW555" s="178"/>
      <c r="MOX555" s="178"/>
      <c r="MOY555" s="178"/>
      <c r="MOZ555" s="178"/>
      <c r="MPA555" s="178"/>
      <c r="MPB555" s="178"/>
      <c r="MPC555" s="178"/>
      <c r="MPD555" s="178"/>
      <c r="MPE555" s="178"/>
      <c r="MPF555" s="178"/>
      <c r="MPG555" s="178"/>
      <c r="MPH555" s="178"/>
      <c r="MPI555" s="178"/>
      <c r="MPJ555" s="178"/>
      <c r="MPK555" s="178"/>
      <c r="MPL555" s="178"/>
      <c r="MPM555" s="178"/>
      <c r="MPN555" s="178"/>
      <c r="MPO555" s="178"/>
      <c r="MPP555" s="178"/>
      <c r="MPQ555" s="178"/>
      <c r="MPR555" s="178"/>
      <c r="MPS555" s="178"/>
      <c r="MPT555" s="178"/>
      <c r="MPU555" s="178"/>
      <c r="MPV555" s="178"/>
      <c r="MPW555" s="178"/>
      <c r="MPX555" s="178"/>
      <c r="MPY555" s="178"/>
      <c r="MPZ555" s="178"/>
      <c r="MQA555" s="178"/>
      <c r="MQB555" s="178"/>
      <c r="MQC555" s="178"/>
      <c r="MQD555" s="178"/>
      <c r="MQE555" s="178"/>
      <c r="MQF555" s="178"/>
      <c r="MQG555" s="178"/>
      <c r="MQH555" s="178"/>
      <c r="MQI555" s="178"/>
      <c r="MQJ555" s="178"/>
      <c r="MQK555" s="178"/>
      <c r="MQL555" s="178"/>
      <c r="MQM555" s="178"/>
      <c r="MQN555" s="178"/>
      <c r="MQO555" s="178"/>
      <c r="MQP555" s="178"/>
      <c r="MQQ555" s="178"/>
      <c r="MQR555" s="178"/>
      <c r="MQS555" s="178"/>
      <c r="MQT555" s="178"/>
      <c r="MQU555" s="178"/>
      <c r="MQV555" s="178"/>
      <c r="MQW555" s="178"/>
      <c r="MQX555" s="178"/>
      <c r="MQY555" s="178"/>
      <c r="MQZ555" s="178"/>
      <c r="MRA555" s="178"/>
      <c r="MRB555" s="178"/>
      <c r="MRC555" s="178"/>
      <c r="MRD555" s="178"/>
      <c r="MRE555" s="178"/>
      <c r="MRF555" s="178"/>
      <c r="MRG555" s="178"/>
      <c r="MRH555" s="178"/>
      <c r="MRI555" s="178"/>
      <c r="MRJ555" s="178"/>
      <c r="MRK555" s="178"/>
      <c r="MRL555" s="178"/>
      <c r="MRM555" s="178"/>
      <c r="MRN555" s="178"/>
      <c r="MRO555" s="178"/>
      <c r="MRP555" s="178"/>
      <c r="MRQ555" s="178"/>
      <c r="MRR555" s="178"/>
      <c r="MRS555" s="178"/>
      <c r="MRT555" s="178"/>
      <c r="MRU555" s="178"/>
      <c r="MRV555" s="178"/>
      <c r="MRW555" s="178"/>
      <c r="MRX555" s="178"/>
      <c r="MRY555" s="178"/>
      <c r="MRZ555" s="178"/>
      <c r="MSA555" s="178"/>
      <c r="MSB555" s="178"/>
      <c r="MSC555" s="178"/>
      <c r="MSD555" s="178"/>
      <c r="MSE555" s="178"/>
      <c r="MSF555" s="178"/>
      <c r="MSG555" s="178"/>
      <c r="MSH555" s="178"/>
      <c r="MSI555" s="178"/>
      <c r="MSJ555" s="178"/>
      <c r="MSK555" s="178"/>
      <c r="MSL555" s="178"/>
      <c r="MSM555" s="178"/>
      <c r="MSN555" s="178"/>
      <c r="MSO555" s="178"/>
      <c r="MSP555" s="178"/>
      <c r="MSQ555" s="178"/>
      <c r="MSR555" s="178"/>
      <c r="MSS555" s="178"/>
      <c r="MST555" s="178"/>
      <c r="MSU555" s="178"/>
      <c r="MSV555" s="178"/>
      <c r="MSW555" s="178"/>
      <c r="MSX555" s="178"/>
      <c r="MSY555" s="178"/>
      <c r="MSZ555" s="178"/>
      <c r="MTA555" s="178"/>
      <c r="MTB555" s="178"/>
      <c r="MTC555" s="178"/>
      <c r="MTD555" s="178"/>
      <c r="MTE555" s="178"/>
      <c r="MTF555" s="178"/>
      <c r="MTG555" s="178"/>
      <c r="MTH555" s="178"/>
      <c r="MTI555" s="178"/>
      <c r="MTJ555" s="178"/>
      <c r="MTK555" s="178"/>
      <c r="MTL555" s="178"/>
      <c r="MTM555" s="178"/>
      <c r="MTN555" s="178"/>
      <c r="MTO555" s="178"/>
      <c r="MTP555" s="178"/>
      <c r="MTQ555" s="178"/>
      <c r="MTR555" s="178"/>
      <c r="MTS555" s="178"/>
      <c r="MTT555" s="178"/>
      <c r="MTU555" s="178"/>
      <c r="MTV555" s="178"/>
      <c r="MTW555" s="178"/>
      <c r="MTX555" s="178"/>
      <c r="MTY555" s="178"/>
      <c r="MTZ555" s="178"/>
      <c r="MUA555" s="178"/>
      <c r="MUB555" s="178"/>
      <c r="MUC555" s="178"/>
      <c r="MUD555" s="178"/>
      <c r="MUE555" s="178"/>
      <c r="MUF555" s="178"/>
      <c r="MUG555" s="178"/>
      <c r="MUH555" s="178"/>
      <c r="MUI555" s="178"/>
      <c r="MUJ555" s="178"/>
      <c r="MUK555" s="178"/>
      <c r="MUL555" s="178"/>
      <c r="MUM555" s="178"/>
      <c r="MUN555" s="178"/>
      <c r="MUO555" s="178"/>
      <c r="MUP555" s="178"/>
      <c r="MUQ555" s="178"/>
      <c r="MUR555" s="178"/>
      <c r="MUS555" s="178"/>
      <c r="MUT555" s="178"/>
      <c r="MUU555" s="178"/>
      <c r="MUV555" s="178"/>
      <c r="MUW555" s="178"/>
      <c r="MUX555" s="178"/>
      <c r="MUY555" s="178"/>
      <c r="MUZ555" s="178"/>
      <c r="MVA555" s="178"/>
      <c r="MVB555" s="178"/>
      <c r="MVC555" s="178"/>
      <c r="MVD555" s="178"/>
      <c r="MVE555" s="178"/>
      <c r="MVF555" s="178"/>
      <c r="MVG555" s="178"/>
      <c r="MVH555" s="178"/>
      <c r="MVI555" s="178"/>
      <c r="MVJ555" s="178"/>
      <c r="MVK555" s="178"/>
      <c r="MVL555" s="178"/>
      <c r="MVM555" s="178"/>
      <c r="MVN555" s="178"/>
      <c r="MVO555" s="178"/>
      <c r="MVP555" s="178"/>
      <c r="MVQ555" s="178"/>
      <c r="MVR555" s="178"/>
      <c r="MVS555" s="178"/>
      <c r="MVT555" s="178"/>
      <c r="MVU555" s="178"/>
      <c r="MVV555" s="178"/>
      <c r="MVW555" s="178"/>
      <c r="MVX555" s="178"/>
      <c r="MVY555" s="178"/>
      <c r="MVZ555" s="178"/>
      <c r="MWA555" s="178"/>
      <c r="MWB555" s="178"/>
      <c r="MWC555" s="178"/>
      <c r="MWD555" s="178"/>
      <c r="MWE555" s="178"/>
      <c r="MWF555" s="178"/>
      <c r="MWG555" s="178"/>
      <c r="MWH555" s="178"/>
      <c r="MWI555" s="178"/>
      <c r="MWJ555" s="178"/>
      <c r="MWK555" s="178"/>
      <c r="MWL555" s="178"/>
      <c r="MWM555" s="178"/>
      <c r="MWN555" s="178"/>
      <c r="MWO555" s="178"/>
      <c r="MWP555" s="178"/>
      <c r="MWQ555" s="178"/>
      <c r="MWR555" s="178"/>
      <c r="MWS555" s="178"/>
      <c r="MWT555" s="178"/>
      <c r="MWU555" s="178"/>
      <c r="MWV555" s="178"/>
      <c r="MWW555" s="178"/>
      <c r="MWX555" s="178"/>
      <c r="MWY555" s="178"/>
      <c r="MWZ555" s="178"/>
      <c r="MXA555" s="178"/>
      <c r="MXB555" s="178"/>
      <c r="MXC555" s="178"/>
      <c r="MXD555" s="178"/>
      <c r="MXE555" s="178"/>
      <c r="MXF555" s="178"/>
      <c r="MXG555" s="178"/>
      <c r="MXH555" s="178"/>
      <c r="MXI555" s="178"/>
      <c r="MXJ555" s="178"/>
      <c r="MXK555" s="178"/>
      <c r="MXL555" s="178"/>
      <c r="MXM555" s="178"/>
      <c r="MXN555" s="178"/>
      <c r="MXO555" s="178"/>
      <c r="MXP555" s="178"/>
      <c r="MXQ555" s="178"/>
      <c r="MXR555" s="178"/>
      <c r="MXS555" s="178"/>
      <c r="MXT555" s="178"/>
      <c r="MXU555" s="178"/>
      <c r="MXV555" s="178"/>
      <c r="MXW555" s="178"/>
      <c r="MXX555" s="178"/>
      <c r="MXY555" s="178"/>
      <c r="MXZ555" s="178"/>
      <c r="MYA555" s="178"/>
      <c r="MYB555" s="178"/>
      <c r="MYC555" s="178"/>
      <c r="MYD555" s="178"/>
      <c r="MYE555" s="178"/>
      <c r="MYF555" s="178"/>
      <c r="MYG555" s="178"/>
      <c r="MYH555" s="178"/>
      <c r="MYI555" s="178"/>
      <c r="MYJ555" s="178"/>
      <c r="MYK555" s="178"/>
      <c r="MYL555" s="178"/>
      <c r="MYM555" s="178"/>
      <c r="MYN555" s="178"/>
      <c r="MYO555" s="178"/>
      <c r="MYP555" s="178"/>
      <c r="MYQ555" s="178"/>
      <c r="MYR555" s="178"/>
      <c r="MYS555" s="178"/>
      <c r="MYT555" s="178"/>
      <c r="MYU555" s="178"/>
      <c r="MYV555" s="178"/>
      <c r="MYW555" s="178"/>
      <c r="MYX555" s="178"/>
      <c r="MYY555" s="178"/>
      <c r="MYZ555" s="178"/>
      <c r="MZA555" s="178"/>
      <c r="MZB555" s="178"/>
      <c r="MZC555" s="178"/>
      <c r="MZD555" s="178"/>
      <c r="MZE555" s="178"/>
      <c r="MZF555" s="178"/>
      <c r="MZG555" s="178"/>
      <c r="MZH555" s="178"/>
      <c r="MZI555" s="178"/>
      <c r="MZJ555" s="178"/>
      <c r="MZK555" s="178"/>
      <c r="MZL555" s="178"/>
      <c r="MZM555" s="178"/>
      <c r="MZN555" s="178"/>
      <c r="MZO555" s="178"/>
      <c r="MZP555" s="178"/>
      <c r="MZQ555" s="178"/>
      <c r="MZR555" s="178"/>
      <c r="MZS555" s="178"/>
      <c r="MZT555" s="178"/>
      <c r="MZU555" s="178"/>
      <c r="MZV555" s="178"/>
      <c r="MZW555" s="178"/>
      <c r="MZX555" s="178"/>
      <c r="MZY555" s="178"/>
      <c r="MZZ555" s="178"/>
      <c r="NAA555" s="178"/>
      <c r="NAB555" s="178"/>
      <c r="NAC555" s="178"/>
      <c r="NAD555" s="178"/>
      <c r="NAE555" s="178"/>
      <c r="NAF555" s="178"/>
      <c r="NAG555" s="178"/>
      <c r="NAH555" s="178"/>
      <c r="NAI555" s="178"/>
      <c r="NAJ555" s="178"/>
      <c r="NAK555" s="178"/>
      <c r="NAL555" s="178"/>
      <c r="NAM555" s="178"/>
      <c r="NAN555" s="178"/>
      <c r="NAO555" s="178"/>
      <c r="NAP555" s="178"/>
      <c r="NAQ555" s="178"/>
      <c r="NAR555" s="178"/>
      <c r="NAS555" s="178"/>
      <c r="NAT555" s="178"/>
      <c r="NAU555" s="178"/>
      <c r="NAV555" s="178"/>
      <c r="NAW555" s="178"/>
      <c r="NAX555" s="178"/>
      <c r="NAY555" s="178"/>
      <c r="NAZ555" s="178"/>
      <c r="NBA555" s="178"/>
      <c r="NBB555" s="178"/>
      <c r="NBC555" s="178"/>
      <c r="NBD555" s="178"/>
      <c r="NBE555" s="178"/>
      <c r="NBF555" s="178"/>
      <c r="NBG555" s="178"/>
      <c r="NBH555" s="178"/>
      <c r="NBI555" s="178"/>
      <c r="NBJ555" s="178"/>
      <c r="NBK555" s="178"/>
      <c r="NBL555" s="178"/>
      <c r="NBM555" s="178"/>
      <c r="NBN555" s="178"/>
      <c r="NBO555" s="178"/>
      <c r="NBP555" s="178"/>
      <c r="NBQ555" s="178"/>
      <c r="NBR555" s="178"/>
      <c r="NBS555" s="178"/>
      <c r="NBT555" s="178"/>
      <c r="NBU555" s="178"/>
      <c r="NBV555" s="178"/>
      <c r="NBW555" s="178"/>
      <c r="NBX555" s="178"/>
      <c r="NBY555" s="178"/>
      <c r="NBZ555" s="178"/>
      <c r="NCA555" s="178"/>
      <c r="NCB555" s="178"/>
      <c r="NCC555" s="178"/>
      <c r="NCD555" s="178"/>
      <c r="NCE555" s="178"/>
      <c r="NCF555" s="178"/>
      <c r="NCG555" s="178"/>
      <c r="NCH555" s="178"/>
      <c r="NCI555" s="178"/>
      <c r="NCJ555" s="178"/>
      <c r="NCK555" s="178"/>
      <c r="NCL555" s="178"/>
      <c r="NCM555" s="178"/>
      <c r="NCN555" s="178"/>
      <c r="NCO555" s="178"/>
      <c r="NCP555" s="178"/>
      <c r="NCQ555" s="178"/>
      <c r="NCR555" s="178"/>
      <c r="NCS555" s="178"/>
      <c r="NCT555" s="178"/>
      <c r="NCU555" s="178"/>
      <c r="NCV555" s="178"/>
      <c r="NCW555" s="178"/>
      <c r="NCX555" s="178"/>
      <c r="NCY555" s="178"/>
      <c r="NCZ555" s="178"/>
      <c r="NDA555" s="178"/>
      <c r="NDB555" s="178"/>
      <c r="NDC555" s="178"/>
      <c r="NDD555" s="178"/>
      <c r="NDE555" s="178"/>
      <c r="NDF555" s="178"/>
      <c r="NDG555" s="178"/>
      <c r="NDH555" s="178"/>
      <c r="NDI555" s="178"/>
      <c r="NDJ555" s="178"/>
      <c r="NDK555" s="178"/>
      <c r="NDL555" s="178"/>
      <c r="NDM555" s="178"/>
      <c r="NDN555" s="178"/>
      <c r="NDO555" s="178"/>
      <c r="NDP555" s="178"/>
      <c r="NDQ555" s="178"/>
      <c r="NDR555" s="178"/>
      <c r="NDS555" s="178"/>
      <c r="NDT555" s="178"/>
      <c r="NDU555" s="178"/>
      <c r="NDV555" s="178"/>
      <c r="NDW555" s="178"/>
      <c r="NDX555" s="178"/>
      <c r="NDY555" s="178"/>
      <c r="NDZ555" s="178"/>
      <c r="NEA555" s="178"/>
      <c r="NEB555" s="178"/>
      <c r="NEC555" s="178"/>
      <c r="NED555" s="178"/>
      <c r="NEE555" s="178"/>
      <c r="NEF555" s="178"/>
      <c r="NEG555" s="178"/>
      <c r="NEH555" s="178"/>
      <c r="NEI555" s="178"/>
      <c r="NEJ555" s="178"/>
      <c r="NEK555" s="178"/>
      <c r="NEL555" s="178"/>
      <c r="NEM555" s="178"/>
      <c r="NEN555" s="178"/>
      <c r="NEO555" s="178"/>
      <c r="NEP555" s="178"/>
      <c r="NEQ555" s="178"/>
      <c r="NER555" s="178"/>
      <c r="NES555" s="178"/>
      <c r="NET555" s="178"/>
      <c r="NEU555" s="178"/>
      <c r="NEV555" s="178"/>
      <c r="NEW555" s="178"/>
      <c r="NEX555" s="178"/>
      <c r="NEY555" s="178"/>
      <c r="NEZ555" s="178"/>
      <c r="NFA555" s="178"/>
      <c r="NFB555" s="178"/>
      <c r="NFC555" s="178"/>
      <c r="NFD555" s="178"/>
      <c r="NFE555" s="178"/>
      <c r="NFF555" s="178"/>
      <c r="NFG555" s="178"/>
      <c r="NFH555" s="178"/>
      <c r="NFI555" s="178"/>
      <c r="NFJ555" s="178"/>
      <c r="NFK555" s="178"/>
      <c r="NFL555" s="178"/>
      <c r="NFM555" s="178"/>
      <c r="NFN555" s="178"/>
      <c r="NFO555" s="178"/>
      <c r="NFP555" s="178"/>
      <c r="NFQ555" s="178"/>
      <c r="NFR555" s="178"/>
      <c r="NFS555" s="178"/>
      <c r="NFT555" s="178"/>
      <c r="NFU555" s="178"/>
      <c r="NFV555" s="178"/>
      <c r="NFW555" s="178"/>
      <c r="NFX555" s="178"/>
      <c r="NFY555" s="178"/>
      <c r="NFZ555" s="178"/>
      <c r="NGA555" s="178"/>
      <c r="NGB555" s="178"/>
      <c r="NGC555" s="178"/>
      <c r="NGD555" s="178"/>
      <c r="NGE555" s="178"/>
      <c r="NGF555" s="178"/>
      <c r="NGG555" s="178"/>
      <c r="NGH555" s="178"/>
      <c r="NGI555" s="178"/>
      <c r="NGJ555" s="178"/>
      <c r="NGK555" s="178"/>
      <c r="NGL555" s="178"/>
      <c r="NGM555" s="178"/>
      <c r="NGN555" s="178"/>
      <c r="NGO555" s="178"/>
      <c r="NGP555" s="178"/>
      <c r="NGQ555" s="178"/>
      <c r="NGR555" s="178"/>
      <c r="NGS555" s="178"/>
      <c r="NGT555" s="178"/>
      <c r="NGU555" s="178"/>
      <c r="NGV555" s="178"/>
      <c r="NGW555" s="178"/>
      <c r="NGX555" s="178"/>
      <c r="NGY555" s="178"/>
      <c r="NGZ555" s="178"/>
      <c r="NHA555" s="178"/>
      <c r="NHB555" s="178"/>
      <c r="NHC555" s="178"/>
      <c r="NHD555" s="178"/>
      <c r="NHE555" s="178"/>
      <c r="NHF555" s="178"/>
      <c r="NHG555" s="178"/>
      <c r="NHH555" s="178"/>
      <c r="NHI555" s="178"/>
      <c r="NHJ555" s="178"/>
      <c r="NHK555" s="178"/>
      <c r="NHL555" s="178"/>
      <c r="NHM555" s="178"/>
      <c r="NHN555" s="178"/>
      <c r="NHO555" s="178"/>
      <c r="NHP555" s="178"/>
      <c r="NHQ555" s="178"/>
      <c r="NHR555" s="178"/>
      <c r="NHS555" s="178"/>
      <c r="NHT555" s="178"/>
      <c r="NHU555" s="178"/>
      <c r="NHV555" s="178"/>
      <c r="NHW555" s="178"/>
      <c r="NHX555" s="178"/>
      <c r="NHY555" s="178"/>
      <c r="NHZ555" s="178"/>
      <c r="NIA555" s="178"/>
      <c r="NIB555" s="178"/>
      <c r="NIC555" s="178"/>
      <c r="NID555" s="178"/>
      <c r="NIE555" s="178"/>
      <c r="NIF555" s="178"/>
      <c r="NIG555" s="178"/>
      <c r="NIH555" s="178"/>
      <c r="NII555" s="178"/>
      <c r="NIJ555" s="178"/>
      <c r="NIK555" s="178"/>
      <c r="NIL555" s="178"/>
      <c r="NIM555" s="178"/>
      <c r="NIN555" s="178"/>
      <c r="NIO555" s="178"/>
      <c r="NIP555" s="178"/>
      <c r="NIQ555" s="178"/>
      <c r="NIR555" s="178"/>
      <c r="NIS555" s="178"/>
      <c r="NIT555" s="178"/>
      <c r="NIU555" s="178"/>
      <c r="NIV555" s="178"/>
      <c r="NIW555" s="178"/>
      <c r="NIX555" s="178"/>
      <c r="NIY555" s="178"/>
      <c r="NIZ555" s="178"/>
      <c r="NJA555" s="178"/>
      <c r="NJB555" s="178"/>
      <c r="NJC555" s="178"/>
      <c r="NJD555" s="178"/>
      <c r="NJE555" s="178"/>
      <c r="NJF555" s="178"/>
      <c r="NJG555" s="178"/>
      <c r="NJH555" s="178"/>
      <c r="NJI555" s="178"/>
      <c r="NJJ555" s="178"/>
      <c r="NJK555" s="178"/>
      <c r="NJL555" s="178"/>
      <c r="NJM555" s="178"/>
      <c r="NJN555" s="178"/>
      <c r="NJO555" s="178"/>
      <c r="NJP555" s="178"/>
      <c r="NJQ555" s="178"/>
      <c r="NJR555" s="178"/>
      <c r="NJS555" s="178"/>
      <c r="NJT555" s="178"/>
      <c r="NJU555" s="178"/>
      <c r="NJV555" s="178"/>
      <c r="NJW555" s="178"/>
      <c r="NJX555" s="178"/>
      <c r="NJY555" s="178"/>
      <c r="NJZ555" s="178"/>
      <c r="NKA555" s="178"/>
      <c r="NKB555" s="178"/>
      <c r="NKC555" s="178"/>
      <c r="NKD555" s="178"/>
      <c r="NKE555" s="178"/>
      <c r="NKF555" s="178"/>
      <c r="NKG555" s="178"/>
      <c r="NKH555" s="178"/>
      <c r="NKI555" s="178"/>
      <c r="NKJ555" s="178"/>
      <c r="NKK555" s="178"/>
      <c r="NKL555" s="178"/>
      <c r="NKM555" s="178"/>
      <c r="NKN555" s="178"/>
      <c r="NKO555" s="178"/>
      <c r="NKP555" s="178"/>
      <c r="NKQ555" s="178"/>
      <c r="NKR555" s="178"/>
      <c r="NKS555" s="178"/>
      <c r="NKT555" s="178"/>
      <c r="NKU555" s="178"/>
      <c r="NKV555" s="178"/>
      <c r="NKW555" s="178"/>
      <c r="NKX555" s="178"/>
      <c r="NKY555" s="178"/>
      <c r="NKZ555" s="178"/>
      <c r="NLA555" s="178"/>
      <c r="NLB555" s="178"/>
      <c r="NLC555" s="178"/>
      <c r="NLD555" s="178"/>
      <c r="NLE555" s="178"/>
      <c r="NLF555" s="178"/>
      <c r="NLG555" s="178"/>
      <c r="NLH555" s="178"/>
      <c r="NLI555" s="178"/>
      <c r="NLJ555" s="178"/>
      <c r="NLK555" s="178"/>
      <c r="NLL555" s="178"/>
      <c r="NLM555" s="178"/>
      <c r="NLN555" s="178"/>
      <c r="NLO555" s="178"/>
      <c r="NLP555" s="178"/>
      <c r="NLQ555" s="178"/>
      <c r="NLR555" s="178"/>
      <c r="NLS555" s="178"/>
      <c r="NLT555" s="178"/>
      <c r="NLU555" s="178"/>
      <c r="NLV555" s="178"/>
      <c r="NLW555" s="178"/>
      <c r="NLX555" s="178"/>
      <c r="NLY555" s="178"/>
      <c r="NLZ555" s="178"/>
      <c r="NMA555" s="178"/>
      <c r="NMB555" s="178"/>
      <c r="NMC555" s="178"/>
      <c r="NMD555" s="178"/>
      <c r="NME555" s="178"/>
      <c r="NMF555" s="178"/>
      <c r="NMG555" s="178"/>
      <c r="NMH555" s="178"/>
      <c r="NMI555" s="178"/>
      <c r="NMJ555" s="178"/>
      <c r="NMK555" s="178"/>
      <c r="NML555" s="178"/>
      <c r="NMM555" s="178"/>
      <c r="NMN555" s="178"/>
      <c r="NMO555" s="178"/>
      <c r="NMP555" s="178"/>
      <c r="NMQ555" s="178"/>
      <c r="NMR555" s="178"/>
      <c r="NMS555" s="178"/>
      <c r="NMT555" s="178"/>
      <c r="NMU555" s="178"/>
      <c r="NMV555" s="178"/>
      <c r="NMW555" s="178"/>
      <c r="NMX555" s="178"/>
      <c r="NMY555" s="178"/>
      <c r="NMZ555" s="178"/>
      <c r="NNA555" s="178"/>
      <c r="NNB555" s="178"/>
      <c r="NNC555" s="178"/>
      <c r="NND555" s="178"/>
      <c r="NNE555" s="178"/>
      <c r="NNF555" s="178"/>
      <c r="NNG555" s="178"/>
      <c r="NNH555" s="178"/>
      <c r="NNI555" s="178"/>
      <c r="NNJ555" s="178"/>
      <c r="NNK555" s="178"/>
      <c r="NNL555" s="178"/>
      <c r="NNM555" s="178"/>
      <c r="NNN555" s="178"/>
      <c r="NNO555" s="178"/>
      <c r="NNP555" s="178"/>
      <c r="NNQ555" s="178"/>
      <c r="NNR555" s="178"/>
      <c r="NNS555" s="178"/>
      <c r="NNT555" s="178"/>
      <c r="NNU555" s="178"/>
      <c r="NNV555" s="178"/>
      <c r="NNW555" s="178"/>
      <c r="NNX555" s="178"/>
      <c r="NNY555" s="178"/>
      <c r="NNZ555" s="178"/>
      <c r="NOA555" s="178"/>
      <c r="NOB555" s="178"/>
      <c r="NOC555" s="178"/>
      <c r="NOD555" s="178"/>
      <c r="NOE555" s="178"/>
      <c r="NOF555" s="178"/>
      <c r="NOG555" s="178"/>
      <c r="NOH555" s="178"/>
      <c r="NOI555" s="178"/>
      <c r="NOJ555" s="178"/>
      <c r="NOK555" s="178"/>
      <c r="NOL555" s="178"/>
      <c r="NOM555" s="178"/>
      <c r="NON555" s="178"/>
      <c r="NOO555" s="178"/>
      <c r="NOP555" s="178"/>
      <c r="NOQ555" s="178"/>
      <c r="NOR555" s="178"/>
      <c r="NOS555" s="178"/>
      <c r="NOT555" s="178"/>
      <c r="NOU555" s="178"/>
      <c r="NOV555" s="178"/>
      <c r="NOW555" s="178"/>
      <c r="NOX555" s="178"/>
      <c r="NOY555" s="178"/>
      <c r="NOZ555" s="178"/>
      <c r="NPA555" s="178"/>
      <c r="NPB555" s="178"/>
      <c r="NPC555" s="178"/>
      <c r="NPD555" s="178"/>
      <c r="NPE555" s="178"/>
      <c r="NPF555" s="178"/>
      <c r="NPG555" s="178"/>
      <c r="NPH555" s="178"/>
      <c r="NPI555" s="178"/>
      <c r="NPJ555" s="178"/>
      <c r="NPK555" s="178"/>
      <c r="NPL555" s="178"/>
      <c r="NPM555" s="178"/>
      <c r="NPN555" s="178"/>
      <c r="NPO555" s="178"/>
      <c r="NPP555" s="178"/>
      <c r="NPQ555" s="178"/>
      <c r="NPR555" s="178"/>
      <c r="NPS555" s="178"/>
      <c r="NPT555" s="178"/>
      <c r="NPU555" s="178"/>
      <c r="NPV555" s="178"/>
      <c r="NPW555" s="178"/>
      <c r="NPX555" s="178"/>
      <c r="NPY555" s="178"/>
      <c r="NPZ555" s="178"/>
      <c r="NQA555" s="178"/>
      <c r="NQB555" s="178"/>
      <c r="NQC555" s="178"/>
      <c r="NQD555" s="178"/>
      <c r="NQE555" s="178"/>
      <c r="NQF555" s="178"/>
      <c r="NQG555" s="178"/>
      <c r="NQH555" s="178"/>
      <c r="NQI555" s="178"/>
      <c r="NQJ555" s="178"/>
      <c r="NQK555" s="178"/>
      <c r="NQL555" s="178"/>
      <c r="NQM555" s="178"/>
      <c r="NQN555" s="178"/>
      <c r="NQO555" s="178"/>
      <c r="NQP555" s="178"/>
      <c r="NQQ555" s="178"/>
      <c r="NQR555" s="178"/>
      <c r="NQS555" s="178"/>
      <c r="NQT555" s="178"/>
      <c r="NQU555" s="178"/>
      <c r="NQV555" s="178"/>
      <c r="NQW555" s="178"/>
      <c r="NQX555" s="178"/>
      <c r="NQY555" s="178"/>
      <c r="NQZ555" s="178"/>
      <c r="NRA555" s="178"/>
      <c r="NRB555" s="178"/>
      <c r="NRC555" s="178"/>
      <c r="NRD555" s="178"/>
      <c r="NRE555" s="178"/>
      <c r="NRF555" s="178"/>
      <c r="NRG555" s="178"/>
      <c r="NRH555" s="178"/>
      <c r="NRI555" s="178"/>
      <c r="NRJ555" s="178"/>
      <c r="NRK555" s="178"/>
      <c r="NRL555" s="178"/>
      <c r="NRM555" s="178"/>
      <c r="NRN555" s="178"/>
      <c r="NRO555" s="178"/>
      <c r="NRP555" s="178"/>
      <c r="NRQ555" s="178"/>
      <c r="NRR555" s="178"/>
      <c r="NRS555" s="178"/>
      <c r="NRT555" s="178"/>
      <c r="NRU555" s="178"/>
      <c r="NRV555" s="178"/>
      <c r="NRW555" s="178"/>
      <c r="NRX555" s="178"/>
      <c r="NRY555" s="178"/>
      <c r="NRZ555" s="178"/>
      <c r="NSA555" s="178"/>
      <c r="NSB555" s="178"/>
      <c r="NSC555" s="178"/>
      <c r="NSD555" s="178"/>
      <c r="NSE555" s="178"/>
      <c r="NSF555" s="178"/>
      <c r="NSG555" s="178"/>
      <c r="NSH555" s="178"/>
      <c r="NSI555" s="178"/>
      <c r="NSJ555" s="178"/>
      <c r="NSK555" s="178"/>
      <c r="NSL555" s="178"/>
      <c r="NSM555" s="178"/>
      <c r="NSN555" s="178"/>
      <c r="NSO555" s="178"/>
      <c r="NSP555" s="178"/>
      <c r="NSQ555" s="178"/>
      <c r="NSR555" s="178"/>
      <c r="NSS555" s="178"/>
      <c r="NST555" s="178"/>
      <c r="NSU555" s="178"/>
      <c r="NSV555" s="178"/>
      <c r="NSW555" s="178"/>
      <c r="NSX555" s="178"/>
      <c r="NSY555" s="178"/>
      <c r="NSZ555" s="178"/>
      <c r="NTA555" s="178"/>
      <c r="NTB555" s="178"/>
      <c r="NTC555" s="178"/>
      <c r="NTD555" s="178"/>
      <c r="NTE555" s="178"/>
      <c r="NTF555" s="178"/>
      <c r="NTG555" s="178"/>
      <c r="NTH555" s="178"/>
      <c r="NTI555" s="178"/>
      <c r="NTJ555" s="178"/>
      <c r="NTK555" s="178"/>
      <c r="NTL555" s="178"/>
      <c r="NTM555" s="178"/>
      <c r="NTN555" s="178"/>
      <c r="NTO555" s="178"/>
      <c r="NTP555" s="178"/>
      <c r="NTQ555" s="178"/>
      <c r="NTR555" s="178"/>
      <c r="NTS555" s="178"/>
      <c r="NTT555" s="178"/>
      <c r="NTU555" s="178"/>
      <c r="NTV555" s="178"/>
      <c r="NTW555" s="178"/>
      <c r="NTX555" s="178"/>
      <c r="NTY555" s="178"/>
      <c r="NTZ555" s="178"/>
      <c r="NUA555" s="178"/>
      <c r="NUB555" s="178"/>
      <c r="NUC555" s="178"/>
      <c r="NUD555" s="178"/>
      <c r="NUE555" s="178"/>
      <c r="NUF555" s="178"/>
      <c r="NUG555" s="178"/>
      <c r="NUH555" s="178"/>
      <c r="NUI555" s="178"/>
      <c r="NUJ555" s="178"/>
      <c r="NUK555" s="178"/>
      <c r="NUL555" s="178"/>
      <c r="NUM555" s="178"/>
      <c r="NUN555" s="178"/>
      <c r="NUO555" s="178"/>
      <c r="NUP555" s="178"/>
      <c r="NUQ555" s="178"/>
      <c r="NUR555" s="178"/>
      <c r="NUS555" s="178"/>
      <c r="NUT555" s="178"/>
      <c r="NUU555" s="178"/>
      <c r="NUV555" s="178"/>
      <c r="NUW555" s="178"/>
      <c r="NUX555" s="178"/>
      <c r="NUY555" s="178"/>
      <c r="NUZ555" s="178"/>
      <c r="NVA555" s="178"/>
      <c r="NVB555" s="178"/>
      <c r="NVC555" s="178"/>
      <c r="NVD555" s="178"/>
      <c r="NVE555" s="178"/>
      <c r="NVF555" s="178"/>
      <c r="NVG555" s="178"/>
      <c r="NVH555" s="178"/>
      <c r="NVI555" s="178"/>
      <c r="NVJ555" s="178"/>
      <c r="NVK555" s="178"/>
      <c r="NVL555" s="178"/>
      <c r="NVM555" s="178"/>
      <c r="NVN555" s="178"/>
      <c r="NVO555" s="178"/>
      <c r="NVP555" s="178"/>
      <c r="NVQ555" s="178"/>
      <c r="NVR555" s="178"/>
      <c r="NVS555" s="178"/>
      <c r="NVT555" s="178"/>
      <c r="NVU555" s="178"/>
      <c r="NVV555" s="178"/>
      <c r="NVW555" s="178"/>
      <c r="NVX555" s="178"/>
      <c r="NVY555" s="178"/>
      <c r="NVZ555" s="178"/>
      <c r="NWA555" s="178"/>
      <c r="NWB555" s="178"/>
      <c r="NWC555" s="178"/>
      <c r="NWD555" s="178"/>
      <c r="NWE555" s="178"/>
      <c r="NWF555" s="178"/>
      <c r="NWG555" s="178"/>
      <c r="NWH555" s="178"/>
      <c r="NWI555" s="178"/>
      <c r="NWJ555" s="178"/>
      <c r="NWK555" s="178"/>
      <c r="NWL555" s="178"/>
      <c r="NWM555" s="178"/>
      <c r="NWN555" s="178"/>
      <c r="NWO555" s="178"/>
      <c r="NWP555" s="178"/>
      <c r="NWQ555" s="178"/>
      <c r="NWR555" s="178"/>
      <c r="NWS555" s="178"/>
      <c r="NWT555" s="178"/>
      <c r="NWU555" s="178"/>
      <c r="NWV555" s="178"/>
      <c r="NWW555" s="178"/>
      <c r="NWX555" s="178"/>
      <c r="NWY555" s="178"/>
      <c r="NWZ555" s="178"/>
      <c r="NXA555" s="178"/>
      <c r="NXB555" s="178"/>
      <c r="NXC555" s="178"/>
      <c r="NXD555" s="178"/>
      <c r="NXE555" s="178"/>
      <c r="NXF555" s="178"/>
      <c r="NXG555" s="178"/>
      <c r="NXH555" s="178"/>
      <c r="NXI555" s="178"/>
      <c r="NXJ555" s="178"/>
      <c r="NXK555" s="178"/>
      <c r="NXL555" s="178"/>
      <c r="NXM555" s="178"/>
      <c r="NXN555" s="178"/>
      <c r="NXO555" s="178"/>
      <c r="NXP555" s="178"/>
      <c r="NXQ555" s="178"/>
      <c r="NXR555" s="178"/>
      <c r="NXS555" s="178"/>
      <c r="NXT555" s="178"/>
      <c r="NXU555" s="178"/>
      <c r="NXV555" s="178"/>
      <c r="NXW555" s="178"/>
      <c r="NXX555" s="178"/>
      <c r="NXY555" s="178"/>
      <c r="NXZ555" s="178"/>
      <c r="NYA555" s="178"/>
      <c r="NYB555" s="178"/>
      <c r="NYC555" s="178"/>
      <c r="NYD555" s="178"/>
      <c r="NYE555" s="178"/>
      <c r="NYF555" s="178"/>
      <c r="NYG555" s="178"/>
      <c r="NYH555" s="178"/>
      <c r="NYI555" s="178"/>
      <c r="NYJ555" s="178"/>
      <c r="NYK555" s="178"/>
      <c r="NYL555" s="178"/>
      <c r="NYM555" s="178"/>
      <c r="NYN555" s="178"/>
      <c r="NYO555" s="178"/>
      <c r="NYP555" s="178"/>
      <c r="NYQ555" s="178"/>
      <c r="NYR555" s="178"/>
      <c r="NYS555" s="178"/>
      <c r="NYT555" s="178"/>
      <c r="NYU555" s="178"/>
      <c r="NYV555" s="178"/>
      <c r="NYW555" s="178"/>
      <c r="NYX555" s="178"/>
      <c r="NYY555" s="178"/>
      <c r="NYZ555" s="178"/>
      <c r="NZA555" s="178"/>
      <c r="NZB555" s="178"/>
      <c r="NZC555" s="178"/>
      <c r="NZD555" s="178"/>
      <c r="NZE555" s="178"/>
      <c r="NZF555" s="178"/>
      <c r="NZG555" s="178"/>
      <c r="NZH555" s="178"/>
      <c r="NZI555" s="178"/>
      <c r="NZJ555" s="178"/>
      <c r="NZK555" s="178"/>
      <c r="NZL555" s="178"/>
      <c r="NZM555" s="178"/>
      <c r="NZN555" s="178"/>
      <c r="NZO555" s="178"/>
      <c r="NZP555" s="178"/>
      <c r="NZQ555" s="178"/>
      <c r="NZR555" s="178"/>
      <c r="NZS555" s="178"/>
      <c r="NZT555" s="178"/>
      <c r="NZU555" s="178"/>
      <c r="NZV555" s="178"/>
      <c r="NZW555" s="178"/>
      <c r="NZX555" s="178"/>
      <c r="NZY555" s="178"/>
      <c r="NZZ555" s="178"/>
      <c r="OAA555" s="178"/>
      <c r="OAB555" s="178"/>
      <c r="OAC555" s="178"/>
      <c r="OAD555" s="178"/>
      <c r="OAE555" s="178"/>
      <c r="OAF555" s="178"/>
      <c r="OAG555" s="178"/>
      <c r="OAH555" s="178"/>
      <c r="OAI555" s="178"/>
      <c r="OAJ555" s="178"/>
      <c r="OAK555" s="178"/>
      <c r="OAL555" s="178"/>
      <c r="OAM555" s="178"/>
      <c r="OAN555" s="178"/>
      <c r="OAO555" s="178"/>
      <c r="OAP555" s="178"/>
      <c r="OAQ555" s="178"/>
      <c r="OAR555" s="178"/>
      <c r="OAS555" s="178"/>
      <c r="OAT555" s="178"/>
      <c r="OAU555" s="178"/>
      <c r="OAV555" s="178"/>
      <c r="OAW555" s="178"/>
      <c r="OAX555" s="178"/>
      <c r="OAY555" s="178"/>
      <c r="OAZ555" s="178"/>
      <c r="OBA555" s="178"/>
      <c r="OBB555" s="178"/>
      <c r="OBC555" s="178"/>
      <c r="OBD555" s="178"/>
      <c r="OBE555" s="178"/>
      <c r="OBF555" s="178"/>
      <c r="OBG555" s="178"/>
      <c r="OBH555" s="178"/>
      <c r="OBI555" s="178"/>
      <c r="OBJ555" s="178"/>
      <c r="OBK555" s="178"/>
      <c r="OBL555" s="178"/>
      <c r="OBM555" s="178"/>
      <c r="OBN555" s="178"/>
      <c r="OBO555" s="178"/>
      <c r="OBP555" s="178"/>
      <c r="OBQ555" s="178"/>
      <c r="OBR555" s="178"/>
      <c r="OBS555" s="178"/>
      <c r="OBT555" s="178"/>
      <c r="OBU555" s="178"/>
      <c r="OBV555" s="178"/>
      <c r="OBW555" s="178"/>
      <c r="OBX555" s="178"/>
      <c r="OBY555" s="178"/>
      <c r="OBZ555" s="178"/>
      <c r="OCA555" s="178"/>
      <c r="OCB555" s="178"/>
      <c r="OCC555" s="178"/>
      <c r="OCD555" s="178"/>
      <c r="OCE555" s="178"/>
      <c r="OCF555" s="178"/>
      <c r="OCG555" s="178"/>
      <c r="OCH555" s="178"/>
      <c r="OCI555" s="178"/>
      <c r="OCJ555" s="178"/>
      <c r="OCK555" s="178"/>
      <c r="OCL555" s="178"/>
      <c r="OCM555" s="178"/>
      <c r="OCN555" s="178"/>
      <c r="OCO555" s="178"/>
      <c r="OCP555" s="178"/>
      <c r="OCQ555" s="178"/>
      <c r="OCR555" s="178"/>
      <c r="OCS555" s="178"/>
      <c r="OCT555" s="178"/>
      <c r="OCU555" s="178"/>
      <c r="OCV555" s="178"/>
      <c r="OCW555" s="178"/>
      <c r="OCX555" s="178"/>
      <c r="OCY555" s="178"/>
      <c r="OCZ555" s="178"/>
      <c r="ODA555" s="178"/>
      <c r="ODB555" s="178"/>
      <c r="ODC555" s="178"/>
      <c r="ODD555" s="178"/>
      <c r="ODE555" s="178"/>
      <c r="ODF555" s="178"/>
      <c r="ODG555" s="178"/>
      <c r="ODH555" s="178"/>
      <c r="ODI555" s="178"/>
      <c r="ODJ555" s="178"/>
      <c r="ODK555" s="178"/>
      <c r="ODL555" s="178"/>
      <c r="ODM555" s="178"/>
      <c r="ODN555" s="178"/>
      <c r="ODO555" s="178"/>
      <c r="ODP555" s="178"/>
      <c r="ODQ555" s="178"/>
      <c r="ODR555" s="178"/>
      <c r="ODS555" s="178"/>
      <c r="ODT555" s="178"/>
      <c r="ODU555" s="178"/>
      <c r="ODV555" s="178"/>
      <c r="ODW555" s="178"/>
      <c r="ODX555" s="178"/>
      <c r="ODY555" s="178"/>
      <c r="ODZ555" s="178"/>
      <c r="OEA555" s="178"/>
      <c r="OEB555" s="178"/>
      <c r="OEC555" s="178"/>
      <c r="OED555" s="178"/>
      <c r="OEE555" s="178"/>
      <c r="OEF555" s="178"/>
      <c r="OEG555" s="178"/>
      <c r="OEH555" s="178"/>
      <c r="OEI555" s="178"/>
      <c r="OEJ555" s="178"/>
      <c r="OEK555" s="178"/>
      <c r="OEL555" s="178"/>
      <c r="OEM555" s="178"/>
      <c r="OEN555" s="178"/>
      <c r="OEO555" s="178"/>
      <c r="OEP555" s="178"/>
      <c r="OEQ555" s="178"/>
      <c r="OER555" s="178"/>
      <c r="OES555" s="178"/>
      <c r="OET555" s="178"/>
      <c r="OEU555" s="178"/>
      <c r="OEV555" s="178"/>
      <c r="OEW555" s="178"/>
      <c r="OEX555" s="178"/>
      <c r="OEY555" s="178"/>
      <c r="OEZ555" s="178"/>
      <c r="OFA555" s="178"/>
      <c r="OFB555" s="178"/>
      <c r="OFC555" s="178"/>
      <c r="OFD555" s="178"/>
      <c r="OFE555" s="178"/>
      <c r="OFF555" s="178"/>
      <c r="OFG555" s="178"/>
      <c r="OFH555" s="178"/>
      <c r="OFI555" s="178"/>
      <c r="OFJ555" s="178"/>
      <c r="OFK555" s="178"/>
      <c r="OFL555" s="178"/>
      <c r="OFM555" s="178"/>
      <c r="OFN555" s="178"/>
      <c r="OFO555" s="178"/>
      <c r="OFP555" s="178"/>
      <c r="OFQ555" s="178"/>
      <c r="OFR555" s="178"/>
      <c r="OFS555" s="178"/>
      <c r="OFT555" s="178"/>
      <c r="OFU555" s="178"/>
      <c r="OFV555" s="178"/>
      <c r="OFW555" s="178"/>
      <c r="OFX555" s="178"/>
      <c r="OFY555" s="178"/>
      <c r="OFZ555" s="178"/>
      <c r="OGA555" s="178"/>
      <c r="OGB555" s="178"/>
      <c r="OGC555" s="178"/>
      <c r="OGD555" s="178"/>
      <c r="OGE555" s="178"/>
      <c r="OGF555" s="178"/>
      <c r="OGG555" s="178"/>
      <c r="OGH555" s="178"/>
      <c r="OGI555" s="178"/>
      <c r="OGJ555" s="178"/>
      <c r="OGK555" s="178"/>
      <c r="OGL555" s="178"/>
      <c r="OGM555" s="178"/>
      <c r="OGN555" s="178"/>
      <c r="OGO555" s="178"/>
      <c r="OGP555" s="178"/>
      <c r="OGQ555" s="178"/>
      <c r="OGR555" s="178"/>
      <c r="OGS555" s="178"/>
      <c r="OGT555" s="178"/>
      <c r="OGU555" s="178"/>
      <c r="OGV555" s="178"/>
      <c r="OGW555" s="178"/>
      <c r="OGX555" s="178"/>
      <c r="OGY555" s="178"/>
      <c r="OGZ555" s="178"/>
      <c r="OHA555" s="178"/>
      <c r="OHB555" s="178"/>
      <c r="OHC555" s="178"/>
      <c r="OHD555" s="178"/>
      <c r="OHE555" s="178"/>
      <c r="OHF555" s="178"/>
      <c r="OHG555" s="178"/>
      <c r="OHH555" s="178"/>
      <c r="OHI555" s="178"/>
      <c r="OHJ555" s="178"/>
      <c r="OHK555" s="178"/>
      <c r="OHL555" s="178"/>
      <c r="OHM555" s="178"/>
      <c r="OHN555" s="178"/>
      <c r="OHO555" s="178"/>
      <c r="OHP555" s="178"/>
      <c r="OHQ555" s="178"/>
      <c r="OHR555" s="178"/>
      <c r="OHS555" s="178"/>
      <c r="OHT555" s="178"/>
      <c r="OHU555" s="178"/>
      <c r="OHV555" s="178"/>
      <c r="OHW555" s="178"/>
      <c r="OHX555" s="178"/>
      <c r="OHY555" s="178"/>
      <c r="OHZ555" s="178"/>
      <c r="OIA555" s="178"/>
      <c r="OIB555" s="178"/>
      <c r="OIC555" s="178"/>
      <c r="OID555" s="178"/>
      <c r="OIE555" s="178"/>
      <c r="OIF555" s="178"/>
      <c r="OIG555" s="178"/>
      <c r="OIH555" s="178"/>
      <c r="OII555" s="178"/>
      <c r="OIJ555" s="178"/>
      <c r="OIK555" s="178"/>
      <c r="OIL555" s="178"/>
      <c r="OIM555" s="178"/>
      <c r="OIN555" s="178"/>
      <c r="OIO555" s="178"/>
      <c r="OIP555" s="178"/>
      <c r="OIQ555" s="178"/>
      <c r="OIR555" s="178"/>
      <c r="OIS555" s="178"/>
      <c r="OIT555" s="178"/>
      <c r="OIU555" s="178"/>
      <c r="OIV555" s="178"/>
      <c r="OIW555" s="178"/>
      <c r="OIX555" s="178"/>
      <c r="OIY555" s="178"/>
      <c r="OIZ555" s="178"/>
      <c r="OJA555" s="178"/>
      <c r="OJB555" s="178"/>
      <c r="OJC555" s="178"/>
      <c r="OJD555" s="178"/>
      <c r="OJE555" s="178"/>
      <c r="OJF555" s="178"/>
      <c r="OJG555" s="178"/>
      <c r="OJH555" s="178"/>
      <c r="OJI555" s="178"/>
      <c r="OJJ555" s="178"/>
      <c r="OJK555" s="178"/>
      <c r="OJL555" s="178"/>
      <c r="OJM555" s="178"/>
      <c r="OJN555" s="178"/>
      <c r="OJO555" s="178"/>
      <c r="OJP555" s="178"/>
      <c r="OJQ555" s="178"/>
      <c r="OJR555" s="178"/>
      <c r="OJS555" s="178"/>
      <c r="OJT555" s="178"/>
      <c r="OJU555" s="178"/>
      <c r="OJV555" s="178"/>
      <c r="OJW555" s="178"/>
      <c r="OJX555" s="178"/>
      <c r="OJY555" s="178"/>
      <c r="OJZ555" s="178"/>
      <c r="OKA555" s="178"/>
      <c r="OKB555" s="178"/>
      <c r="OKC555" s="178"/>
      <c r="OKD555" s="178"/>
      <c r="OKE555" s="178"/>
      <c r="OKF555" s="178"/>
      <c r="OKG555" s="178"/>
      <c r="OKH555" s="178"/>
      <c r="OKI555" s="178"/>
      <c r="OKJ555" s="178"/>
      <c r="OKK555" s="178"/>
      <c r="OKL555" s="178"/>
      <c r="OKM555" s="178"/>
      <c r="OKN555" s="178"/>
      <c r="OKO555" s="178"/>
      <c r="OKP555" s="178"/>
      <c r="OKQ555" s="178"/>
      <c r="OKR555" s="178"/>
      <c r="OKS555" s="178"/>
      <c r="OKT555" s="178"/>
      <c r="OKU555" s="178"/>
      <c r="OKV555" s="178"/>
      <c r="OKW555" s="178"/>
      <c r="OKX555" s="178"/>
      <c r="OKY555" s="178"/>
      <c r="OKZ555" s="178"/>
      <c r="OLA555" s="178"/>
      <c r="OLB555" s="178"/>
      <c r="OLC555" s="178"/>
      <c r="OLD555" s="178"/>
      <c r="OLE555" s="178"/>
      <c r="OLF555" s="178"/>
      <c r="OLG555" s="178"/>
      <c r="OLH555" s="178"/>
      <c r="OLI555" s="178"/>
      <c r="OLJ555" s="178"/>
      <c r="OLK555" s="178"/>
      <c r="OLL555" s="178"/>
      <c r="OLM555" s="178"/>
      <c r="OLN555" s="178"/>
      <c r="OLO555" s="178"/>
      <c r="OLP555" s="178"/>
      <c r="OLQ555" s="178"/>
      <c r="OLR555" s="178"/>
      <c r="OLS555" s="178"/>
      <c r="OLT555" s="178"/>
      <c r="OLU555" s="178"/>
      <c r="OLV555" s="178"/>
      <c r="OLW555" s="178"/>
      <c r="OLX555" s="178"/>
      <c r="OLY555" s="178"/>
      <c r="OLZ555" s="178"/>
      <c r="OMA555" s="178"/>
      <c r="OMB555" s="178"/>
      <c r="OMC555" s="178"/>
      <c r="OMD555" s="178"/>
      <c r="OME555" s="178"/>
      <c r="OMF555" s="178"/>
      <c r="OMG555" s="178"/>
      <c r="OMH555" s="178"/>
      <c r="OMI555" s="178"/>
      <c r="OMJ555" s="178"/>
      <c r="OMK555" s="178"/>
      <c r="OML555" s="178"/>
      <c r="OMM555" s="178"/>
      <c r="OMN555" s="178"/>
      <c r="OMO555" s="178"/>
      <c r="OMP555" s="178"/>
      <c r="OMQ555" s="178"/>
      <c r="OMR555" s="178"/>
      <c r="OMS555" s="178"/>
      <c r="OMT555" s="178"/>
      <c r="OMU555" s="178"/>
      <c r="OMV555" s="178"/>
      <c r="OMW555" s="178"/>
      <c r="OMX555" s="178"/>
      <c r="OMY555" s="178"/>
      <c r="OMZ555" s="178"/>
      <c r="ONA555" s="178"/>
      <c r="ONB555" s="178"/>
      <c r="ONC555" s="178"/>
      <c r="OND555" s="178"/>
      <c r="ONE555" s="178"/>
      <c r="ONF555" s="178"/>
      <c r="ONG555" s="178"/>
      <c r="ONH555" s="178"/>
      <c r="ONI555" s="178"/>
      <c r="ONJ555" s="178"/>
      <c r="ONK555" s="178"/>
      <c r="ONL555" s="178"/>
      <c r="ONM555" s="178"/>
      <c r="ONN555" s="178"/>
      <c r="ONO555" s="178"/>
      <c r="ONP555" s="178"/>
      <c r="ONQ555" s="178"/>
      <c r="ONR555" s="178"/>
      <c r="ONS555" s="178"/>
      <c r="ONT555" s="178"/>
      <c r="ONU555" s="178"/>
      <c r="ONV555" s="178"/>
      <c r="ONW555" s="178"/>
      <c r="ONX555" s="178"/>
      <c r="ONY555" s="178"/>
      <c r="ONZ555" s="178"/>
      <c r="OOA555" s="178"/>
      <c r="OOB555" s="178"/>
      <c r="OOC555" s="178"/>
      <c r="OOD555" s="178"/>
      <c r="OOE555" s="178"/>
      <c r="OOF555" s="178"/>
      <c r="OOG555" s="178"/>
      <c r="OOH555" s="178"/>
      <c r="OOI555" s="178"/>
      <c r="OOJ555" s="178"/>
      <c r="OOK555" s="178"/>
      <c r="OOL555" s="178"/>
      <c r="OOM555" s="178"/>
      <c r="OON555" s="178"/>
      <c r="OOO555" s="178"/>
      <c r="OOP555" s="178"/>
      <c r="OOQ555" s="178"/>
      <c r="OOR555" s="178"/>
      <c r="OOS555" s="178"/>
      <c r="OOT555" s="178"/>
      <c r="OOU555" s="178"/>
      <c r="OOV555" s="178"/>
      <c r="OOW555" s="178"/>
      <c r="OOX555" s="178"/>
      <c r="OOY555" s="178"/>
      <c r="OOZ555" s="178"/>
      <c r="OPA555" s="178"/>
      <c r="OPB555" s="178"/>
      <c r="OPC555" s="178"/>
      <c r="OPD555" s="178"/>
      <c r="OPE555" s="178"/>
      <c r="OPF555" s="178"/>
      <c r="OPG555" s="178"/>
      <c r="OPH555" s="178"/>
      <c r="OPI555" s="178"/>
      <c r="OPJ555" s="178"/>
      <c r="OPK555" s="178"/>
      <c r="OPL555" s="178"/>
      <c r="OPM555" s="178"/>
      <c r="OPN555" s="178"/>
      <c r="OPO555" s="178"/>
      <c r="OPP555" s="178"/>
      <c r="OPQ555" s="178"/>
      <c r="OPR555" s="178"/>
      <c r="OPS555" s="178"/>
      <c r="OPT555" s="178"/>
      <c r="OPU555" s="178"/>
      <c r="OPV555" s="178"/>
      <c r="OPW555" s="178"/>
      <c r="OPX555" s="178"/>
      <c r="OPY555" s="178"/>
      <c r="OPZ555" s="178"/>
      <c r="OQA555" s="178"/>
      <c r="OQB555" s="178"/>
      <c r="OQC555" s="178"/>
      <c r="OQD555" s="178"/>
      <c r="OQE555" s="178"/>
      <c r="OQF555" s="178"/>
      <c r="OQG555" s="178"/>
      <c r="OQH555" s="178"/>
      <c r="OQI555" s="178"/>
      <c r="OQJ555" s="178"/>
      <c r="OQK555" s="178"/>
      <c r="OQL555" s="178"/>
      <c r="OQM555" s="178"/>
      <c r="OQN555" s="178"/>
      <c r="OQO555" s="178"/>
      <c r="OQP555" s="178"/>
      <c r="OQQ555" s="178"/>
      <c r="OQR555" s="178"/>
      <c r="OQS555" s="178"/>
      <c r="OQT555" s="178"/>
      <c r="OQU555" s="178"/>
      <c r="OQV555" s="178"/>
      <c r="OQW555" s="178"/>
      <c r="OQX555" s="178"/>
      <c r="OQY555" s="178"/>
      <c r="OQZ555" s="178"/>
      <c r="ORA555" s="178"/>
      <c r="ORB555" s="178"/>
      <c r="ORC555" s="178"/>
      <c r="ORD555" s="178"/>
      <c r="ORE555" s="178"/>
      <c r="ORF555" s="178"/>
      <c r="ORG555" s="178"/>
      <c r="ORH555" s="178"/>
      <c r="ORI555" s="178"/>
      <c r="ORJ555" s="178"/>
      <c r="ORK555" s="178"/>
      <c r="ORL555" s="178"/>
      <c r="ORM555" s="178"/>
      <c r="ORN555" s="178"/>
      <c r="ORO555" s="178"/>
      <c r="ORP555" s="178"/>
      <c r="ORQ555" s="178"/>
      <c r="ORR555" s="178"/>
      <c r="ORS555" s="178"/>
      <c r="ORT555" s="178"/>
      <c r="ORU555" s="178"/>
      <c r="ORV555" s="178"/>
      <c r="ORW555" s="178"/>
      <c r="ORX555" s="178"/>
      <c r="ORY555" s="178"/>
      <c r="ORZ555" s="178"/>
      <c r="OSA555" s="178"/>
      <c r="OSB555" s="178"/>
      <c r="OSC555" s="178"/>
      <c r="OSD555" s="178"/>
      <c r="OSE555" s="178"/>
      <c r="OSF555" s="178"/>
      <c r="OSG555" s="178"/>
      <c r="OSH555" s="178"/>
      <c r="OSI555" s="178"/>
      <c r="OSJ555" s="178"/>
      <c r="OSK555" s="178"/>
      <c r="OSL555" s="178"/>
      <c r="OSM555" s="178"/>
      <c r="OSN555" s="178"/>
      <c r="OSO555" s="178"/>
      <c r="OSP555" s="178"/>
      <c r="OSQ555" s="178"/>
      <c r="OSR555" s="178"/>
      <c r="OSS555" s="178"/>
      <c r="OST555" s="178"/>
      <c r="OSU555" s="178"/>
      <c r="OSV555" s="178"/>
      <c r="OSW555" s="178"/>
      <c r="OSX555" s="178"/>
      <c r="OSY555" s="178"/>
      <c r="OSZ555" s="178"/>
      <c r="OTA555" s="178"/>
      <c r="OTB555" s="178"/>
      <c r="OTC555" s="178"/>
      <c r="OTD555" s="178"/>
      <c r="OTE555" s="178"/>
      <c r="OTF555" s="178"/>
      <c r="OTG555" s="178"/>
      <c r="OTH555" s="178"/>
      <c r="OTI555" s="178"/>
      <c r="OTJ555" s="178"/>
      <c r="OTK555" s="178"/>
      <c r="OTL555" s="178"/>
      <c r="OTM555" s="178"/>
      <c r="OTN555" s="178"/>
      <c r="OTO555" s="178"/>
      <c r="OTP555" s="178"/>
      <c r="OTQ555" s="178"/>
      <c r="OTR555" s="178"/>
      <c r="OTS555" s="178"/>
      <c r="OTT555" s="178"/>
      <c r="OTU555" s="178"/>
      <c r="OTV555" s="178"/>
      <c r="OTW555" s="178"/>
      <c r="OTX555" s="178"/>
      <c r="OTY555" s="178"/>
      <c r="OTZ555" s="178"/>
      <c r="OUA555" s="178"/>
      <c r="OUB555" s="178"/>
      <c r="OUC555" s="178"/>
      <c r="OUD555" s="178"/>
      <c r="OUE555" s="178"/>
      <c r="OUF555" s="178"/>
      <c r="OUG555" s="178"/>
      <c r="OUH555" s="178"/>
      <c r="OUI555" s="178"/>
      <c r="OUJ555" s="178"/>
      <c r="OUK555" s="178"/>
      <c r="OUL555" s="178"/>
      <c r="OUM555" s="178"/>
      <c r="OUN555" s="178"/>
      <c r="OUO555" s="178"/>
      <c r="OUP555" s="178"/>
      <c r="OUQ555" s="178"/>
      <c r="OUR555" s="178"/>
      <c r="OUS555" s="178"/>
      <c r="OUT555" s="178"/>
      <c r="OUU555" s="178"/>
      <c r="OUV555" s="178"/>
      <c r="OUW555" s="178"/>
      <c r="OUX555" s="178"/>
      <c r="OUY555" s="178"/>
      <c r="OUZ555" s="178"/>
      <c r="OVA555" s="178"/>
      <c r="OVB555" s="178"/>
      <c r="OVC555" s="178"/>
      <c r="OVD555" s="178"/>
      <c r="OVE555" s="178"/>
      <c r="OVF555" s="178"/>
      <c r="OVG555" s="178"/>
      <c r="OVH555" s="178"/>
      <c r="OVI555" s="178"/>
      <c r="OVJ555" s="178"/>
      <c r="OVK555" s="178"/>
      <c r="OVL555" s="178"/>
      <c r="OVM555" s="178"/>
      <c r="OVN555" s="178"/>
      <c r="OVO555" s="178"/>
      <c r="OVP555" s="178"/>
      <c r="OVQ555" s="178"/>
      <c r="OVR555" s="178"/>
      <c r="OVS555" s="178"/>
      <c r="OVT555" s="178"/>
      <c r="OVU555" s="178"/>
      <c r="OVV555" s="178"/>
      <c r="OVW555" s="178"/>
      <c r="OVX555" s="178"/>
      <c r="OVY555" s="178"/>
      <c r="OVZ555" s="178"/>
      <c r="OWA555" s="178"/>
      <c r="OWB555" s="178"/>
      <c r="OWC555" s="178"/>
      <c r="OWD555" s="178"/>
      <c r="OWE555" s="178"/>
      <c r="OWF555" s="178"/>
      <c r="OWG555" s="178"/>
      <c r="OWH555" s="178"/>
      <c r="OWI555" s="178"/>
      <c r="OWJ555" s="178"/>
      <c r="OWK555" s="178"/>
      <c r="OWL555" s="178"/>
      <c r="OWM555" s="178"/>
      <c r="OWN555" s="178"/>
      <c r="OWO555" s="178"/>
      <c r="OWP555" s="178"/>
      <c r="OWQ555" s="178"/>
      <c r="OWR555" s="178"/>
      <c r="OWS555" s="178"/>
      <c r="OWT555" s="178"/>
      <c r="OWU555" s="178"/>
      <c r="OWV555" s="178"/>
      <c r="OWW555" s="178"/>
      <c r="OWX555" s="178"/>
      <c r="OWY555" s="178"/>
      <c r="OWZ555" s="178"/>
      <c r="OXA555" s="178"/>
      <c r="OXB555" s="178"/>
      <c r="OXC555" s="178"/>
      <c r="OXD555" s="178"/>
      <c r="OXE555" s="178"/>
      <c r="OXF555" s="178"/>
      <c r="OXG555" s="178"/>
      <c r="OXH555" s="178"/>
      <c r="OXI555" s="178"/>
      <c r="OXJ555" s="178"/>
      <c r="OXK555" s="178"/>
      <c r="OXL555" s="178"/>
      <c r="OXM555" s="178"/>
      <c r="OXN555" s="178"/>
      <c r="OXO555" s="178"/>
      <c r="OXP555" s="178"/>
      <c r="OXQ555" s="178"/>
      <c r="OXR555" s="178"/>
      <c r="OXS555" s="178"/>
      <c r="OXT555" s="178"/>
      <c r="OXU555" s="178"/>
      <c r="OXV555" s="178"/>
      <c r="OXW555" s="178"/>
      <c r="OXX555" s="178"/>
      <c r="OXY555" s="178"/>
      <c r="OXZ555" s="178"/>
      <c r="OYA555" s="178"/>
      <c r="OYB555" s="178"/>
      <c r="OYC555" s="178"/>
      <c r="OYD555" s="178"/>
      <c r="OYE555" s="178"/>
      <c r="OYF555" s="178"/>
      <c r="OYG555" s="178"/>
      <c r="OYH555" s="178"/>
      <c r="OYI555" s="178"/>
      <c r="OYJ555" s="178"/>
      <c r="OYK555" s="178"/>
      <c r="OYL555" s="178"/>
      <c r="OYM555" s="178"/>
      <c r="OYN555" s="178"/>
      <c r="OYO555" s="178"/>
      <c r="OYP555" s="178"/>
      <c r="OYQ555" s="178"/>
      <c r="OYR555" s="178"/>
      <c r="OYS555" s="178"/>
      <c r="OYT555" s="178"/>
      <c r="OYU555" s="178"/>
      <c r="OYV555" s="178"/>
      <c r="OYW555" s="178"/>
      <c r="OYX555" s="178"/>
      <c r="OYY555" s="178"/>
      <c r="OYZ555" s="178"/>
      <c r="OZA555" s="178"/>
      <c r="OZB555" s="178"/>
      <c r="OZC555" s="178"/>
      <c r="OZD555" s="178"/>
      <c r="OZE555" s="178"/>
      <c r="OZF555" s="178"/>
      <c r="OZG555" s="178"/>
      <c r="OZH555" s="178"/>
      <c r="OZI555" s="178"/>
      <c r="OZJ555" s="178"/>
      <c r="OZK555" s="178"/>
      <c r="OZL555" s="178"/>
      <c r="OZM555" s="178"/>
      <c r="OZN555" s="178"/>
      <c r="OZO555" s="178"/>
      <c r="OZP555" s="178"/>
      <c r="OZQ555" s="178"/>
      <c r="OZR555" s="178"/>
      <c r="OZS555" s="178"/>
      <c r="OZT555" s="178"/>
      <c r="OZU555" s="178"/>
      <c r="OZV555" s="178"/>
      <c r="OZW555" s="178"/>
      <c r="OZX555" s="178"/>
      <c r="OZY555" s="178"/>
      <c r="OZZ555" s="178"/>
      <c r="PAA555" s="178"/>
      <c r="PAB555" s="178"/>
      <c r="PAC555" s="178"/>
      <c r="PAD555" s="178"/>
      <c r="PAE555" s="178"/>
      <c r="PAF555" s="178"/>
      <c r="PAG555" s="178"/>
      <c r="PAH555" s="178"/>
      <c r="PAI555" s="178"/>
      <c r="PAJ555" s="178"/>
      <c r="PAK555" s="178"/>
      <c r="PAL555" s="178"/>
      <c r="PAM555" s="178"/>
      <c r="PAN555" s="178"/>
      <c r="PAO555" s="178"/>
      <c r="PAP555" s="178"/>
      <c r="PAQ555" s="178"/>
      <c r="PAR555" s="178"/>
      <c r="PAS555" s="178"/>
      <c r="PAT555" s="178"/>
      <c r="PAU555" s="178"/>
      <c r="PAV555" s="178"/>
      <c r="PAW555" s="178"/>
      <c r="PAX555" s="178"/>
      <c r="PAY555" s="178"/>
      <c r="PAZ555" s="178"/>
      <c r="PBA555" s="178"/>
      <c r="PBB555" s="178"/>
      <c r="PBC555" s="178"/>
      <c r="PBD555" s="178"/>
      <c r="PBE555" s="178"/>
      <c r="PBF555" s="178"/>
      <c r="PBG555" s="178"/>
      <c r="PBH555" s="178"/>
      <c r="PBI555" s="178"/>
      <c r="PBJ555" s="178"/>
      <c r="PBK555" s="178"/>
      <c r="PBL555" s="178"/>
      <c r="PBM555" s="178"/>
      <c r="PBN555" s="178"/>
      <c r="PBO555" s="178"/>
      <c r="PBP555" s="178"/>
      <c r="PBQ555" s="178"/>
      <c r="PBR555" s="178"/>
      <c r="PBS555" s="178"/>
      <c r="PBT555" s="178"/>
      <c r="PBU555" s="178"/>
      <c r="PBV555" s="178"/>
      <c r="PBW555" s="178"/>
      <c r="PBX555" s="178"/>
      <c r="PBY555" s="178"/>
      <c r="PBZ555" s="178"/>
      <c r="PCA555" s="178"/>
      <c r="PCB555" s="178"/>
      <c r="PCC555" s="178"/>
      <c r="PCD555" s="178"/>
      <c r="PCE555" s="178"/>
      <c r="PCF555" s="178"/>
      <c r="PCG555" s="178"/>
      <c r="PCH555" s="178"/>
      <c r="PCI555" s="178"/>
      <c r="PCJ555" s="178"/>
      <c r="PCK555" s="178"/>
      <c r="PCL555" s="178"/>
      <c r="PCM555" s="178"/>
      <c r="PCN555" s="178"/>
      <c r="PCO555" s="178"/>
      <c r="PCP555" s="178"/>
      <c r="PCQ555" s="178"/>
      <c r="PCR555" s="178"/>
      <c r="PCS555" s="178"/>
      <c r="PCT555" s="178"/>
      <c r="PCU555" s="178"/>
      <c r="PCV555" s="178"/>
      <c r="PCW555" s="178"/>
      <c r="PCX555" s="178"/>
      <c r="PCY555" s="178"/>
      <c r="PCZ555" s="178"/>
      <c r="PDA555" s="178"/>
      <c r="PDB555" s="178"/>
      <c r="PDC555" s="178"/>
      <c r="PDD555" s="178"/>
      <c r="PDE555" s="178"/>
      <c r="PDF555" s="178"/>
      <c r="PDG555" s="178"/>
      <c r="PDH555" s="178"/>
      <c r="PDI555" s="178"/>
      <c r="PDJ555" s="178"/>
      <c r="PDK555" s="178"/>
      <c r="PDL555" s="178"/>
      <c r="PDM555" s="178"/>
      <c r="PDN555" s="178"/>
      <c r="PDO555" s="178"/>
      <c r="PDP555" s="178"/>
      <c r="PDQ555" s="178"/>
      <c r="PDR555" s="178"/>
      <c r="PDS555" s="178"/>
      <c r="PDT555" s="178"/>
      <c r="PDU555" s="178"/>
      <c r="PDV555" s="178"/>
      <c r="PDW555" s="178"/>
      <c r="PDX555" s="178"/>
      <c r="PDY555" s="178"/>
      <c r="PDZ555" s="178"/>
      <c r="PEA555" s="178"/>
      <c r="PEB555" s="178"/>
      <c r="PEC555" s="178"/>
      <c r="PED555" s="178"/>
      <c r="PEE555" s="178"/>
      <c r="PEF555" s="178"/>
      <c r="PEG555" s="178"/>
      <c r="PEH555" s="178"/>
      <c r="PEI555" s="178"/>
      <c r="PEJ555" s="178"/>
      <c r="PEK555" s="178"/>
      <c r="PEL555" s="178"/>
      <c r="PEM555" s="178"/>
      <c r="PEN555" s="178"/>
      <c r="PEO555" s="178"/>
      <c r="PEP555" s="178"/>
      <c r="PEQ555" s="178"/>
      <c r="PER555" s="178"/>
      <c r="PES555" s="178"/>
      <c r="PET555" s="178"/>
      <c r="PEU555" s="178"/>
      <c r="PEV555" s="178"/>
      <c r="PEW555" s="178"/>
      <c r="PEX555" s="178"/>
      <c r="PEY555" s="178"/>
      <c r="PEZ555" s="178"/>
      <c r="PFA555" s="178"/>
      <c r="PFB555" s="178"/>
      <c r="PFC555" s="178"/>
      <c r="PFD555" s="178"/>
      <c r="PFE555" s="178"/>
      <c r="PFF555" s="178"/>
      <c r="PFG555" s="178"/>
      <c r="PFH555" s="178"/>
      <c r="PFI555" s="178"/>
      <c r="PFJ555" s="178"/>
      <c r="PFK555" s="178"/>
      <c r="PFL555" s="178"/>
      <c r="PFM555" s="178"/>
      <c r="PFN555" s="178"/>
      <c r="PFO555" s="178"/>
      <c r="PFP555" s="178"/>
      <c r="PFQ555" s="178"/>
      <c r="PFR555" s="178"/>
      <c r="PFS555" s="178"/>
      <c r="PFT555" s="178"/>
      <c r="PFU555" s="178"/>
      <c r="PFV555" s="178"/>
      <c r="PFW555" s="178"/>
      <c r="PFX555" s="178"/>
      <c r="PFY555" s="178"/>
      <c r="PFZ555" s="178"/>
      <c r="PGA555" s="178"/>
      <c r="PGB555" s="178"/>
      <c r="PGC555" s="178"/>
      <c r="PGD555" s="178"/>
      <c r="PGE555" s="178"/>
      <c r="PGF555" s="178"/>
      <c r="PGG555" s="178"/>
      <c r="PGH555" s="178"/>
      <c r="PGI555" s="178"/>
      <c r="PGJ555" s="178"/>
      <c r="PGK555" s="178"/>
      <c r="PGL555" s="178"/>
      <c r="PGM555" s="178"/>
      <c r="PGN555" s="178"/>
      <c r="PGO555" s="178"/>
      <c r="PGP555" s="178"/>
      <c r="PGQ555" s="178"/>
      <c r="PGR555" s="178"/>
      <c r="PGS555" s="178"/>
      <c r="PGT555" s="178"/>
      <c r="PGU555" s="178"/>
      <c r="PGV555" s="178"/>
      <c r="PGW555" s="178"/>
      <c r="PGX555" s="178"/>
      <c r="PGY555" s="178"/>
      <c r="PGZ555" s="178"/>
      <c r="PHA555" s="178"/>
      <c r="PHB555" s="178"/>
      <c r="PHC555" s="178"/>
      <c r="PHD555" s="178"/>
      <c r="PHE555" s="178"/>
      <c r="PHF555" s="178"/>
      <c r="PHG555" s="178"/>
      <c r="PHH555" s="178"/>
      <c r="PHI555" s="178"/>
      <c r="PHJ555" s="178"/>
      <c r="PHK555" s="178"/>
      <c r="PHL555" s="178"/>
      <c r="PHM555" s="178"/>
      <c r="PHN555" s="178"/>
      <c r="PHO555" s="178"/>
      <c r="PHP555" s="178"/>
      <c r="PHQ555" s="178"/>
      <c r="PHR555" s="178"/>
      <c r="PHS555" s="178"/>
      <c r="PHT555" s="178"/>
      <c r="PHU555" s="178"/>
      <c r="PHV555" s="178"/>
      <c r="PHW555" s="178"/>
      <c r="PHX555" s="178"/>
      <c r="PHY555" s="178"/>
      <c r="PHZ555" s="178"/>
      <c r="PIA555" s="178"/>
      <c r="PIB555" s="178"/>
      <c r="PIC555" s="178"/>
      <c r="PID555" s="178"/>
      <c r="PIE555" s="178"/>
      <c r="PIF555" s="178"/>
      <c r="PIG555" s="178"/>
      <c r="PIH555" s="178"/>
      <c r="PII555" s="178"/>
      <c r="PIJ555" s="178"/>
      <c r="PIK555" s="178"/>
      <c r="PIL555" s="178"/>
      <c r="PIM555" s="178"/>
      <c r="PIN555" s="178"/>
      <c r="PIO555" s="178"/>
      <c r="PIP555" s="178"/>
      <c r="PIQ555" s="178"/>
      <c r="PIR555" s="178"/>
      <c r="PIS555" s="178"/>
      <c r="PIT555" s="178"/>
      <c r="PIU555" s="178"/>
      <c r="PIV555" s="178"/>
      <c r="PIW555" s="178"/>
      <c r="PIX555" s="178"/>
      <c r="PIY555" s="178"/>
      <c r="PIZ555" s="178"/>
      <c r="PJA555" s="178"/>
      <c r="PJB555" s="178"/>
      <c r="PJC555" s="178"/>
      <c r="PJD555" s="178"/>
      <c r="PJE555" s="178"/>
      <c r="PJF555" s="178"/>
      <c r="PJG555" s="178"/>
      <c r="PJH555" s="178"/>
      <c r="PJI555" s="178"/>
      <c r="PJJ555" s="178"/>
      <c r="PJK555" s="178"/>
      <c r="PJL555" s="178"/>
      <c r="PJM555" s="178"/>
      <c r="PJN555" s="178"/>
      <c r="PJO555" s="178"/>
      <c r="PJP555" s="178"/>
      <c r="PJQ555" s="178"/>
      <c r="PJR555" s="178"/>
      <c r="PJS555" s="178"/>
      <c r="PJT555" s="178"/>
      <c r="PJU555" s="178"/>
      <c r="PJV555" s="178"/>
      <c r="PJW555" s="178"/>
      <c r="PJX555" s="178"/>
      <c r="PJY555" s="178"/>
      <c r="PJZ555" s="178"/>
      <c r="PKA555" s="178"/>
      <c r="PKB555" s="178"/>
      <c r="PKC555" s="178"/>
      <c r="PKD555" s="178"/>
      <c r="PKE555" s="178"/>
      <c r="PKF555" s="178"/>
      <c r="PKG555" s="178"/>
      <c r="PKH555" s="178"/>
      <c r="PKI555" s="178"/>
      <c r="PKJ555" s="178"/>
      <c r="PKK555" s="178"/>
      <c r="PKL555" s="178"/>
      <c r="PKM555" s="178"/>
      <c r="PKN555" s="178"/>
      <c r="PKO555" s="178"/>
      <c r="PKP555" s="178"/>
      <c r="PKQ555" s="178"/>
      <c r="PKR555" s="178"/>
      <c r="PKS555" s="178"/>
      <c r="PKT555" s="178"/>
      <c r="PKU555" s="178"/>
      <c r="PKV555" s="178"/>
      <c r="PKW555" s="178"/>
      <c r="PKX555" s="178"/>
      <c r="PKY555" s="178"/>
      <c r="PKZ555" s="178"/>
      <c r="PLA555" s="178"/>
      <c r="PLB555" s="178"/>
      <c r="PLC555" s="178"/>
      <c r="PLD555" s="178"/>
      <c r="PLE555" s="178"/>
      <c r="PLF555" s="178"/>
      <c r="PLG555" s="178"/>
      <c r="PLH555" s="178"/>
      <c r="PLI555" s="178"/>
      <c r="PLJ555" s="178"/>
      <c r="PLK555" s="178"/>
      <c r="PLL555" s="178"/>
      <c r="PLM555" s="178"/>
      <c r="PLN555" s="178"/>
      <c r="PLO555" s="178"/>
      <c r="PLP555" s="178"/>
      <c r="PLQ555" s="178"/>
      <c r="PLR555" s="178"/>
      <c r="PLS555" s="178"/>
      <c r="PLT555" s="178"/>
      <c r="PLU555" s="178"/>
      <c r="PLV555" s="178"/>
      <c r="PLW555" s="178"/>
      <c r="PLX555" s="178"/>
      <c r="PLY555" s="178"/>
      <c r="PLZ555" s="178"/>
      <c r="PMA555" s="178"/>
      <c r="PMB555" s="178"/>
      <c r="PMC555" s="178"/>
      <c r="PMD555" s="178"/>
      <c r="PME555" s="178"/>
      <c r="PMF555" s="178"/>
      <c r="PMG555" s="178"/>
      <c r="PMH555" s="178"/>
      <c r="PMI555" s="178"/>
      <c r="PMJ555" s="178"/>
      <c r="PMK555" s="178"/>
      <c r="PML555" s="178"/>
      <c r="PMM555" s="178"/>
      <c r="PMN555" s="178"/>
      <c r="PMO555" s="178"/>
      <c r="PMP555" s="178"/>
      <c r="PMQ555" s="178"/>
      <c r="PMR555" s="178"/>
      <c r="PMS555" s="178"/>
      <c r="PMT555" s="178"/>
      <c r="PMU555" s="178"/>
      <c r="PMV555" s="178"/>
      <c r="PMW555" s="178"/>
      <c r="PMX555" s="178"/>
      <c r="PMY555" s="178"/>
      <c r="PMZ555" s="178"/>
      <c r="PNA555" s="178"/>
      <c r="PNB555" s="178"/>
      <c r="PNC555" s="178"/>
      <c r="PND555" s="178"/>
      <c r="PNE555" s="178"/>
      <c r="PNF555" s="178"/>
      <c r="PNG555" s="178"/>
      <c r="PNH555" s="178"/>
      <c r="PNI555" s="178"/>
      <c r="PNJ555" s="178"/>
      <c r="PNK555" s="178"/>
      <c r="PNL555" s="178"/>
      <c r="PNM555" s="178"/>
      <c r="PNN555" s="178"/>
      <c r="PNO555" s="178"/>
      <c r="PNP555" s="178"/>
      <c r="PNQ555" s="178"/>
      <c r="PNR555" s="178"/>
      <c r="PNS555" s="178"/>
      <c r="PNT555" s="178"/>
      <c r="PNU555" s="178"/>
      <c r="PNV555" s="178"/>
      <c r="PNW555" s="178"/>
      <c r="PNX555" s="178"/>
      <c r="PNY555" s="178"/>
      <c r="PNZ555" s="178"/>
      <c r="POA555" s="178"/>
      <c r="POB555" s="178"/>
      <c r="POC555" s="178"/>
      <c r="POD555" s="178"/>
      <c r="POE555" s="178"/>
      <c r="POF555" s="178"/>
      <c r="POG555" s="178"/>
      <c r="POH555" s="178"/>
      <c r="POI555" s="178"/>
      <c r="POJ555" s="178"/>
      <c r="POK555" s="178"/>
      <c r="POL555" s="178"/>
      <c r="POM555" s="178"/>
      <c r="PON555" s="178"/>
      <c r="POO555" s="178"/>
      <c r="POP555" s="178"/>
      <c r="POQ555" s="178"/>
      <c r="POR555" s="178"/>
      <c r="POS555" s="178"/>
      <c r="POT555" s="178"/>
      <c r="POU555" s="178"/>
      <c r="POV555" s="178"/>
      <c r="POW555" s="178"/>
      <c r="POX555" s="178"/>
      <c r="POY555" s="178"/>
      <c r="POZ555" s="178"/>
      <c r="PPA555" s="178"/>
      <c r="PPB555" s="178"/>
      <c r="PPC555" s="178"/>
      <c r="PPD555" s="178"/>
      <c r="PPE555" s="178"/>
      <c r="PPF555" s="178"/>
      <c r="PPG555" s="178"/>
      <c r="PPH555" s="178"/>
      <c r="PPI555" s="178"/>
      <c r="PPJ555" s="178"/>
      <c r="PPK555" s="178"/>
      <c r="PPL555" s="178"/>
      <c r="PPM555" s="178"/>
      <c r="PPN555" s="178"/>
      <c r="PPO555" s="178"/>
      <c r="PPP555" s="178"/>
      <c r="PPQ555" s="178"/>
      <c r="PPR555" s="178"/>
      <c r="PPS555" s="178"/>
      <c r="PPT555" s="178"/>
      <c r="PPU555" s="178"/>
      <c r="PPV555" s="178"/>
      <c r="PPW555" s="178"/>
      <c r="PPX555" s="178"/>
      <c r="PPY555" s="178"/>
      <c r="PPZ555" s="178"/>
      <c r="PQA555" s="178"/>
      <c r="PQB555" s="178"/>
      <c r="PQC555" s="178"/>
      <c r="PQD555" s="178"/>
      <c r="PQE555" s="178"/>
      <c r="PQF555" s="178"/>
      <c r="PQG555" s="178"/>
      <c r="PQH555" s="178"/>
      <c r="PQI555" s="178"/>
      <c r="PQJ555" s="178"/>
      <c r="PQK555" s="178"/>
      <c r="PQL555" s="178"/>
      <c r="PQM555" s="178"/>
      <c r="PQN555" s="178"/>
      <c r="PQO555" s="178"/>
      <c r="PQP555" s="178"/>
      <c r="PQQ555" s="178"/>
      <c r="PQR555" s="178"/>
      <c r="PQS555" s="178"/>
      <c r="PQT555" s="178"/>
      <c r="PQU555" s="178"/>
      <c r="PQV555" s="178"/>
      <c r="PQW555" s="178"/>
      <c r="PQX555" s="178"/>
      <c r="PQY555" s="178"/>
      <c r="PQZ555" s="178"/>
      <c r="PRA555" s="178"/>
      <c r="PRB555" s="178"/>
      <c r="PRC555" s="178"/>
      <c r="PRD555" s="178"/>
      <c r="PRE555" s="178"/>
      <c r="PRF555" s="178"/>
      <c r="PRG555" s="178"/>
      <c r="PRH555" s="178"/>
      <c r="PRI555" s="178"/>
      <c r="PRJ555" s="178"/>
      <c r="PRK555" s="178"/>
      <c r="PRL555" s="178"/>
      <c r="PRM555" s="178"/>
      <c r="PRN555" s="178"/>
      <c r="PRO555" s="178"/>
      <c r="PRP555" s="178"/>
      <c r="PRQ555" s="178"/>
      <c r="PRR555" s="178"/>
      <c r="PRS555" s="178"/>
      <c r="PRT555" s="178"/>
      <c r="PRU555" s="178"/>
      <c r="PRV555" s="178"/>
      <c r="PRW555" s="178"/>
      <c r="PRX555" s="178"/>
      <c r="PRY555" s="178"/>
      <c r="PRZ555" s="178"/>
      <c r="PSA555" s="178"/>
      <c r="PSB555" s="178"/>
      <c r="PSC555" s="178"/>
      <c r="PSD555" s="178"/>
      <c r="PSE555" s="178"/>
      <c r="PSF555" s="178"/>
      <c r="PSG555" s="178"/>
      <c r="PSH555" s="178"/>
      <c r="PSI555" s="178"/>
      <c r="PSJ555" s="178"/>
      <c r="PSK555" s="178"/>
      <c r="PSL555" s="178"/>
      <c r="PSM555" s="178"/>
      <c r="PSN555" s="178"/>
      <c r="PSO555" s="178"/>
      <c r="PSP555" s="178"/>
      <c r="PSQ555" s="178"/>
      <c r="PSR555" s="178"/>
      <c r="PSS555" s="178"/>
      <c r="PST555" s="178"/>
      <c r="PSU555" s="178"/>
      <c r="PSV555" s="178"/>
      <c r="PSW555" s="178"/>
      <c r="PSX555" s="178"/>
      <c r="PSY555" s="178"/>
      <c r="PSZ555" s="178"/>
      <c r="PTA555" s="178"/>
      <c r="PTB555" s="178"/>
      <c r="PTC555" s="178"/>
      <c r="PTD555" s="178"/>
      <c r="PTE555" s="178"/>
      <c r="PTF555" s="178"/>
      <c r="PTG555" s="178"/>
      <c r="PTH555" s="178"/>
      <c r="PTI555" s="178"/>
      <c r="PTJ555" s="178"/>
      <c r="PTK555" s="178"/>
      <c r="PTL555" s="178"/>
      <c r="PTM555" s="178"/>
      <c r="PTN555" s="178"/>
      <c r="PTO555" s="178"/>
      <c r="PTP555" s="178"/>
      <c r="PTQ555" s="178"/>
      <c r="PTR555" s="178"/>
      <c r="PTS555" s="178"/>
      <c r="PTT555" s="178"/>
      <c r="PTU555" s="178"/>
      <c r="PTV555" s="178"/>
      <c r="PTW555" s="178"/>
      <c r="PTX555" s="178"/>
      <c r="PTY555" s="178"/>
      <c r="PTZ555" s="178"/>
      <c r="PUA555" s="178"/>
      <c r="PUB555" s="178"/>
      <c r="PUC555" s="178"/>
      <c r="PUD555" s="178"/>
      <c r="PUE555" s="178"/>
      <c r="PUF555" s="178"/>
      <c r="PUG555" s="178"/>
      <c r="PUH555" s="178"/>
      <c r="PUI555" s="178"/>
      <c r="PUJ555" s="178"/>
      <c r="PUK555" s="178"/>
      <c r="PUL555" s="178"/>
      <c r="PUM555" s="178"/>
      <c r="PUN555" s="178"/>
      <c r="PUO555" s="178"/>
      <c r="PUP555" s="178"/>
      <c r="PUQ555" s="178"/>
      <c r="PUR555" s="178"/>
      <c r="PUS555" s="178"/>
      <c r="PUT555" s="178"/>
      <c r="PUU555" s="178"/>
      <c r="PUV555" s="178"/>
      <c r="PUW555" s="178"/>
      <c r="PUX555" s="178"/>
      <c r="PUY555" s="178"/>
      <c r="PUZ555" s="178"/>
      <c r="PVA555" s="178"/>
      <c r="PVB555" s="178"/>
      <c r="PVC555" s="178"/>
      <c r="PVD555" s="178"/>
      <c r="PVE555" s="178"/>
      <c r="PVF555" s="178"/>
      <c r="PVG555" s="178"/>
      <c r="PVH555" s="178"/>
      <c r="PVI555" s="178"/>
      <c r="PVJ555" s="178"/>
      <c r="PVK555" s="178"/>
      <c r="PVL555" s="178"/>
      <c r="PVM555" s="178"/>
      <c r="PVN555" s="178"/>
      <c r="PVO555" s="178"/>
      <c r="PVP555" s="178"/>
      <c r="PVQ555" s="178"/>
      <c r="PVR555" s="178"/>
      <c r="PVS555" s="178"/>
      <c r="PVT555" s="178"/>
      <c r="PVU555" s="178"/>
      <c r="PVV555" s="178"/>
      <c r="PVW555" s="178"/>
      <c r="PVX555" s="178"/>
      <c r="PVY555" s="178"/>
      <c r="PVZ555" s="178"/>
      <c r="PWA555" s="178"/>
      <c r="PWB555" s="178"/>
      <c r="PWC555" s="178"/>
      <c r="PWD555" s="178"/>
      <c r="PWE555" s="178"/>
      <c r="PWF555" s="178"/>
      <c r="PWG555" s="178"/>
      <c r="PWH555" s="178"/>
      <c r="PWI555" s="178"/>
      <c r="PWJ555" s="178"/>
      <c r="PWK555" s="178"/>
      <c r="PWL555" s="178"/>
      <c r="PWM555" s="178"/>
      <c r="PWN555" s="178"/>
      <c r="PWO555" s="178"/>
      <c r="PWP555" s="178"/>
      <c r="PWQ555" s="178"/>
      <c r="PWR555" s="178"/>
      <c r="PWS555" s="178"/>
      <c r="PWT555" s="178"/>
      <c r="PWU555" s="178"/>
      <c r="PWV555" s="178"/>
      <c r="PWW555" s="178"/>
      <c r="PWX555" s="178"/>
      <c r="PWY555" s="178"/>
      <c r="PWZ555" s="178"/>
      <c r="PXA555" s="178"/>
      <c r="PXB555" s="178"/>
      <c r="PXC555" s="178"/>
      <c r="PXD555" s="178"/>
      <c r="PXE555" s="178"/>
      <c r="PXF555" s="178"/>
      <c r="PXG555" s="178"/>
      <c r="PXH555" s="178"/>
      <c r="PXI555" s="178"/>
      <c r="PXJ555" s="178"/>
      <c r="PXK555" s="178"/>
      <c r="PXL555" s="178"/>
      <c r="PXM555" s="178"/>
      <c r="PXN555" s="178"/>
      <c r="PXO555" s="178"/>
      <c r="PXP555" s="178"/>
      <c r="PXQ555" s="178"/>
      <c r="PXR555" s="178"/>
      <c r="PXS555" s="178"/>
      <c r="PXT555" s="178"/>
      <c r="PXU555" s="178"/>
      <c r="PXV555" s="178"/>
      <c r="PXW555" s="178"/>
      <c r="PXX555" s="178"/>
      <c r="PXY555" s="178"/>
      <c r="PXZ555" s="178"/>
      <c r="PYA555" s="178"/>
      <c r="PYB555" s="178"/>
      <c r="PYC555" s="178"/>
      <c r="PYD555" s="178"/>
      <c r="PYE555" s="178"/>
      <c r="PYF555" s="178"/>
      <c r="PYG555" s="178"/>
      <c r="PYH555" s="178"/>
      <c r="PYI555" s="178"/>
      <c r="PYJ555" s="178"/>
      <c r="PYK555" s="178"/>
      <c r="PYL555" s="178"/>
      <c r="PYM555" s="178"/>
      <c r="PYN555" s="178"/>
      <c r="PYO555" s="178"/>
      <c r="PYP555" s="178"/>
      <c r="PYQ555" s="178"/>
      <c r="PYR555" s="178"/>
      <c r="PYS555" s="178"/>
      <c r="PYT555" s="178"/>
      <c r="PYU555" s="178"/>
      <c r="PYV555" s="178"/>
      <c r="PYW555" s="178"/>
      <c r="PYX555" s="178"/>
      <c r="PYY555" s="178"/>
      <c r="PYZ555" s="178"/>
      <c r="PZA555" s="178"/>
      <c r="PZB555" s="178"/>
      <c r="PZC555" s="178"/>
      <c r="PZD555" s="178"/>
      <c r="PZE555" s="178"/>
      <c r="PZF555" s="178"/>
      <c r="PZG555" s="178"/>
      <c r="PZH555" s="178"/>
      <c r="PZI555" s="178"/>
      <c r="PZJ555" s="178"/>
      <c r="PZK555" s="178"/>
      <c r="PZL555" s="178"/>
      <c r="PZM555" s="178"/>
      <c r="PZN555" s="178"/>
      <c r="PZO555" s="178"/>
      <c r="PZP555" s="178"/>
      <c r="PZQ555" s="178"/>
      <c r="PZR555" s="178"/>
      <c r="PZS555" s="178"/>
      <c r="PZT555" s="178"/>
      <c r="PZU555" s="178"/>
      <c r="PZV555" s="178"/>
      <c r="PZW555" s="178"/>
      <c r="PZX555" s="178"/>
      <c r="PZY555" s="178"/>
      <c r="PZZ555" s="178"/>
      <c r="QAA555" s="178"/>
      <c r="QAB555" s="178"/>
      <c r="QAC555" s="178"/>
      <c r="QAD555" s="178"/>
      <c r="QAE555" s="178"/>
      <c r="QAF555" s="178"/>
      <c r="QAG555" s="178"/>
      <c r="QAH555" s="178"/>
      <c r="QAI555" s="178"/>
      <c r="QAJ555" s="178"/>
      <c r="QAK555" s="178"/>
      <c r="QAL555" s="178"/>
      <c r="QAM555" s="178"/>
      <c r="QAN555" s="178"/>
      <c r="QAO555" s="178"/>
      <c r="QAP555" s="178"/>
      <c r="QAQ555" s="178"/>
      <c r="QAR555" s="178"/>
      <c r="QAS555" s="178"/>
      <c r="QAT555" s="178"/>
      <c r="QAU555" s="178"/>
      <c r="QAV555" s="178"/>
      <c r="QAW555" s="178"/>
      <c r="QAX555" s="178"/>
      <c r="QAY555" s="178"/>
      <c r="QAZ555" s="178"/>
      <c r="QBA555" s="178"/>
      <c r="QBB555" s="178"/>
      <c r="QBC555" s="178"/>
      <c r="QBD555" s="178"/>
      <c r="QBE555" s="178"/>
      <c r="QBF555" s="178"/>
      <c r="QBG555" s="178"/>
      <c r="QBH555" s="178"/>
      <c r="QBI555" s="178"/>
      <c r="QBJ555" s="178"/>
      <c r="QBK555" s="178"/>
      <c r="QBL555" s="178"/>
      <c r="QBM555" s="178"/>
      <c r="QBN555" s="178"/>
      <c r="QBO555" s="178"/>
      <c r="QBP555" s="178"/>
      <c r="QBQ555" s="178"/>
      <c r="QBR555" s="178"/>
      <c r="QBS555" s="178"/>
      <c r="QBT555" s="178"/>
      <c r="QBU555" s="178"/>
      <c r="QBV555" s="178"/>
      <c r="QBW555" s="178"/>
      <c r="QBX555" s="178"/>
      <c r="QBY555" s="178"/>
      <c r="QBZ555" s="178"/>
      <c r="QCA555" s="178"/>
      <c r="QCB555" s="178"/>
      <c r="QCC555" s="178"/>
      <c r="QCD555" s="178"/>
      <c r="QCE555" s="178"/>
      <c r="QCF555" s="178"/>
      <c r="QCG555" s="178"/>
      <c r="QCH555" s="178"/>
      <c r="QCI555" s="178"/>
      <c r="QCJ555" s="178"/>
      <c r="QCK555" s="178"/>
      <c r="QCL555" s="178"/>
      <c r="QCM555" s="178"/>
      <c r="QCN555" s="178"/>
      <c r="QCO555" s="178"/>
      <c r="QCP555" s="178"/>
      <c r="QCQ555" s="178"/>
      <c r="QCR555" s="178"/>
      <c r="QCS555" s="178"/>
      <c r="QCT555" s="178"/>
      <c r="QCU555" s="178"/>
      <c r="QCV555" s="178"/>
      <c r="QCW555" s="178"/>
      <c r="QCX555" s="178"/>
      <c r="QCY555" s="178"/>
      <c r="QCZ555" s="178"/>
      <c r="QDA555" s="178"/>
      <c r="QDB555" s="178"/>
      <c r="QDC555" s="178"/>
      <c r="QDD555" s="178"/>
      <c r="QDE555" s="178"/>
      <c r="QDF555" s="178"/>
      <c r="QDG555" s="178"/>
      <c r="QDH555" s="178"/>
      <c r="QDI555" s="178"/>
      <c r="QDJ555" s="178"/>
      <c r="QDK555" s="178"/>
      <c r="QDL555" s="178"/>
      <c r="QDM555" s="178"/>
      <c r="QDN555" s="178"/>
      <c r="QDO555" s="178"/>
      <c r="QDP555" s="178"/>
      <c r="QDQ555" s="178"/>
      <c r="QDR555" s="178"/>
      <c r="QDS555" s="178"/>
      <c r="QDT555" s="178"/>
      <c r="QDU555" s="178"/>
      <c r="QDV555" s="178"/>
      <c r="QDW555" s="178"/>
      <c r="QDX555" s="178"/>
      <c r="QDY555" s="178"/>
      <c r="QDZ555" s="178"/>
      <c r="QEA555" s="178"/>
      <c r="QEB555" s="178"/>
      <c r="QEC555" s="178"/>
      <c r="QED555" s="178"/>
      <c r="QEE555" s="178"/>
      <c r="QEF555" s="178"/>
      <c r="QEG555" s="178"/>
      <c r="QEH555" s="178"/>
      <c r="QEI555" s="178"/>
      <c r="QEJ555" s="178"/>
      <c r="QEK555" s="178"/>
      <c r="QEL555" s="178"/>
      <c r="QEM555" s="178"/>
      <c r="QEN555" s="178"/>
      <c r="QEO555" s="178"/>
      <c r="QEP555" s="178"/>
      <c r="QEQ555" s="178"/>
      <c r="QER555" s="178"/>
      <c r="QES555" s="178"/>
      <c r="QET555" s="178"/>
      <c r="QEU555" s="178"/>
      <c r="QEV555" s="178"/>
      <c r="QEW555" s="178"/>
      <c r="QEX555" s="178"/>
      <c r="QEY555" s="178"/>
      <c r="QEZ555" s="178"/>
      <c r="QFA555" s="178"/>
      <c r="QFB555" s="178"/>
      <c r="QFC555" s="178"/>
      <c r="QFD555" s="178"/>
      <c r="QFE555" s="178"/>
      <c r="QFF555" s="178"/>
      <c r="QFG555" s="178"/>
      <c r="QFH555" s="178"/>
      <c r="QFI555" s="178"/>
      <c r="QFJ555" s="178"/>
      <c r="QFK555" s="178"/>
      <c r="QFL555" s="178"/>
      <c r="QFM555" s="178"/>
      <c r="QFN555" s="178"/>
      <c r="QFO555" s="178"/>
      <c r="QFP555" s="178"/>
      <c r="QFQ555" s="178"/>
      <c r="QFR555" s="178"/>
      <c r="QFS555" s="178"/>
      <c r="QFT555" s="178"/>
      <c r="QFU555" s="178"/>
      <c r="QFV555" s="178"/>
      <c r="QFW555" s="178"/>
      <c r="QFX555" s="178"/>
      <c r="QFY555" s="178"/>
      <c r="QFZ555" s="178"/>
      <c r="QGA555" s="178"/>
      <c r="QGB555" s="178"/>
      <c r="QGC555" s="178"/>
      <c r="QGD555" s="178"/>
      <c r="QGE555" s="178"/>
      <c r="QGF555" s="178"/>
      <c r="QGG555" s="178"/>
      <c r="QGH555" s="178"/>
      <c r="QGI555" s="178"/>
      <c r="QGJ555" s="178"/>
      <c r="QGK555" s="178"/>
      <c r="QGL555" s="178"/>
      <c r="QGM555" s="178"/>
      <c r="QGN555" s="178"/>
      <c r="QGO555" s="178"/>
      <c r="QGP555" s="178"/>
      <c r="QGQ555" s="178"/>
      <c r="QGR555" s="178"/>
      <c r="QGS555" s="178"/>
      <c r="QGT555" s="178"/>
      <c r="QGU555" s="178"/>
      <c r="QGV555" s="178"/>
      <c r="QGW555" s="178"/>
      <c r="QGX555" s="178"/>
      <c r="QGY555" s="178"/>
      <c r="QGZ555" s="178"/>
      <c r="QHA555" s="178"/>
      <c r="QHB555" s="178"/>
      <c r="QHC555" s="178"/>
      <c r="QHD555" s="178"/>
      <c r="QHE555" s="178"/>
      <c r="QHF555" s="178"/>
      <c r="QHG555" s="178"/>
      <c r="QHH555" s="178"/>
      <c r="QHI555" s="178"/>
      <c r="QHJ555" s="178"/>
      <c r="QHK555" s="178"/>
      <c r="QHL555" s="178"/>
      <c r="QHM555" s="178"/>
      <c r="QHN555" s="178"/>
      <c r="QHO555" s="178"/>
      <c r="QHP555" s="178"/>
      <c r="QHQ555" s="178"/>
      <c r="QHR555" s="178"/>
      <c r="QHS555" s="178"/>
      <c r="QHT555" s="178"/>
      <c r="QHU555" s="178"/>
      <c r="QHV555" s="178"/>
      <c r="QHW555" s="178"/>
      <c r="QHX555" s="178"/>
      <c r="QHY555" s="178"/>
      <c r="QHZ555" s="178"/>
      <c r="QIA555" s="178"/>
      <c r="QIB555" s="178"/>
      <c r="QIC555" s="178"/>
      <c r="QID555" s="178"/>
      <c r="QIE555" s="178"/>
      <c r="QIF555" s="178"/>
      <c r="QIG555" s="178"/>
      <c r="QIH555" s="178"/>
      <c r="QII555" s="178"/>
      <c r="QIJ555" s="178"/>
      <c r="QIK555" s="178"/>
      <c r="QIL555" s="178"/>
      <c r="QIM555" s="178"/>
      <c r="QIN555" s="178"/>
      <c r="QIO555" s="178"/>
      <c r="QIP555" s="178"/>
      <c r="QIQ555" s="178"/>
      <c r="QIR555" s="178"/>
      <c r="QIS555" s="178"/>
      <c r="QIT555" s="178"/>
      <c r="QIU555" s="178"/>
      <c r="QIV555" s="178"/>
      <c r="QIW555" s="178"/>
      <c r="QIX555" s="178"/>
      <c r="QIY555" s="178"/>
      <c r="QIZ555" s="178"/>
      <c r="QJA555" s="178"/>
      <c r="QJB555" s="178"/>
      <c r="QJC555" s="178"/>
      <c r="QJD555" s="178"/>
      <c r="QJE555" s="178"/>
      <c r="QJF555" s="178"/>
      <c r="QJG555" s="178"/>
      <c r="QJH555" s="178"/>
      <c r="QJI555" s="178"/>
      <c r="QJJ555" s="178"/>
      <c r="QJK555" s="178"/>
      <c r="QJL555" s="178"/>
      <c r="QJM555" s="178"/>
      <c r="QJN555" s="178"/>
      <c r="QJO555" s="178"/>
      <c r="QJP555" s="178"/>
      <c r="QJQ555" s="178"/>
      <c r="QJR555" s="178"/>
      <c r="QJS555" s="178"/>
      <c r="QJT555" s="178"/>
      <c r="QJU555" s="178"/>
      <c r="QJV555" s="178"/>
      <c r="QJW555" s="178"/>
      <c r="QJX555" s="178"/>
      <c r="QJY555" s="178"/>
      <c r="QJZ555" s="178"/>
      <c r="QKA555" s="178"/>
      <c r="QKB555" s="178"/>
      <c r="QKC555" s="178"/>
      <c r="QKD555" s="178"/>
      <c r="QKE555" s="178"/>
      <c r="QKF555" s="178"/>
      <c r="QKG555" s="178"/>
      <c r="QKH555" s="178"/>
      <c r="QKI555" s="178"/>
      <c r="QKJ555" s="178"/>
      <c r="QKK555" s="178"/>
      <c r="QKL555" s="178"/>
      <c r="QKM555" s="178"/>
      <c r="QKN555" s="178"/>
      <c r="QKO555" s="178"/>
      <c r="QKP555" s="178"/>
      <c r="QKQ555" s="178"/>
      <c r="QKR555" s="178"/>
      <c r="QKS555" s="178"/>
      <c r="QKT555" s="178"/>
      <c r="QKU555" s="178"/>
      <c r="QKV555" s="178"/>
      <c r="QKW555" s="178"/>
      <c r="QKX555" s="178"/>
      <c r="QKY555" s="178"/>
      <c r="QKZ555" s="178"/>
      <c r="QLA555" s="178"/>
      <c r="QLB555" s="178"/>
      <c r="QLC555" s="178"/>
      <c r="QLD555" s="178"/>
      <c r="QLE555" s="178"/>
      <c r="QLF555" s="178"/>
      <c r="QLG555" s="178"/>
      <c r="QLH555" s="178"/>
      <c r="QLI555" s="178"/>
      <c r="QLJ555" s="178"/>
      <c r="QLK555" s="178"/>
      <c r="QLL555" s="178"/>
      <c r="QLM555" s="178"/>
      <c r="QLN555" s="178"/>
      <c r="QLO555" s="178"/>
      <c r="QLP555" s="178"/>
      <c r="QLQ555" s="178"/>
      <c r="QLR555" s="178"/>
      <c r="QLS555" s="178"/>
      <c r="QLT555" s="178"/>
      <c r="QLU555" s="178"/>
      <c r="QLV555" s="178"/>
      <c r="QLW555" s="178"/>
      <c r="QLX555" s="178"/>
      <c r="QLY555" s="178"/>
      <c r="QLZ555" s="178"/>
      <c r="QMA555" s="178"/>
      <c r="QMB555" s="178"/>
      <c r="QMC555" s="178"/>
      <c r="QMD555" s="178"/>
      <c r="QME555" s="178"/>
      <c r="QMF555" s="178"/>
      <c r="QMG555" s="178"/>
      <c r="QMH555" s="178"/>
      <c r="QMI555" s="178"/>
      <c r="QMJ555" s="178"/>
      <c r="QMK555" s="178"/>
      <c r="QML555" s="178"/>
      <c r="QMM555" s="178"/>
      <c r="QMN555" s="178"/>
      <c r="QMO555" s="178"/>
      <c r="QMP555" s="178"/>
      <c r="QMQ555" s="178"/>
      <c r="QMR555" s="178"/>
      <c r="QMS555" s="178"/>
      <c r="QMT555" s="178"/>
      <c r="QMU555" s="178"/>
      <c r="QMV555" s="178"/>
      <c r="QMW555" s="178"/>
      <c r="QMX555" s="178"/>
      <c r="QMY555" s="178"/>
      <c r="QMZ555" s="178"/>
      <c r="QNA555" s="178"/>
      <c r="QNB555" s="178"/>
      <c r="QNC555" s="178"/>
      <c r="QND555" s="178"/>
      <c r="QNE555" s="178"/>
      <c r="QNF555" s="178"/>
      <c r="QNG555" s="178"/>
      <c r="QNH555" s="178"/>
      <c r="QNI555" s="178"/>
      <c r="QNJ555" s="178"/>
      <c r="QNK555" s="178"/>
      <c r="QNL555" s="178"/>
      <c r="QNM555" s="178"/>
      <c r="QNN555" s="178"/>
      <c r="QNO555" s="178"/>
      <c r="QNP555" s="178"/>
      <c r="QNQ555" s="178"/>
      <c r="QNR555" s="178"/>
      <c r="QNS555" s="178"/>
      <c r="QNT555" s="178"/>
      <c r="QNU555" s="178"/>
      <c r="QNV555" s="178"/>
      <c r="QNW555" s="178"/>
      <c r="QNX555" s="178"/>
      <c r="QNY555" s="178"/>
      <c r="QNZ555" s="178"/>
      <c r="QOA555" s="178"/>
      <c r="QOB555" s="178"/>
      <c r="QOC555" s="178"/>
      <c r="QOD555" s="178"/>
      <c r="QOE555" s="178"/>
      <c r="QOF555" s="178"/>
      <c r="QOG555" s="178"/>
      <c r="QOH555" s="178"/>
      <c r="QOI555" s="178"/>
      <c r="QOJ555" s="178"/>
      <c r="QOK555" s="178"/>
      <c r="QOL555" s="178"/>
      <c r="QOM555" s="178"/>
      <c r="QON555" s="178"/>
      <c r="QOO555" s="178"/>
      <c r="QOP555" s="178"/>
      <c r="QOQ555" s="178"/>
      <c r="QOR555" s="178"/>
      <c r="QOS555" s="178"/>
      <c r="QOT555" s="178"/>
      <c r="QOU555" s="178"/>
      <c r="QOV555" s="178"/>
      <c r="QOW555" s="178"/>
      <c r="QOX555" s="178"/>
      <c r="QOY555" s="178"/>
      <c r="QOZ555" s="178"/>
      <c r="QPA555" s="178"/>
      <c r="QPB555" s="178"/>
      <c r="QPC555" s="178"/>
      <c r="QPD555" s="178"/>
      <c r="QPE555" s="178"/>
      <c r="QPF555" s="178"/>
      <c r="QPG555" s="178"/>
      <c r="QPH555" s="178"/>
      <c r="QPI555" s="178"/>
      <c r="QPJ555" s="178"/>
      <c r="QPK555" s="178"/>
      <c r="QPL555" s="178"/>
      <c r="QPM555" s="178"/>
      <c r="QPN555" s="178"/>
      <c r="QPO555" s="178"/>
      <c r="QPP555" s="178"/>
      <c r="QPQ555" s="178"/>
      <c r="QPR555" s="178"/>
      <c r="QPS555" s="178"/>
      <c r="QPT555" s="178"/>
      <c r="QPU555" s="178"/>
      <c r="QPV555" s="178"/>
      <c r="QPW555" s="178"/>
      <c r="QPX555" s="178"/>
      <c r="QPY555" s="178"/>
      <c r="QPZ555" s="178"/>
      <c r="QQA555" s="178"/>
      <c r="QQB555" s="178"/>
      <c r="QQC555" s="178"/>
      <c r="QQD555" s="178"/>
      <c r="QQE555" s="178"/>
      <c r="QQF555" s="178"/>
      <c r="QQG555" s="178"/>
      <c r="QQH555" s="178"/>
      <c r="QQI555" s="178"/>
      <c r="QQJ555" s="178"/>
      <c r="QQK555" s="178"/>
      <c r="QQL555" s="178"/>
      <c r="QQM555" s="178"/>
      <c r="QQN555" s="178"/>
      <c r="QQO555" s="178"/>
      <c r="QQP555" s="178"/>
      <c r="QQQ555" s="178"/>
      <c r="QQR555" s="178"/>
      <c r="QQS555" s="178"/>
      <c r="QQT555" s="178"/>
      <c r="QQU555" s="178"/>
      <c r="QQV555" s="178"/>
      <c r="QQW555" s="178"/>
      <c r="QQX555" s="178"/>
      <c r="QQY555" s="178"/>
      <c r="QQZ555" s="178"/>
      <c r="QRA555" s="178"/>
      <c r="QRB555" s="178"/>
      <c r="QRC555" s="178"/>
      <c r="QRD555" s="178"/>
      <c r="QRE555" s="178"/>
      <c r="QRF555" s="178"/>
      <c r="QRG555" s="178"/>
      <c r="QRH555" s="178"/>
      <c r="QRI555" s="178"/>
      <c r="QRJ555" s="178"/>
      <c r="QRK555" s="178"/>
      <c r="QRL555" s="178"/>
      <c r="QRM555" s="178"/>
      <c r="QRN555" s="178"/>
      <c r="QRO555" s="178"/>
      <c r="QRP555" s="178"/>
      <c r="QRQ555" s="178"/>
      <c r="QRR555" s="178"/>
      <c r="QRS555" s="178"/>
      <c r="QRT555" s="178"/>
      <c r="QRU555" s="178"/>
      <c r="QRV555" s="178"/>
      <c r="QRW555" s="178"/>
      <c r="QRX555" s="178"/>
      <c r="QRY555" s="178"/>
      <c r="QRZ555" s="178"/>
      <c r="QSA555" s="178"/>
      <c r="QSB555" s="178"/>
      <c r="QSC555" s="178"/>
      <c r="QSD555" s="178"/>
      <c r="QSE555" s="178"/>
      <c r="QSF555" s="178"/>
      <c r="QSG555" s="178"/>
      <c r="QSH555" s="178"/>
      <c r="QSI555" s="178"/>
      <c r="QSJ555" s="178"/>
      <c r="QSK555" s="178"/>
      <c r="QSL555" s="178"/>
      <c r="QSM555" s="178"/>
      <c r="QSN555" s="178"/>
      <c r="QSO555" s="178"/>
      <c r="QSP555" s="178"/>
      <c r="QSQ555" s="178"/>
      <c r="QSR555" s="178"/>
      <c r="QSS555" s="178"/>
      <c r="QST555" s="178"/>
      <c r="QSU555" s="178"/>
      <c r="QSV555" s="178"/>
      <c r="QSW555" s="178"/>
      <c r="QSX555" s="178"/>
      <c r="QSY555" s="178"/>
      <c r="QSZ555" s="178"/>
      <c r="QTA555" s="178"/>
      <c r="QTB555" s="178"/>
      <c r="QTC555" s="178"/>
      <c r="QTD555" s="178"/>
      <c r="QTE555" s="178"/>
      <c r="QTF555" s="178"/>
      <c r="QTG555" s="178"/>
      <c r="QTH555" s="178"/>
      <c r="QTI555" s="178"/>
      <c r="QTJ555" s="178"/>
      <c r="QTK555" s="178"/>
      <c r="QTL555" s="178"/>
      <c r="QTM555" s="178"/>
      <c r="QTN555" s="178"/>
      <c r="QTO555" s="178"/>
      <c r="QTP555" s="178"/>
      <c r="QTQ555" s="178"/>
      <c r="QTR555" s="178"/>
      <c r="QTS555" s="178"/>
      <c r="QTT555" s="178"/>
      <c r="QTU555" s="178"/>
      <c r="QTV555" s="178"/>
      <c r="QTW555" s="178"/>
      <c r="QTX555" s="178"/>
      <c r="QTY555" s="178"/>
      <c r="QTZ555" s="178"/>
      <c r="QUA555" s="178"/>
      <c r="QUB555" s="178"/>
      <c r="QUC555" s="178"/>
      <c r="QUD555" s="178"/>
      <c r="QUE555" s="178"/>
      <c r="QUF555" s="178"/>
      <c r="QUG555" s="178"/>
      <c r="QUH555" s="178"/>
      <c r="QUI555" s="178"/>
      <c r="QUJ555" s="178"/>
      <c r="QUK555" s="178"/>
      <c r="QUL555" s="178"/>
      <c r="QUM555" s="178"/>
      <c r="QUN555" s="178"/>
      <c r="QUO555" s="178"/>
      <c r="QUP555" s="178"/>
      <c r="QUQ555" s="178"/>
      <c r="QUR555" s="178"/>
      <c r="QUS555" s="178"/>
      <c r="QUT555" s="178"/>
      <c r="QUU555" s="178"/>
      <c r="QUV555" s="178"/>
      <c r="QUW555" s="178"/>
      <c r="QUX555" s="178"/>
      <c r="QUY555" s="178"/>
      <c r="QUZ555" s="178"/>
      <c r="QVA555" s="178"/>
      <c r="QVB555" s="178"/>
      <c r="QVC555" s="178"/>
      <c r="QVD555" s="178"/>
      <c r="QVE555" s="178"/>
      <c r="QVF555" s="178"/>
      <c r="QVG555" s="178"/>
      <c r="QVH555" s="178"/>
      <c r="QVI555" s="178"/>
      <c r="QVJ555" s="178"/>
      <c r="QVK555" s="178"/>
      <c r="QVL555" s="178"/>
      <c r="QVM555" s="178"/>
      <c r="QVN555" s="178"/>
      <c r="QVO555" s="178"/>
      <c r="QVP555" s="178"/>
      <c r="QVQ555" s="178"/>
      <c r="QVR555" s="178"/>
      <c r="QVS555" s="178"/>
      <c r="QVT555" s="178"/>
      <c r="QVU555" s="178"/>
      <c r="QVV555" s="178"/>
      <c r="QVW555" s="178"/>
      <c r="QVX555" s="178"/>
      <c r="QVY555" s="178"/>
      <c r="QVZ555" s="178"/>
      <c r="QWA555" s="178"/>
      <c r="QWB555" s="178"/>
      <c r="QWC555" s="178"/>
      <c r="QWD555" s="178"/>
      <c r="QWE555" s="178"/>
      <c r="QWF555" s="178"/>
      <c r="QWG555" s="178"/>
      <c r="QWH555" s="178"/>
      <c r="QWI555" s="178"/>
      <c r="QWJ555" s="178"/>
      <c r="QWK555" s="178"/>
      <c r="QWL555" s="178"/>
      <c r="QWM555" s="178"/>
      <c r="QWN555" s="178"/>
      <c r="QWO555" s="178"/>
      <c r="QWP555" s="178"/>
      <c r="QWQ555" s="178"/>
      <c r="QWR555" s="178"/>
      <c r="QWS555" s="178"/>
      <c r="QWT555" s="178"/>
      <c r="QWU555" s="178"/>
      <c r="QWV555" s="178"/>
      <c r="QWW555" s="178"/>
      <c r="QWX555" s="178"/>
      <c r="QWY555" s="178"/>
      <c r="QWZ555" s="178"/>
      <c r="QXA555" s="178"/>
      <c r="QXB555" s="178"/>
      <c r="QXC555" s="178"/>
      <c r="QXD555" s="178"/>
      <c r="QXE555" s="178"/>
      <c r="QXF555" s="178"/>
      <c r="QXG555" s="178"/>
      <c r="QXH555" s="178"/>
      <c r="QXI555" s="178"/>
      <c r="QXJ555" s="178"/>
      <c r="QXK555" s="178"/>
      <c r="QXL555" s="178"/>
      <c r="QXM555" s="178"/>
      <c r="QXN555" s="178"/>
      <c r="QXO555" s="178"/>
      <c r="QXP555" s="178"/>
      <c r="QXQ555" s="178"/>
      <c r="QXR555" s="178"/>
      <c r="QXS555" s="178"/>
      <c r="QXT555" s="178"/>
      <c r="QXU555" s="178"/>
      <c r="QXV555" s="178"/>
      <c r="QXW555" s="178"/>
      <c r="QXX555" s="178"/>
      <c r="QXY555" s="178"/>
      <c r="QXZ555" s="178"/>
      <c r="QYA555" s="178"/>
      <c r="QYB555" s="178"/>
      <c r="QYC555" s="178"/>
      <c r="QYD555" s="178"/>
      <c r="QYE555" s="178"/>
      <c r="QYF555" s="178"/>
      <c r="QYG555" s="178"/>
      <c r="QYH555" s="178"/>
      <c r="QYI555" s="178"/>
      <c r="QYJ555" s="178"/>
      <c r="QYK555" s="178"/>
      <c r="QYL555" s="178"/>
      <c r="QYM555" s="178"/>
      <c r="QYN555" s="178"/>
      <c r="QYO555" s="178"/>
      <c r="QYP555" s="178"/>
      <c r="QYQ555" s="178"/>
      <c r="QYR555" s="178"/>
      <c r="QYS555" s="178"/>
      <c r="QYT555" s="178"/>
      <c r="QYU555" s="178"/>
      <c r="QYV555" s="178"/>
      <c r="QYW555" s="178"/>
      <c r="QYX555" s="178"/>
      <c r="QYY555" s="178"/>
      <c r="QYZ555" s="178"/>
      <c r="QZA555" s="178"/>
      <c r="QZB555" s="178"/>
      <c r="QZC555" s="178"/>
      <c r="QZD555" s="178"/>
      <c r="QZE555" s="178"/>
      <c r="QZF555" s="178"/>
      <c r="QZG555" s="178"/>
      <c r="QZH555" s="178"/>
      <c r="QZI555" s="178"/>
      <c r="QZJ555" s="178"/>
      <c r="QZK555" s="178"/>
      <c r="QZL555" s="178"/>
      <c r="QZM555" s="178"/>
      <c r="QZN555" s="178"/>
      <c r="QZO555" s="178"/>
      <c r="QZP555" s="178"/>
      <c r="QZQ555" s="178"/>
      <c r="QZR555" s="178"/>
      <c r="QZS555" s="178"/>
      <c r="QZT555" s="178"/>
      <c r="QZU555" s="178"/>
      <c r="QZV555" s="178"/>
      <c r="QZW555" s="178"/>
      <c r="QZX555" s="178"/>
      <c r="QZY555" s="178"/>
      <c r="QZZ555" s="178"/>
      <c r="RAA555" s="178"/>
      <c r="RAB555" s="178"/>
      <c r="RAC555" s="178"/>
      <c r="RAD555" s="178"/>
      <c r="RAE555" s="178"/>
      <c r="RAF555" s="178"/>
      <c r="RAG555" s="178"/>
      <c r="RAH555" s="178"/>
      <c r="RAI555" s="178"/>
      <c r="RAJ555" s="178"/>
      <c r="RAK555" s="178"/>
      <c r="RAL555" s="178"/>
      <c r="RAM555" s="178"/>
      <c r="RAN555" s="178"/>
      <c r="RAO555" s="178"/>
      <c r="RAP555" s="178"/>
      <c r="RAQ555" s="178"/>
      <c r="RAR555" s="178"/>
      <c r="RAS555" s="178"/>
      <c r="RAT555" s="178"/>
      <c r="RAU555" s="178"/>
      <c r="RAV555" s="178"/>
      <c r="RAW555" s="178"/>
      <c r="RAX555" s="178"/>
      <c r="RAY555" s="178"/>
      <c r="RAZ555" s="178"/>
      <c r="RBA555" s="178"/>
      <c r="RBB555" s="178"/>
      <c r="RBC555" s="178"/>
      <c r="RBD555" s="178"/>
      <c r="RBE555" s="178"/>
      <c r="RBF555" s="178"/>
      <c r="RBG555" s="178"/>
      <c r="RBH555" s="178"/>
      <c r="RBI555" s="178"/>
      <c r="RBJ555" s="178"/>
      <c r="RBK555" s="178"/>
      <c r="RBL555" s="178"/>
      <c r="RBM555" s="178"/>
      <c r="RBN555" s="178"/>
      <c r="RBO555" s="178"/>
      <c r="RBP555" s="178"/>
      <c r="RBQ555" s="178"/>
      <c r="RBR555" s="178"/>
      <c r="RBS555" s="178"/>
      <c r="RBT555" s="178"/>
      <c r="RBU555" s="178"/>
      <c r="RBV555" s="178"/>
      <c r="RBW555" s="178"/>
      <c r="RBX555" s="178"/>
      <c r="RBY555" s="178"/>
      <c r="RBZ555" s="178"/>
      <c r="RCA555" s="178"/>
      <c r="RCB555" s="178"/>
      <c r="RCC555" s="178"/>
      <c r="RCD555" s="178"/>
      <c r="RCE555" s="178"/>
      <c r="RCF555" s="178"/>
      <c r="RCG555" s="178"/>
      <c r="RCH555" s="178"/>
      <c r="RCI555" s="178"/>
      <c r="RCJ555" s="178"/>
      <c r="RCK555" s="178"/>
      <c r="RCL555" s="178"/>
      <c r="RCM555" s="178"/>
      <c r="RCN555" s="178"/>
      <c r="RCO555" s="178"/>
      <c r="RCP555" s="178"/>
      <c r="RCQ555" s="178"/>
      <c r="RCR555" s="178"/>
      <c r="RCS555" s="178"/>
      <c r="RCT555" s="178"/>
      <c r="RCU555" s="178"/>
      <c r="RCV555" s="178"/>
      <c r="RCW555" s="178"/>
      <c r="RCX555" s="178"/>
      <c r="RCY555" s="178"/>
      <c r="RCZ555" s="178"/>
      <c r="RDA555" s="178"/>
      <c r="RDB555" s="178"/>
      <c r="RDC555" s="178"/>
      <c r="RDD555" s="178"/>
      <c r="RDE555" s="178"/>
      <c r="RDF555" s="178"/>
      <c r="RDG555" s="178"/>
      <c r="RDH555" s="178"/>
      <c r="RDI555" s="178"/>
      <c r="RDJ555" s="178"/>
      <c r="RDK555" s="178"/>
      <c r="RDL555" s="178"/>
      <c r="RDM555" s="178"/>
      <c r="RDN555" s="178"/>
      <c r="RDO555" s="178"/>
      <c r="RDP555" s="178"/>
      <c r="RDQ555" s="178"/>
      <c r="RDR555" s="178"/>
      <c r="RDS555" s="178"/>
      <c r="RDT555" s="178"/>
      <c r="RDU555" s="178"/>
      <c r="RDV555" s="178"/>
      <c r="RDW555" s="178"/>
      <c r="RDX555" s="178"/>
      <c r="RDY555" s="178"/>
      <c r="RDZ555" s="178"/>
      <c r="REA555" s="178"/>
      <c r="REB555" s="178"/>
      <c r="REC555" s="178"/>
      <c r="RED555" s="178"/>
      <c r="REE555" s="178"/>
      <c r="REF555" s="178"/>
      <c r="REG555" s="178"/>
      <c r="REH555" s="178"/>
      <c r="REI555" s="178"/>
      <c r="REJ555" s="178"/>
      <c r="REK555" s="178"/>
      <c r="REL555" s="178"/>
      <c r="REM555" s="178"/>
      <c r="REN555" s="178"/>
      <c r="REO555" s="178"/>
      <c r="REP555" s="178"/>
      <c r="REQ555" s="178"/>
      <c r="RER555" s="178"/>
      <c r="RES555" s="178"/>
      <c r="RET555" s="178"/>
      <c r="REU555" s="178"/>
      <c r="REV555" s="178"/>
      <c r="REW555" s="178"/>
      <c r="REX555" s="178"/>
      <c r="REY555" s="178"/>
      <c r="REZ555" s="178"/>
      <c r="RFA555" s="178"/>
      <c r="RFB555" s="178"/>
      <c r="RFC555" s="178"/>
      <c r="RFD555" s="178"/>
      <c r="RFE555" s="178"/>
      <c r="RFF555" s="178"/>
      <c r="RFG555" s="178"/>
      <c r="RFH555" s="178"/>
      <c r="RFI555" s="178"/>
      <c r="RFJ555" s="178"/>
      <c r="RFK555" s="178"/>
      <c r="RFL555" s="178"/>
      <c r="RFM555" s="178"/>
      <c r="RFN555" s="178"/>
      <c r="RFO555" s="178"/>
      <c r="RFP555" s="178"/>
      <c r="RFQ555" s="178"/>
      <c r="RFR555" s="178"/>
      <c r="RFS555" s="178"/>
      <c r="RFT555" s="178"/>
      <c r="RFU555" s="178"/>
      <c r="RFV555" s="178"/>
      <c r="RFW555" s="178"/>
      <c r="RFX555" s="178"/>
      <c r="RFY555" s="178"/>
      <c r="RFZ555" s="178"/>
      <c r="RGA555" s="178"/>
      <c r="RGB555" s="178"/>
      <c r="RGC555" s="178"/>
      <c r="RGD555" s="178"/>
      <c r="RGE555" s="178"/>
      <c r="RGF555" s="178"/>
      <c r="RGG555" s="178"/>
      <c r="RGH555" s="178"/>
      <c r="RGI555" s="178"/>
      <c r="RGJ555" s="178"/>
      <c r="RGK555" s="178"/>
      <c r="RGL555" s="178"/>
      <c r="RGM555" s="178"/>
      <c r="RGN555" s="178"/>
      <c r="RGO555" s="178"/>
      <c r="RGP555" s="178"/>
      <c r="RGQ555" s="178"/>
      <c r="RGR555" s="178"/>
      <c r="RGS555" s="178"/>
      <c r="RGT555" s="178"/>
      <c r="RGU555" s="178"/>
      <c r="RGV555" s="178"/>
      <c r="RGW555" s="178"/>
      <c r="RGX555" s="178"/>
      <c r="RGY555" s="178"/>
      <c r="RGZ555" s="178"/>
      <c r="RHA555" s="178"/>
      <c r="RHB555" s="178"/>
      <c r="RHC555" s="178"/>
      <c r="RHD555" s="178"/>
      <c r="RHE555" s="178"/>
      <c r="RHF555" s="178"/>
      <c r="RHG555" s="178"/>
      <c r="RHH555" s="178"/>
      <c r="RHI555" s="178"/>
      <c r="RHJ555" s="178"/>
      <c r="RHK555" s="178"/>
      <c r="RHL555" s="178"/>
      <c r="RHM555" s="178"/>
      <c r="RHN555" s="178"/>
      <c r="RHO555" s="178"/>
      <c r="RHP555" s="178"/>
      <c r="RHQ555" s="178"/>
      <c r="RHR555" s="178"/>
      <c r="RHS555" s="178"/>
      <c r="RHT555" s="178"/>
      <c r="RHU555" s="178"/>
      <c r="RHV555" s="178"/>
      <c r="RHW555" s="178"/>
      <c r="RHX555" s="178"/>
      <c r="RHY555" s="178"/>
      <c r="RHZ555" s="178"/>
      <c r="RIA555" s="178"/>
      <c r="RIB555" s="178"/>
      <c r="RIC555" s="178"/>
      <c r="RID555" s="178"/>
      <c r="RIE555" s="178"/>
      <c r="RIF555" s="178"/>
      <c r="RIG555" s="178"/>
      <c r="RIH555" s="178"/>
      <c r="RII555" s="178"/>
      <c r="RIJ555" s="178"/>
      <c r="RIK555" s="178"/>
      <c r="RIL555" s="178"/>
      <c r="RIM555" s="178"/>
      <c r="RIN555" s="178"/>
      <c r="RIO555" s="178"/>
      <c r="RIP555" s="178"/>
      <c r="RIQ555" s="178"/>
      <c r="RIR555" s="178"/>
      <c r="RIS555" s="178"/>
      <c r="RIT555" s="178"/>
      <c r="RIU555" s="178"/>
      <c r="RIV555" s="178"/>
      <c r="RIW555" s="178"/>
      <c r="RIX555" s="178"/>
      <c r="RIY555" s="178"/>
      <c r="RIZ555" s="178"/>
      <c r="RJA555" s="178"/>
      <c r="RJB555" s="178"/>
      <c r="RJC555" s="178"/>
      <c r="RJD555" s="178"/>
      <c r="RJE555" s="178"/>
      <c r="RJF555" s="178"/>
      <c r="RJG555" s="178"/>
      <c r="RJH555" s="178"/>
      <c r="RJI555" s="178"/>
      <c r="RJJ555" s="178"/>
      <c r="RJK555" s="178"/>
      <c r="RJL555" s="178"/>
      <c r="RJM555" s="178"/>
      <c r="RJN555" s="178"/>
      <c r="RJO555" s="178"/>
      <c r="RJP555" s="178"/>
      <c r="RJQ555" s="178"/>
      <c r="RJR555" s="178"/>
      <c r="RJS555" s="178"/>
      <c r="RJT555" s="178"/>
      <c r="RJU555" s="178"/>
      <c r="RJV555" s="178"/>
      <c r="RJW555" s="178"/>
      <c r="RJX555" s="178"/>
      <c r="RJY555" s="178"/>
      <c r="RJZ555" s="178"/>
      <c r="RKA555" s="178"/>
      <c r="RKB555" s="178"/>
      <c r="RKC555" s="178"/>
      <c r="RKD555" s="178"/>
      <c r="RKE555" s="178"/>
      <c r="RKF555" s="178"/>
      <c r="RKG555" s="178"/>
      <c r="RKH555" s="178"/>
      <c r="RKI555" s="178"/>
      <c r="RKJ555" s="178"/>
      <c r="RKK555" s="178"/>
      <c r="RKL555" s="178"/>
      <c r="RKM555" s="178"/>
      <c r="RKN555" s="178"/>
      <c r="RKO555" s="178"/>
      <c r="RKP555" s="178"/>
      <c r="RKQ555" s="178"/>
      <c r="RKR555" s="178"/>
      <c r="RKS555" s="178"/>
      <c r="RKT555" s="178"/>
      <c r="RKU555" s="178"/>
      <c r="RKV555" s="178"/>
      <c r="RKW555" s="178"/>
      <c r="RKX555" s="178"/>
      <c r="RKY555" s="178"/>
      <c r="RKZ555" s="178"/>
      <c r="RLA555" s="178"/>
      <c r="RLB555" s="178"/>
      <c r="RLC555" s="178"/>
      <c r="RLD555" s="178"/>
      <c r="RLE555" s="178"/>
      <c r="RLF555" s="178"/>
      <c r="RLG555" s="178"/>
      <c r="RLH555" s="178"/>
      <c r="RLI555" s="178"/>
      <c r="RLJ555" s="178"/>
      <c r="RLK555" s="178"/>
      <c r="RLL555" s="178"/>
      <c r="RLM555" s="178"/>
      <c r="RLN555" s="178"/>
      <c r="RLO555" s="178"/>
      <c r="RLP555" s="178"/>
      <c r="RLQ555" s="178"/>
      <c r="RLR555" s="178"/>
      <c r="RLS555" s="178"/>
      <c r="RLT555" s="178"/>
      <c r="RLU555" s="178"/>
      <c r="RLV555" s="178"/>
      <c r="RLW555" s="178"/>
      <c r="RLX555" s="178"/>
      <c r="RLY555" s="178"/>
      <c r="RLZ555" s="178"/>
      <c r="RMA555" s="178"/>
      <c r="RMB555" s="178"/>
      <c r="RMC555" s="178"/>
      <c r="RMD555" s="178"/>
      <c r="RME555" s="178"/>
      <c r="RMF555" s="178"/>
      <c r="RMG555" s="178"/>
      <c r="RMH555" s="178"/>
      <c r="RMI555" s="178"/>
      <c r="RMJ555" s="178"/>
      <c r="RMK555" s="178"/>
      <c r="RML555" s="178"/>
      <c r="RMM555" s="178"/>
      <c r="RMN555" s="178"/>
      <c r="RMO555" s="178"/>
      <c r="RMP555" s="178"/>
      <c r="RMQ555" s="178"/>
      <c r="RMR555" s="178"/>
      <c r="RMS555" s="178"/>
      <c r="RMT555" s="178"/>
      <c r="RMU555" s="178"/>
      <c r="RMV555" s="178"/>
      <c r="RMW555" s="178"/>
      <c r="RMX555" s="178"/>
      <c r="RMY555" s="178"/>
      <c r="RMZ555" s="178"/>
      <c r="RNA555" s="178"/>
      <c r="RNB555" s="178"/>
      <c r="RNC555" s="178"/>
      <c r="RND555" s="178"/>
      <c r="RNE555" s="178"/>
      <c r="RNF555" s="178"/>
      <c r="RNG555" s="178"/>
      <c r="RNH555" s="178"/>
      <c r="RNI555" s="178"/>
      <c r="RNJ555" s="178"/>
      <c r="RNK555" s="178"/>
      <c r="RNL555" s="178"/>
      <c r="RNM555" s="178"/>
      <c r="RNN555" s="178"/>
      <c r="RNO555" s="178"/>
      <c r="RNP555" s="178"/>
      <c r="RNQ555" s="178"/>
      <c r="RNR555" s="178"/>
      <c r="RNS555" s="178"/>
      <c r="RNT555" s="178"/>
      <c r="RNU555" s="178"/>
      <c r="RNV555" s="178"/>
      <c r="RNW555" s="178"/>
      <c r="RNX555" s="178"/>
      <c r="RNY555" s="178"/>
      <c r="RNZ555" s="178"/>
      <c r="ROA555" s="178"/>
      <c r="ROB555" s="178"/>
      <c r="ROC555" s="178"/>
      <c r="ROD555" s="178"/>
      <c r="ROE555" s="178"/>
      <c r="ROF555" s="178"/>
      <c r="ROG555" s="178"/>
      <c r="ROH555" s="178"/>
      <c r="ROI555" s="178"/>
      <c r="ROJ555" s="178"/>
      <c r="ROK555" s="178"/>
      <c r="ROL555" s="178"/>
      <c r="ROM555" s="178"/>
      <c r="RON555" s="178"/>
      <c r="ROO555" s="178"/>
      <c r="ROP555" s="178"/>
      <c r="ROQ555" s="178"/>
      <c r="ROR555" s="178"/>
      <c r="ROS555" s="178"/>
      <c r="ROT555" s="178"/>
      <c r="ROU555" s="178"/>
      <c r="ROV555" s="178"/>
      <c r="ROW555" s="178"/>
      <c r="ROX555" s="178"/>
      <c r="ROY555" s="178"/>
      <c r="ROZ555" s="178"/>
      <c r="RPA555" s="178"/>
      <c r="RPB555" s="178"/>
      <c r="RPC555" s="178"/>
      <c r="RPD555" s="178"/>
      <c r="RPE555" s="178"/>
      <c r="RPF555" s="178"/>
      <c r="RPG555" s="178"/>
      <c r="RPH555" s="178"/>
      <c r="RPI555" s="178"/>
      <c r="RPJ555" s="178"/>
      <c r="RPK555" s="178"/>
      <c r="RPL555" s="178"/>
      <c r="RPM555" s="178"/>
      <c r="RPN555" s="178"/>
      <c r="RPO555" s="178"/>
      <c r="RPP555" s="178"/>
      <c r="RPQ555" s="178"/>
      <c r="RPR555" s="178"/>
      <c r="RPS555" s="178"/>
      <c r="RPT555" s="178"/>
      <c r="RPU555" s="178"/>
      <c r="RPV555" s="178"/>
      <c r="RPW555" s="178"/>
      <c r="RPX555" s="178"/>
      <c r="RPY555" s="178"/>
      <c r="RPZ555" s="178"/>
      <c r="RQA555" s="178"/>
      <c r="RQB555" s="178"/>
      <c r="RQC555" s="178"/>
      <c r="RQD555" s="178"/>
      <c r="RQE555" s="178"/>
      <c r="RQF555" s="178"/>
      <c r="RQG555" s="178"/>
      <c r="RQH555" s="178"/>
      <c r="RQI555" s="178"/>
      <c r="RQJ555" s="178"/>
      <c r="RQK555" s="178"/>
      <c r="RQL555" s="178"/>
      <c r="RQM555" s="178"/>
      <c r="RQN555" s="178"/>
      <c r="RQO555" s="178"/>
      <c r="RQP555" s="178"/>
      <c r="RQQ555" s="178"/>
      <c r="RQR555" s="178"/>
      <c r="RQS555" s="178"/>
      <c r="RQT555" s="178"/>
      <c r="RQU555" s="178"/>
      <c r="RQV555" s="178"/>
      <c r="RQW555" s="178"/>
      <c r="RQX555" s="178"/>
      <c r="RQY555" s="178"/>
      <c r="RQZ555" s="178"/>
      <c r="RRA555" s="178"/>
      <c r="RRB555" s="178"/>
      <c r="RRC555" s="178"/>
      <c r="RRD555" s="178"/>
      <c r="RRE555" s="178"/>
      <c r="RRF555" s="178"/>
      <c r="RRG555" s="178"/>
      <c r="RRH555" s="178"/>
      <c r="RRI555" s="178"/>
      <c r="RRJ555" s="178"/>
      <c r="RRK555" s="178"/>
      <c r="RRL555" s="178"/>
      <c r="RRM555" s="178"/>
      <c r="RRN555" s="178"/>
      <c r="RRO555" s="178"/>
      <c r="RRP555" s="178"/>
      <c r="RRQ555" s="178"/>
      <c r="RRR555" s="178"/>
      <c r="RRS555" s="178"/>
      <c r="RRT555" s="178"/>
      <c r="RRU555" s="178"/>
      <c r="RRV555" s="178"/>
      <c r="RRW555" s="178"/>
      <c r="RRX555" s="178"/>
      <c r="RRY555" s="178"/>
      <c r="RRZ555" s="178"/>
      <c r="RSA555" s="178"/>
      <c r="RSB555" s="178"/>
      <c r="RSC555" s="178"/>
      <c r="RSD555" s="178"/>
      <c r="RSE555" s="178"/>
      <c r="RSF555" s="178"/>
      <c r="RSG555" s="178"/>
      <c r="RSH555" s="178"/>
      <c r="RSI555" s="178"/>
      <c r="RSJ555" s="178"/>
      <c r="RSK555" s="178"/>
      <c r="RSL555" s="178"/>
      <c r="RSM555" s="178"/>
      <c r="RSN555" s="178"/>
      <c r="RSO555" s="178"/>
      <c r="RSP555" s="178"/>
      <c r="RSQ555" s="178"/>
      <c r="RSR555" s="178"/>
      <c r="RSS555" s="178"/>
      <c r="RST555" s="178"/>
      <c r="RSU555" s="178"/>
      <c r="RSV555" s="178"/>
      <c r="RSW555" s="178"/>
      <c r="RSX555" s="178"/>
      <c r="RSY555" s="178"/>
      <c r="RSZ555" s="178"/>
      <c r="RTA555" s="178"/>
      <c r="RTB555" s="178"/>
      <c r="RTC555" s="178"/>
      <c r="RTD555" s="178"/>
      <c r="RTE555" s="178"/>
      <c r="RTF555" s="178"/>
      <c r="RTG555" s="178"/>
      <c r="RTH555" s="178"/>
      <c r="RTI555" s="178"/>
      <c r="RTJ555" s="178"/>
      <c r="RTK555" s="178"/>
      <c r="RTL555" s="178"/>
      <c r="RTM555" s="178"/>
      <c r="RTN555" s="178"/>
      <c r="RTO555" s="178"/>
      <c r="RTP555" s="178"/>
      <c r="RTQ555" s="178"/>
      <c r="RTR555" s="178"/>
      <c r="RTS555" s="178"/>
      <c r="RTT555" s="178"/>
      <c r="RTU555" s="178"/>
      <c r="RTV555" s="178"/>
      <c r="RTW555" s="178"/>
      <c r="RTX555" s="178"/>
      <c r="RTY555" s="178"/>
      <c r="RTZ555" s="178"/>
      <c r="RUA555" s="178"/>
      <c r="RUB555" s="178"/>
      <c r="RUC555" s="178"/>
      <c r="RUD555" s="178"/>
      <c r="RUE555" s="178"/>
      <c r="RUF555" s="178"/>
      <c r="RUG555" s="178"/>
      <c r="RUH555" s="178"/>
      <c r="RUI555" s="178"/>
      <c r="RUJ555" s="178"/>
      <c r="RUK555" s="178"/>
      <c r="RUL555" s="178"/>
      <c r="RUM555" s="178"/>
      <c r="RUN555" s="178"/>
      <c r="RUO555" s="178"/>
      <c r="RUP555" s="178"/>
      <c r="RUQ555" s="178"/>
      <c r="RUR555" s="178"/>
      <c r="RUS555" s="178"/>
      <c r="RUT555" s="178"/>
      <c r="RUU555" s="178"/>
      <c r="RUV555" s="178"/>
      <c r="RUW555" s="178"/>
      <c r="RUX555" s="178"/>
      <c r="RUY555" s="178"/>
      <c r="RUZ555" s="178"/>
      <c r="RVA555" s="178"/>
      <c r="RVB555" s="178"/>
      <c r="RVC555" s="178"/>
      <c r="RVD555" s="178"/>
      <c r="RVE555" s="178"/>
      <c r="RVF555" s="178"/>
      <c r="RVG555" s="178"/>
      <c r="RVH555" s="178"/>
      <c r="RVI555" s="178"/>
      <c r="RVJ555" s="178"/>
      <c r="RVK555" s="178"/>
      <c r="RVL555" s="178"/>
      <c r="RVM555" s="178"/>
      <c r="RVN555" s="178"/>
      <c r="RVO555" s="178"/>
      <c r="RVP555" s="178"/>
      <c r="RVQ555" s="178"/>
      <c r="RVR555" s="178"/>
      <c r="RVS555" s="178"/>
      <c r="RVT555" s="178"/>
      <c r="RVU555" s="178"/>
      <c r="RVV555" s="178"/>
      <c r="RVW555" s="178"/>
      <c r="RVX555" s="178"/>
      <c r="RVY555" s="178"/>
      <c r="RVZ555" s="178"/>
      <c r="RWA555" s="178"/>
      <c r="RWB555" s="178"/>
      <c r="RWC555" s="178"/>
      <c r="RWD555" s="178"/>
      <c r="RWE555" s="178"/>
      <c r="RWF555" s="178"/>
      <c r="RWG555" s="178"/>
      <c r="RWH555" s="178"/>
      <c r="RWI555" s="178"/>
      <c r="RWJ555" s="178"/>
      <c r="RWK555" s="178"/>
      <c r="RWL555" s="178"/>
      <c r="RWM555" s="178"/>
      <c r="RWN555" s="178"/>
      <c r="RWO555" s="178"/>
      <c r="RWP555" s="178"/>
      <c r="RWQ555" s="178"/>
      <c r="RWR555" s="178"/>
      <c r="RWS555" s="178"/>
      <c r="RWT555" s="178"/>
      <c r="RWU555" s="178"/>
      <c r="RWV555" s="178"/>
      <c r="RWW555" s="178"/>
      <c r="RWX555" s="178"/>
      <c r="RWY555" s="178"/>
      <c r="RWZ555" s="178"/>
      <c r="RXA555" s="178"/>
      <c r="RXB555" s="178"/>
      <c r="RXC555" s="178"/>
      <c r="RXD555" s="178"/>
      <c r="RXE555" s="178"/>
      <c r="RXF555" s="178"/>
      <c r="RXG555" s="178"/>
      <c r="RXH555" s="178"/>
      <c r="RXI555" s="178"/>
      <c r="RXJ555" s="178"/>
      <c r="RXK555" s="178"/>
      <c r="RXL555" s="178"/>
      <c r="RXM555" s="178"/>
      <c r="RXN555" s="178"/>
      <c r="RXO555" s="178"/>
      <c r="RXP555" s="178"/>
      <c r="RXQ555" s="178"/>
      <c r="RXR555" s="178"/>
      <c r="RXS555" s="178"/>
      <c r="RXT555" s="178"/>
      <c r="RXU555" s="178"/>
      <c r="RXV555" s="178"/>
      <c r="RXW555" s="178"/>
      <c r="RXX555" s="178"/>
      <c r="RXY555" s="178"/>
      <c r="RXZ555" s="178"/>
      <c r="RYA555" s="178"/>
      <c r="RYB555" s="178"/>
      <c r="RYC555" s="178"/>
      <c r="RYD555" s="178"/>
      <c r="RYE555" s="178"/>
      <c r="RYF555" s="178"/>
      <c r="RYG555" s="178"/>
      <c r="RYH555" s="178"/>
      <c r="RYI555" s="178"/>
      <c r="RYJ555" s="178"/>
      <c r="RYK555" s="178"/>
      <c r="RYL555" s="178"/>
      <c r="RYM555" s="178"/>
      <c r="RYN555" s="178"/>
      <c r="RYO555" s="178"/>
      <c r="RYP555" s="178"/>
      <c r="RYQ555" s="178"/>
      <c r="RYR555" s="178"/>
      <c r="RYS555" s="178"/>
      <c r="RYT555" s="178"/>
      <c r="RYU555" s="178"/>
      <c r="RYV555" s="178"/>
      <c r="RYW555" s="178"/>
      <c r="RYX555" s="178"/>
      <c r="RYY555" s="178"/>
      <c r="RYZ555" s="178"/>
      <c r="RZA555" s="178"/>
      <c r="RZB555" s="178"/>
      <c r="RZC555" s="178"/>
      <c r="RZD555" s="178"/>
      <c r="RZE555" s="178"/>
      <c r="RZF555" s="178"/>
      <c r="RZG555" s="178"/>
      <c r="RZH555" s="178"/>
      <c r="RZI555" s="178"/>
      <c r="RZJ555" s="178"/>
      <c r="RZK555" s="178"/>
      <c r="RZL555" s="178"/>
      <c r="RZM555" s="178"/>
      <c r="RZN555" s="178"/>
      <c r="RZO555" s="178"/>
      <c r="RZP555" s="178"/>
      <c r="RZQ555" s="178"/>
      <c r="RZR555" s="178"/>
      <c r="RZS555" s="178"/>
      <c r="RZT555" s="178"/>
      <c r="RZU555" s="178"/>
      <c r="RZV555" s="178"/>
      <c r="RZW555" s="178"/>
      <c r="RZX555" s="178"/>
      <c r="RZY555" s="178"/>
      <c r="RZZ555" s="178"/>
      <c r="SAA555" s="178"/>
      <c r="SAB555" s="178"/>
      <c r="SAC555" s="178"/>
      <c r="SAD555" s="178"/>
      <c r="SAE555" s="178"/>
      <c r="SAF555" s="178"/>
      <c r="SAG555" s="178"/>
      <c r="SAH555" s="178"/>
      <c r="SAI555" s="178"/>
      <c r="SAJ555" s="178"/>
      <c r="SAK555" s="178"/>
      <c r="SAL555" s="178"/>
      <c r="SAM555" s="178"/>
      <c r="SAN555" s="178"/>
      <c r="SAO555" s="178"/>
      <c r="SAP555" s="178"/>
      <c r="SAQ555" s="178"/>
      <c r="SAR555" s="178"/>
      <c r="SAS555" s="178"/>
      <c r="SAT555" s="178"/>
      <c r="SAU555" s="178"/>
      <c r="SAV555" s="178"/>
      <c r="SAW555" s="178"/>
      <c r="SAX555" s="178"/>
      <c r="SAY555" s="178"/>
      <c r="SAZ555" s="178"/>
      <c r="SBA555" s="178"/>
      <c r="SBB555" s="178"/>
      <c r="SBC555" s="178"/>
      <c r="SBD555" s="178"/>
      <c r="SBE555" s="178"/>
      <c r="SBF555" s="178"/>
      <c r="SBG555" s="178"/>
      <c r="SBH555" s="178"/>
      <c r="SBI555" s="178"/>
      <c r="SBJ555" s="178"/>
      <c r="SBK555" s="178"/>
      <c r="SBL555" s="178"/>
      <c r="SBM555" s="178"/>
      <c r="SBN555" s="178"/>
      <c r="SBO555" s="178"/>
      <c r="SBP555" s="178"/>
      <c r="SBQ555" s="178"/>
      <c r="SBR555" s="178"/>
      <c r="SBS555" s="178"/>
      <c r="SBT555" s="178"/>
      <c r="SBU555" s="178"/>
      <c r="SBV555" s="178"/>
      <c r="SBW555" s="178"/>
      <c r="SBX555" s="178"/>
      <c r="SBY555" s="178"/>
      <c r="SBZ555" s="178"/>
      <c r="SCA555" s="178"/>
      <c r="SCB555" s="178"/>
      <c r="SCC555" s="178"/>
      <c r="SCD555" s="178"/>
      <c r="SCE555" s="178"/>
      <c r="SCF555" s="178"/>
      <c r="SCG555" s="178"/>
      <c r="SCH555" s="178"/>
      <c r="SCI555" s="178"/>
      <c r="SCJ555" s="178"/>
      <c r="SCK555" s="178"/>
      <c r="SCL555" s="178"/>
      <c r="SCM555" s="178"/>
      <c r="SCN555" s="178"/>
      <c r="SCO555" s="178"/>
      <c r="SCP555" s="178"/>
      <c r="SCQ555" s="178"/>
      <c r="SCR555" s="178"/>
      <c r="SCS555" s="178"/>
      <c r="SCT555" s="178"/>
      <c r="SCU555" s="178"/>
      <c r="SCV555" s="178"/>
      <c r="SCW555" s="178"/>
      <c r="SCX555" s="178"/>
      <c r="SCY555" s="178"/>
      <c r="SCZ555" s="178"/>
      <c r="SDA555" s="178"/>
      <c r="SDB555" s="178"/>
      <c r="SDC555" s="178"/>
      <c r="SDD555" s="178"/>
      <c r="SDE555" s="178"/>
      <c r="SDF555" s="178"/>
      <c r="SDG555" s="178"/>
      <c r="SDH555" s="178"/>
      <c r="SDI555" s="178"/>
      <c r="SDJ555" s="178"/>
      <c r="SDK555" s="178"/>
      <c r="SDL555" s="178"/>
      <c r="SDM555" s="178"/>
      <c r="SDN555" s="178"/>
      <c r="SDO555" s="178"/>
      <c r="SDP555" s="178"/>
      <c r="SDQ555" s="178"/>
      <c r="SDR555" s="178"/>
      <c r="SDS555" s="178"/>
      <c r="SDT555" s="178"/>
      <c r="SDU555" s="178"/>
      <c r="SDV555" s="178"/>
      <c r="SDW555" s="178"/>
      <c r="SDX555" s="178"/>
      <c r="SDY555" s="178"/>
      <c r="SDZ555" s="178"/>
      <c r="SEA555" s="178"/>
      <c r="SEB555" s="178"/>
      <c r="SEC555" s="178"/>
      <c r="SED555" s="178"/>
      <c r="SEE555" s="178"/>
      <c r="SEF555" s="178"/>
      <c r="SEG555" s="178"/>
      <c r="SEH555" s="178"/>
      <c r="SEI555" s="178"/>
      <c r="SEJ555" s="178"/>
      <c r="SEK555" s="178"/>
      <c r="SEL555" s="178"/>
      <c r="SEM555" s="178"/>
      <c r="SEN555" s="178"/>
      <c r="SEO555" s="178"/>
      <c r="SEP555" s="178"/>
      <c r="SEQ555" s="178"/>
      <c r="SER555" s="178"/>
      <c r="SES555" s="178"/>
      <c r="SET555" s="178"/>
      <c r="SEU555" s="178"/>
      <c r="SEV555" s="178"/>
      <c r="SEW555" s="178"/>
      <c r="SEX555" s="178"/>
      <c r="SEY555" s="178"/>
      <c r="SEZ555" s="178"/>
      <c r="SFA555" s="178"/>
      <c r="SFB555" s="178"/>
      <c r="SFC555" s="178"/>
      <c r="SFD555" s="178"/>
      <c r="SFE555" s="178"/>
      <c r="SFF555" s="178"/>
      <c r="SFG555" s="178"/>
      <c r="SFH555" s="178"/>
      <c r="SFI555" s="178"/>
      <c r="SFJ555" s="178"/>
      <c r="SFK555" s="178"/>
      <c r="SFL555" s="178"/>
      <c r="SFM555" s="178"/>
      <c r="SFN555" s="178"/>
      <c r="SFO555" s="178"/>
      <c r="SFP555" s="178"/>
      <c r="SFQ555" s="178"/>
      <c r="SFR555" s="178"/>
      <c r="SFS555" s="178"/>
      <c r="SFT555" s="178"/>
      <c r="SFU555" s="178"/>
      <c r="SFV555" s="178"/>
      <c r="SFW555" s="178"/>
      <c r="SFX555" s="178"/>
      <c r="SFY555" s="178"/>
      <c r="SFZ555" s="178"/>
      <c r="SGA555" s="178"/>
      <c r="SGB555" s="178"/>
      <c r="SGC555" s="178"/>
      <c r="SGD555" s="178"/>
      <c r="SGE555" s="178"/>
      <c r="SGF555" s="178"/>
      <c r="SGG555" s="178"/>
      <c r="SGH555" s="178"/>
      <c r="SGI555" s="178"/>
      <c r="SGJ555" s="178"/>
      <c r="SGK555" s="178"/>
      <c r="SGL555" s="178"/>
      <c r="SGM555" s="178"/>
      <c r="SGN555" s="178"/>
      <c r="SGO555" s="178"/>
      <c r="SGP555" s="178"/>
      <c r="SGQ555" s="178"/>
      <c r="SGR555" s="178"/>
      <c r="SGS555" s="178"/>
      <c r="SGT555" s="178"/>
      <c r="SGU555" s="178"/>
      <c r="SGV555" s="178"/>
      <c r="SGW555" s="178"/>
      <c r="SGX555" s="178"/>
      <c r="SGY555" s="178"/>
      <c r="SGZ555" s="178"/>
      <c r="SHA555" s="178"/>
      <c r="SHB555" s="178"/>
      <c r="SHC555" s="178"/>
      <c r="SHD555" s="178"/>
      <c r="SHE555" s="178"/>
      <c r="SHF555" s="178"/>
      <c r="SHG555" s="178"/>
      <c r="SHH555" s="178"/>
      <c r="SHI555" s="178"/>
      <c r="SHJ555" s="178"/>
      <c r="SHK555" s="178"/>
      <c r="SHL555" s="178"/>
      <c r="SHM555" s="178"/>
      <c r="SHN555" s="178"/>
      <c r="SHO555" s="178"/>
      <c r="SHP555" s="178"/>
      <c r="SHQ555" s="178"/>
      <c r="SHR555" s="178"/>
      <c r="SHS555" s="178"/>
      <c r="SHT555" s="178"/>
      <c r="SHU555" s="178"/>
      <c r="SHV555" s="178"/>
      <c r="SHW555" s="178"/>
      <c r="SHX555" s="178"/>
      <c r="SHY555" s="178"/>
      <c r="SHZ555" s="178"/>
      <c r="SIA555" s="178"/>
      <c r="SIB555" s="178"/>
      <c r="SIC555" s="178"/>
      <c r="SID555" s="178"/>
      <c r="SIE555" s="178"/>
      <c r="SIF555" s="178"/>
      <c r="SIG555" s="178"/>
      <c r="SIH555" s="178"/>
      <c r="SII555" s="178"/>
      <c r="SIJ555" s="178"/>
      <c r="SIK555" s="178"/>
      <c r="SIL555" s="178"/>
      <c r="SIM555" s="178"/>
      <c r="SIN555" s="178"/>
      <c r="SIO555" s="178"/>
      <c r="SIP555" s="178"/>
      <c r="SIQ555" s="178"/>
      <c r="SIR555" s="178"/>
      <c r="SIS555" s="178"/>
      <c r="SIT555" s="178"/>
      <c r="SIU555" s="178"/>
      <c r="SIV555" s="178"/>
      <c r="SIW555" s="178"/>
      <c r="SIX555" s="178"/>
      <c r="SIY555" s="178"/>
      <c r="SIZ555" s="178"/>
      <c r="SJA555" s="178"/>
      <c r="SJB555" s="178"/>
      <c r="SJC555" s="178"/>
      <c r="SJD555" s="178"/>
      <c r="SJE555" s="178"/>
      <c r="SJF555" s="178"/>
      <c r="SJG555" s="178"/>
      <c r="SJH555" s="178"/>
      <c r="SJI555" s="178"/>
      <c r="SJJ555" s="178"/>
      <c r="SJK555" s="178"/>
      <c r="SJL555" s="178"/>
      <c r="SJM555" s="178"/>
      <c r="SJN555" s="178"/>
      <c r="SJO555" s="178"/>
      <c r="SJP555" s="178"/>
      <c r="SJQ555" s="178"/>
      <c r="SJR555" s="178"/>
      <c r="SJS555" s="178"/>
      <c r="SJT555" s="178"/>
      <c r="SJU555" s="178"/>
      <c r="SJV555" s="178"/>
      <c r="SJW555" s="178"/>
      <c r="SJX555" s="178"/>
      <c r="SJY555" s="178"/>
      <c r="SJZ555" s="178"/>
      <c r="SKA555" s="178"/>
      <c r="SKB555" s="178"/>
      <c r="SKC555" s="178"/>
      <c r="SKD555" s="178"/>
      <c r="SKE555" s="178"/>
      <c r="SKF555" s="178"/>
      <c r="SKG555" s="178"/>
      <c r="SKH555" s="178"/>
      <c r="SKI555" s="178"/>
      <c r="SKJ555" s="178"/>
      <c r="SKK555" s="178"/>
      <c r="SKL555" s="178"/>
      <c r="SKM555" s="178"/>
      <c r="SKN555" s="178"/>
      <c r="SKO555" s="178"/>
      <c r="SKP555" s="178"/>
      <c r="SKQ555" s="178"/>
      <c r="SKR555" s="178"/>
      <c r="SKS555" s="178"/>
      <c r="SKT555" s="178"/>
      <c r="SKU555" s="178"/>
      <c r="SKV555" s="178"/>
      <c r="SKW555" s="178"/>
      <c r="SKX555" s="178"/>
      <c r="SKY555" s="178"/>
      <c r="SKZ555" s="178"/>
      <c r="SLA555" s="178"/>
      <c r="SLB555" s="178"/>
      <c r="SLC555" s="178"/>
      <c r="SLD555" s="178"/>
      <c r="SLE555" s="178"/>
      <c r="SLF555" s="178"/>
      <c r="SLG555" s="178"/>
      <c r="SLH555" s="178"/>
      <c r="SLI555" s="178"/>
      <c r="SLJ555" s="178"/>
      <c r="SLK555" s="178"/>
      <c r="SLL555" s="178"/>
      <c r="SLM555" s="178"/>
      <c r="SLN555" s="178"/>
      <c r="SLO555" s="178"/>
      <c r="SLP555" s="178"/>
      <c r="SLQ555" s="178"/>
      <c r="SLR555" s="178"/>
      <c r="SLS555" s="178"/>
      <c r="SLT555" s="178"/>
      <c r="SLU555" s="178"/>
      <c r="SLV555" s="178"/>
      <c r="SLW555" s="178"/>
      <c r="SLX555" s="178"/>
      <c r="SLY555" s="178"/>
      <c r="SLZ555" s="178"/>
      <c r="SMA555" s="178"/>
      <c r="SMB555" s="178"/>
      <c r="SMC555" s="178"/>
      <c r="SMD555" s="178"/>
      <c r="SME555" s="178"/>
      <c r="SMF555" s="178"/>
      <c r="SMG555" s="178"/>
      <c r="SMH555" s="178"/>
      <c r="SMI555" s="178"/>
      <c r="SMJ555" s="178"/>
      <c r="SMK555" s="178"/>
      <c r="SML555" s="178"/>
      <c r="SMM555" s="178"/>
      <c r="SMN555" s="178"/>
      <c r="SMO555" s="178"/>
      <c r="SMP555" s="178"/>
      <c r="SMQ555" s="178"/>
      <c r="SMR555" s="178"/>
      <c r="SMS555" s="178"/>
      <c r="SMT555" s="178"/>
      <c r="SMU555" s="178"/>
      <c r="SMV555" s="178"/>
      <c r="SMW555" s="178"/>
      <c r="SMX555" s="178"/>
      <c r="SMY555" s="178"/>
      <c r="SMZ555" s="178"/>
      <c r="SNA555" s="178"/>
      <c r="SNB555" s="178"/>
      <c r="SNC555" s="178"/>
      <c r="SND555" s="178"/>
      <c r="SNE555" s="178"/>
      <c r="SNF555" s="178"/>
      <c r="SNG555" s="178"/>
      <c r="SNH555" s="178"/>
      <c r="SNI555" s="178"/>
      <c r="SNJ555" s="178"/>
      <c r="SNK555" s="178"/>
      <c r="SNL555" s="178"/>
      <c r="SNM555" s="178"/>
      <c r="SNN555" s="178"/>
      <c r="SNO555" s="178"/>
      <c r="SNP555" s="178"/>
      <c r="SNQ555" s="178"/>
      <c r="SNR555" s="178"/>
      <c r="SNS555" s="178"/>
      <c r="SNT555" s="178"/>
      <c r="SNU555" s="178"/>
      <c r="SNV555" s="178"/>
      <c r="SNW555" s="178"/>
      <c r="SNX555" s="178"/>
      <c r="SNY555" s="178"/>
      <c r="SNZ555" s="178"/>
      <c r="SOA555" s="178"/>
      <c r="SOB555" s="178"/>
      <c r="SOC555" s="178"/>
      <c r="SOD555" s="178"/>
      <c r="SOE555" s="178"/>
      <c r="SOF555" s="178"/>
      <c r="SOG555" s="178"/>
      <c r="SOH555" s="178"/>
      <c r="SOI555" s="178"/>
      <c r="SOJ555" s="178"/>
      <c r="SOK555" s="178"/>
      <c r="SOL555" s="178"/>
      <c r="SOM555" s="178"/>
      <c r="SON555" s="178"/>
      <c r="SOO555" s="178"/>
      <c r="SOP555" s="178"/>
      <c r="SOQ555" s="178"/>
      <c r="SOR555" s="178"/>
      <c r="SOS555" s="178"/>
      <c r="SOT555" s="178"/>
      <c r="SOU555" s="178"/>
      <c r="SOV555" s="178"/>
      <c r="SOW555" s="178"/>
      <c r="SOX555" s="178"/>
      <c r="SOY555" s="178"/>
      <c r="SOZ555" s="178"/>
      <c r="SPA555" s="178"/>
      <c r="SPB555" s="178"/>
      <c r="SPC555" s="178"/>
      <c r="SPD555" s="178"/>
      <c r="SPE555" s="178"/>
      <c r="SPF555" s="178"/>
      <c r="SPG555" s="178"/>
      <c r="SPH555" s="178"/>
      <c r="SPI555" s="178"/>
      <c r="SPJ555" s="178"/>
      <c r="SPK555" s="178"/>
      <c r="SPL555" s="178"/>
      <c r="SPM555" s="178"/>
      <c r="SPN555" s="178"/>
      <c r="SPO555" s="178"/>
      <c r="SPP555" s="178"/>
      <c r="SPQ555" s="178"/>
      <c r="SPR555" s="178"/>
      <c r="SPS555" s="178"/>
      <c r="SPT555" s="178"/>
      <c r="SPU555" s="178"/>
      <c r="SPV555" s="178"/>
      <c r="SPW555" s="178"/>
      <c r="SPX555" s="178"/>
      <c r="SPY555" s="178"/>
      <c r="SPZ555" s="178"/>
      <c r="SQA555" s="178"/>
      <c r="SQB555" s="178"/>
      <c r="SQC555" s="178"/>
      <c r="SQD555" s="178"/>
      <c r="SQE555" s="178"/>
      <c r="SQF555" s="178"/>
      <c r="SQG555" s="178"/>
      <c r="SQH555" s="178"/>
      <c r="SQI555" s="178"/>
      <c r="SQJ555" s="178"/>
      <c r="SQK555" s="178"/>
      <c r="SQL555" s="178"/>
      <c r="SQM555" s="178"/>
      <c r="SQN555" s="178"/>
      <c r="SQO555" s="178"/>
      <c r="SQP555" s="178"/>
      <c r="SQQ555" s="178"/>
      <c r="SQR555" s="178"/>
      <c r="SQS555" s="178"/>
      <c r="SQT555" s="178"/>
      <c r="SQU555" s="178"/>
      <c r="SQV555" s="178"/>
      <c r="SQW555" s="178"/>
      <c r="SQX555" s="178"/>
      <c r="SQY555" s="178"/>
      <c r="SQZ555" s="178"/>
      <c r="SRA555" s="178"/>
      <c r="SRB555" s="178"/>
      <c r="SRC555" s="178"/>
      <c r="SRD555" s="178"/>
      <c r="SRE555" s="178"/>
      <c r="SRF555" s="178"/>
      <c r="SRG555" s="178"/>
      <c r="SRH555" s="178"/>
      <c r="SRI555" s="178"/>
      <c r="SRJ555" s="178"/>
      <c r="SRK555" s="178"/>
      <c r="SRL555" s="178"/>
      <c r="SRM555" s="178"/>
      <c r="SRN555" s="178"/>
      <c r="SRO555" s="178"/>
      <c r="SRP555" s="178"/>
      <c r="SRQ555" s="178"/>
      <c r="SRR555" s="178"/>
      <c r="SRS555" s="178"/>
      <c r="SRT555" s="178"/>
      <c r="SRU555" s="178"/>
      <c r="SRV555" s="178"/>
      <c r="SRW555" s="178"/>
      <c r="SRX555" s="178"/>
      <c r="SRY555" s="178"/>
      <c r="SRZ555" s="178"/>
      <c r="SSA555" s="178"/>
      <c r="SSB555" s="178"/>
      <c r="SSC555" s="178"/>
      <c r="SSD555" s="178"/>
      <c r="SSE555" s="178"/>
      <c r="SSF555" s="178"/>
      <c r="SSG555" s="178"/>
      <c r="SSH555" s="178"/>
      <c r="SSI555" s="178"/>
      <c r="SSJ555" s="178"/>
      <c r="SSK555" s="178"/>
      <c r="SSL555" s="178"/>
      <c r="SSM555" s="178"/>
      <c r="SSN555" s="178"/>
      <c r="SSO555" s="178"/>
      <c r="SSP555" s="178"/>
      <c r="SSQ555" s="178"/>
      <c r="SSR555" s="178"/>
      <c r="SSS555" s="178"/>
      <c r="SST555" s="178"/>
      <c r="SSU555" s="178"/>
      <c r="SSV555" s="178"/>
      <c r="SSW555" s="178"/>
      <c r="SSX555" s="178"/>
      <c r="SSY555" s="178"/>
      <c r="SSZ555" s="178"/>
      <c r="STA555" s="178"/>
      <c r="STB555" s="178"/>
      <c r="STC555" s="178"/>
      <c r="STD555" s="178"/>
      <c r="STE555" s="178"/>
      <c r="STF555" s="178"/>
      <c r="STG555" s="178"/>
      <c r="STH555" s="178"/>
      <c r="STI555" s="178"/>
      <c r="STJ555" s="178"/>
      <c r="STK555" s="178"/>
      <c r="STL555" s="178"/>
      <c r="STM555" s="178"/>
      <c r="STN555" s="178"/>
      <c r="STO555" s="178"/>
      <c r="STP555" s="178"/>
      <c r="STQ555" s="178"/>
      <c r="STR555" s="178"/>
      <c r="STS555" s="178"/>
      <c r="STT555" s="178"/>
      <c r="STU555" s="178"/>
      <c r="STV555" s="178"/>
      <c r="STW555" s="178"/>
      <c r="STX555" s="178"/>
      <c r="STY555" s="178"/>
      <c r="STZ555" s="178"/>
      <c r="SUA555" s="178"/>
      <c r="SUB555" s="178"/>
      <c r="SUC555" s="178"/>
      <c r="SUD555" s="178"/>
      <c r="SUE555" s="178"/>
      <c r="SUF555" s="178"/>
      <c r="SUG555" s="178"/>
      <c r="SUH555" s="178"/>
      <c r="SUI555" s="178"/>
      <c r="SUJ555" s="178"/>
      <c r="SUK555" s="178"/>
      <c r="SUL555" s="178"/>
      <c r="SUM555" s="178"/>
      <c r="SUN555" s="178"/>
      <c r="SUO555" s="178"/>
      <c r="SUP555" s="178"/>
      <c r="SUQ555" s="178"/>
      <c r="SUR555" s="178"/>
      <c r="SUS555" s="178"/>
      <c r="SUT555" s="178"/>
      <c r="SUU555" s="178"/>
      <c r="SUV555" s="178"/>
      <c r="SUW555" s="178"/>
      <c r="SUX555" s="178"/>
      <c r="SUY555" s="178"/>
      <c r="SUZ555" s="178"/>
      <c r="SVA555" s="178"/>
      <c r="SVB555" s="178"/>
      <c r="SVC555" s="178"/>
      <c r="SVD555" s="178"/>
      <c r="SVE555" s="178"/>
      <c r="SVF555" s="178"/>
      <c r="SVG555" s="178"/>
      <c r="SVH555" s="178"/>
      <c r="SVI555" s="178"/>
      <c r="SVJ555" s="178"/>
      <c r="SVK555" s="178"/>
      <c r="SVL555" s="178"/>
      <c r="SVM555" s="178"/>
      <c r="SVN555" s="178"/>
      <c r="SVO555" s="178"/>
      <c r="SVP555" s="178"/>
      <c r="SVQ555" s="178"/>
      <c r="SVR555" s="178"/>
      <c r="SVS555" s="178"/>
      <c r="SVT555" s="178"/>
      <c r="SVU555" s="178"/>
      <c r="SVV555" s="178"/>
      <c r="SVW555" s="178"/>
      <c r="SVX555" s="178"/>
      <c r="SVY555" s="178"/>
      <c r="SVZ555" s="178"/>
      <c r="SWA555" s="178"/>
      <c r="SWB555" s="178"/>
      <c r="SWC555" s="178"/>
      <c r="SWD555" s="178"/>
      <c r="SWE555" s="178"/>
      <c r="SWF555" s="178"/>
      <c r="SWG555" s="178"/>
      <c r="SWH555" s="178"/>
      <c r="SWI555" s="178"/>
      <c r="SWJ555" s="178"/>
      <c r="SWK555" s="178"/>
      <c r="SWL555" s="178"/>
      <c r="SWM555" s="178"/>
      <c r="SWN555" s="178"/>
      <c r="SWO555" s="178"/>
      <c r="SWP555" s="178"/>
      <c r="SWQ555" s="178"/>
      <c r="SWR555" s="178"/>
      <c r="SWS555" s="178"/>
      <c r="SWT555" s="178"/>
      <c r="SWU555" s="178"/>
      <c r="SWV555" s="178"/>
      <c r="SWW555" s="178"/>
      <c r="SWX555" s="178"/>
      <c r="SWY555" s="178"/>
      <c r="SWZ555" s="178"/>
      <c r="SXA555" s="178"/>
      <c r="SXB555" s="178"/>
      <c r="SXC555" s="178"/>
      <c r="SXD555" s="178"/>
      <c r="SXE555" s="178"/>
      <c r="SXF555" s="178"/>
      <c r="SXG555" s="178"/>
      <c r="SXH555" s="178"/>
      <c r="SXI555" s="178"/>
      <c r="SXJ555" s="178"/>
      <c r="SXK555" s="178"/>
      <c r="SXL555" s="178"/>
      <c r="SXM555" s="178"/>
      <c r="SXN555" s="178"/>
      <c r="SXO555" s="178"/>
      <c r="SXP555" s="178"/>
      <c r="SXQ555" s="178"/>
      <c r="SXR555" s="178"/>
      <c r="SXS555" s="178"/>
      <c r="SXT555" s="178"/>
      <c r="SXU555" s="178"/>
      <c r="SXV555" s="178"/>
      <c r="SXW555" s="178"/>
      <c r="SXX555" s="178"/>
      <c r="SXY555" s="178"/>
      <c r="SXZ555" s="178"/>
      <c r="SYA555" s="178"/>
      <c r="SYB555" s="178"/>
      <c r="SYC555" s="178"/>
      <c r="SYD555" s="178"/>
      <c r="SYE555" s="178"/>
      <c r="SYF555" s="178"/>
      <c r="SYG555" s="178"/>
      <c r="SYH555" s="178"/>
      <c r="SYI555" s="178"/>
      <c r="SYJ555" s="178"/>
      <c r="SYK555" s="178"/>
      <c r="SYL555" s="178"/>
      <c r="SYM555" s="178"/>
      <c r="SYN555" s="178"/>
      <c r="SYO555" s="178"/>
      <c r="SYP555" s="178"/>
      <c r="SYQ555" s="178"/>
      <c r="SYR555" s="178"/>
      <c r="SYS555" s="178"/>
      <c r="SYT555" s="178"/>
      <c r="SYU555" s="178"/>
      <c r="SYV555" s="178"/>
      <c r="SYW555" s="178"/>
      <c r="SYX555" s="178"/>
      <c r="SYY555" s="178"/>
      <c r="SYZ555" s="178"/>
      <c r="SZA555" s="178"/>
      <c r="SZB555" s="178"/>
      <c r="SZC555" s="178"/>
      <c r="SZD555" s="178"/>
      <c r="SZE555" s="178"/>
      <c r="SZF555" s="178"/>
      <c r="SZG555" s="178"/>
      <c r="SZH555" s="178"/>
      <c r="SZI555" s="178"/>
      <c r="SZJ555" s="178"/>
      <c r="SZK555" s="178"/>
      <c r="SZL555" s="178"/>
      <c r="SZM555" s="178"/>
      <c r="SZN555" s="178"/>
      <c r="SZO555" s="178"/>
      <c r="SZP555" s="178"/>
      <c r="SZQ555" s="178"/>
      <c r="SZR555" s="178"/>
      <c r="SZS555" s="178"/>
      <c r="SZT555" s="178"/>
      <c r="SZU555" s="178"/>
      <c r="SZV555" s="178"/>
      <c r="SZW555" s="178"/>
      <c r="SZX555" s="178"/>
      <c r="SZY555" s="178"/>
      <c r="SZZ555" s="178"/>
      <c r="TAA555" s="178"/>
      <c r="TAB555" s="178"/>
      <c r="TAC555" s="178"/>
      <c r="TAD555" s="178"/>
      <c r="TAE555" s="178"/>
      <c r="TAF555" s="178"/>
      <c r="TAG555" s="178"/>
      <c r="TAH555" s="178"/>
      <c r="TAI555" s="178"/>
      <c r="TAJ555" s="178"/>
      <c r="TAK555" s="178"/>
      <c r="TAL555" s="178"/>
      <c r="TAM555" s="178"/>
      <c r="TAN555" s="178"/>
      <c r="TAO555" s="178"/>
      <c r="TAP555" s="178"/>
      <c r="TAQ555" s="178"/>
      <c r="TAR555" s="178"/>
      <c r="TAS555" s="178"/>
      <c r="TAT555" s="178"/>
      <c r="TAU555" s="178"/>
      <c r="TAV555" s="178"/>
      <c r="TAW555" s="178"/>
      <c r="TAX555" s="178"/>
      <c r="TAY555" s="178"/>
      <c r="TAZ555" s="178"/>
      <c r="TBA555" s="178"/>
      <c r="TBB555" s="178"/>
      <c r="TBC555" s="178"/>
      <c r="TBD555" s="178"/>
      <c r="TBE555" s="178"/>
      <c r="TBF555" s="178"/>
      <c r="TBG555" s="178"/>
      <c r="TBH555" s="178"/>
      <c r="TBI555" s="178"/>
      <c r="TBJ555" s="178"/>
      <c r="TBK555" s="178"/>
      <c r="TBL555" s="178"/>
      <c r="TBM555" s="178"/>
      <c r="TBN555" s="178"/>
      <c r="TBO555" s="178"/>
      <c r="TBP555" s="178"/>
      <c r="TBQ555" s="178"/>
      <c r="TBR555" s="178"/>
      <c r="TBS555" s="178"/>
      <c r="TBT555" s="178"/>
      <c r="TBU555" s="178"/>
      <c r="TBV555" s="178"/>
      <c r="TBW555" s="178"/>
      <c r="TBX555" s="178"/>
      <c r="TBY555" s="178"/>
      <c r="TBZ555" s="178"/>
      <c r="TCA555" s="178"/>
      <c r="TCB555" s="178"/>
      <c r="TCC555" s="178"/>
      <c r="TCD555" s="178"/>
      <c r="TCE555" s="178"/>
      <c r="TCF555" s="178"/>
      <c r="TCG555" s="178"/>
      <c r="TCH555" s="178"/>
      <c r="TCI555" s="178"/>
      <c r="TCJ555" s="178"/>
      <c r="TCK555" s="178"/>
      <c r="TCL555" s="178"/>
      <c r="TCM555" s="178"/>
      <c r="TCN555" s="178"/>
      <c r="TCO555" s="178"/>
      <c r="TCP555" s="178"/>
      <c r="TCQ555" s="178"/>
      <c r="TCR555" s="178"/>
      <c r="TCS555" s="178"/>
      <c r="TCT555" s="178"/>
      <c r="TCU555" s="178"/>
      <c r="TCV555" s="178"/>
      <c r="TCW555" s="178"/>
      <c r="TCX555" s="178"/>
      <c r="TCY555" s="178"/>
      <c r="TCZ555" s="178"/>
      <c r="TDA555" s="178"/>
      <c r="TDB555" s="178"/>
      <c r="TDC555" s="178"/>
      <c r="TDD555" s="178"/>
      <c r="TDE555" s="178"/>
      <c r="TDF555" s="178"/>
      <c r="TDG555" s="178"/>
      <c r="TDH555" s="178"/>
      <c r="TDI555" s="178"/>
      <c r="TDJ555" s="178"/>
      <c r="TDK555" s="178"/>
      <c r="TDL555" s="178"/>
      <c r="TDM555" s="178"/>
      <c r="TDN555" s="178"/>
      <c r="TDO555" s="178"/>
      <c r="TDP555" s="178"/>
      <c r="TDQ555" s="178"/>
      <c r="TDR555" s="178"/>
      <c r="TDS555" s="178"/>
      <c r="TDT555" s="178"/>
      <c r="TDU555" s="178"/>
      <c r="TDV555" s="178"/>
      <c r="TDW555" s="178"/>
      <c r="TDX555" s="178"/>
      <c r="TDY555" s="178"/>
      <c r="TDZ555" s="178"/>
      <c r="TEA555" s="178"/>
      <c r="TEB555" s="178"/>
      <c r="TEC555" s="178"/>
      <c r="TED555" s="178"/>
      <c r="TEE555" s="178"/>
      <c r="TEF555" s="178"/>
      <c r="TEG555" s="178"/>
      <c r="TEH555" s="178"/>
      <c r="TEI555" s="178"/>
      <c r="TEJ555" s="178"/>
      <c r="TEK555" s="178"/>
      <c r="TEL555" s="178"/>
      <c r="TEM555" s="178"/>
      <c r="TEN555" s="178"/>
      <c r="TEO555" s="178"/>
      <c r="TEP555" s="178"/>
      <c r="TEQ555" s="178"/>
      <c r="TER555" s="178"/>
      <c r="TES555" s="178"/>
      <c r="TET555" s="178"/>
      <c r="TEU555" s="178"/>
      <c r="TEV555" s="178"/>
      <c r="TEW555" s="178"/>
      <c r="TEX555" s="178"/>
      <c r="TEY555" s="178"/>
      <c r="TEZ555" s="178"/>
      <c r="TFA555" s="178"/>
      <c r="TFB555" s="178"/>
      <c r="TFC555" s="178"/>
      <c r="TFD555" s="178"/>
      <c r="TFE555" s="178"/>
      <c r="TFF555" s="178"/>
      <c r="TFG555" s="178"/>
      <c r="TFH555" s="178"/>
      <c r="TFI555" s="178"/>
      <c r="TFJ555" s="178"/>
      <c r="TFK555" s="178"/>
      <c r="TFL555" s="178"/>
      <c r="TFM555" s="178"/>
      <c r="TFN555" s="178"/>
      <c r="TFO555" s="178"/>
      <c r="TFP555" s="178"/>
      <c r="TFQ555" s="178"/>
      <c r="TFR555" s="178"/>
      <c r="TFS555" s="178"/>
      <c r="TFT555" s="178"/>
      <c r="TFU555" s="178"/>
      <c r="TFV555" s="178"/>
      <c r="TFW555" s="178"/>
      <c r="TFX555" s="178"/>
      <c r="TFY555" s="178"/>
      <c r="TFZ555" s="178"/>
      <c r="TGA555" s="178"/>
      <c r="TGB555" s="178"/>
      <c r="TGC555" s="178"/>
      <c r="TGD555" s="178"/>
      <c r="TGE555" s="178"/>
      <c r="TGF555" s="178"/>
      <c r="TGG555" s="178"/>
      <c r="TGH555" s="178"/>
      <c r="TGI555" s="178"/>
      <c r="TGJ555" s="178"/>
      <c r="TGK555" s="178"/>
      <c r="TGL555" s="178"/>
      <c r="TGM555" s="178"/>
      <c r="TGN555" s="178"/>
      <c r="TGO555" s="178"/>
      <c r="TGP555" s="178"/>
      <c r="TGQ555" s="178"/>
      <c r="TGR555" s="178"/>
      <c r="TGS555" s="178"/>
      <c r="TGT555" s="178"/>
      <c r="TGU555" s="178"/>
      <c r="TGV555" s="178"/>
      <c r="TGW555" s="178"/>
      <c r="TGX555" s="178"/>
      <c r="TGY555" s="178"/>
      <c r="TGZ555" s="178"/>
      <c r="THA555" s="178"/>
      <c r="THB555" s="178"/>
      <c r="THC555" s="178"/>
      <c r="THD555" s="178"/>
      <c r="THE555" s="178"/>
      <c r="THF555" s="178"/>
      <c r="THG555" s="178"/>
      <c r="THH555" s="178"/>
      <c r="THI555" s="178"/>
      <c r="THJ555" s="178"/>
      <c r="THK555" s="178"/>
      <c r="THL555" s="178"/>
      <c r="THM555" s="178"/>
      <c r="THN555" s="178"/>
      <c r="THO555" s="178"/>
      <c r="THP555" s="178"/>
      <c r="THQ555" s="178"/>
      <c r="THR555" s="178"/>
      <c r="THS555" s="178"/>
      <c r="THT555" s="178"/>
      <c r="THU555" s="178"/>
      <c r="THV555" s="178"/>
      <c r="THW555" s="178"/>
      <c r="THX555" s="178"/>
      <c r="THY555" s="178"/>
      <c r="THZ555" s="178"/>
      <c r="TIA555" s="178"/>
      <c r="TIB555" s="178"/>
      <c r="TIC555" s="178"/>
      <c r="TID555" s="178"/>
      <c r="TIE555" s="178"/>
      <c r="TIF555" s="178"/>
      <c r="TIG555" s="178"/>
      <c r="TIH555" s="178"/>
      <c r="TII555" s="178"/>
      <c r="TIJ555" s="178"/>
      <c r="TIK555" s="178"/>
      <c r="TIL555" s="178"/>
      <c r="TIM555" s="178"/>
      <c r="TIN555" s="178"/>
      <c r="TIO555" s="178"/>
      <c r="TIP555" s="178"/>
      <c r="TIQ555" s="178"/>
      <c r="TIR555" s="178"/>
      <c r="TIS555" s="178"/>
      <c r="TIT555" s="178"/>
      <c r="TIU555" s="178"/>
      <c r="TIV555" s="178"/>
      <c r="TIW555" s="178"/>
      <c r="TIX555" s="178"/>
      <c r="TIY555" s="178"/>
      <c r="TIZ555" s="178"/>
      <c r="TJA555" s="178"/>
      <c r="TJB555" s="178"/>
      <c r="TJC555" s="178"/>
      <c r="TJD555" s="178"/>
      <c r="TJE555" s="178"/>
      <c r="TJF555" s="178"/>
      <c r="TJG555" s="178"/>
      <c r="TJH555" s="178"/>
      <c r="TJI555" s="178"/>
      <c r="TJJ555" s="178"/>
      <c r="TJK555" s="178"/>
      <c r="TJL555" s="178"/>
      <c r="TJM555" s="178"/>
      <c r="TJN555" s="178"/>
      <c r="TJO555" s="178"/>
      <c r="TJP555" s="178"/>
      <c r="TJQ555" s="178"/>
      <c r="TJR555" s="178"/>
      <c r="TJS555" s="178"/>
      <c r="TJT555" s="178"/>
      <c r="TJU555" s="178"/>
      <c r="TJV555" s="178"/>
      <c r="TJW555" s="178"/>
      <c r="TJX555" s="178"/>
      <c r="TJY555" s="178"/>
      <c r="TJZ555" s="178"/>
      <c r="TKA555" s="178"/>
      <c r="TKB555" s="178"/>
      <c r="TKC555" s="178"/>
      <c r="TKD555" s="178"/>
      <c r="TKE555" s="178"/>
      <c r="TKF555" s="178"/>
      <c r="TKG555" s="178"/>
      <c r="TKH555" s="178"/>
      <c r="TKI555" s="178"/>
      <c r="TKJ555" s="178"/>
      <c r="TKK555" s="178"/>
      <c r="TKL555" s="178"/>
      <c r="TKM555" s="178"/>
      <c r="TKN555" s="178"/>
      <c r="TKO555" s="178"/>
      <c r="TKP555" s="178"/>
      <c r="TKQ555" s="178"/>
      <c r="TKR555" s="178"/>
      <c r="TKS555" s="178"/>
      <c r="TKT555" s="178"/>
      <c r="TKU555" s="178"/>
      <c r="TKV555" s="178"/>
      <c r="TKW555" s="178"/>
      <c r="TKX555" s="178"/>
      <c r="TKY555" s="178"/>
      <c r="TKZ555" s="178"/>
      <c r="TLA555" s="178"/>
      <c r="TLB555" s="178"/>
      <c r="TLC555" s="178"/>
      <c r="TLD555" s="178"/>
      <c r="TLE555" s="178"/>
      <c r="TLF555" s="178"/>
      <c r="TLG555" s="178"/>
      <c r="TLH555" s="178"/>
      <c r="TLI555" s="178"/>
      <c r="TLJ555" s="178"/>
      <c r="TLK555" s="178"/>
      <c r="TLL555" s="178"/>
      <c r="TLM555" s="178"/>
      <c r="TLN555" s="178"/>
      <c r="TLO555" s="178"/>
      <c r="TLP555" s="178"/>
      <c r="TLQ555" s="178"/>
      <c r="TLR555" s="178"/>
      <c r="TLS555" s="178"/>
      <c r="TLT555" s="178"/>
      <c r="TLU555" s="178"/>
      <c r="TLV555" s="178"/>
      <c r="TLW555" s="178"/>
      <c r="TLX555" s="178"/>
      <c r="TLY555" s="178"/>
      <c r="TLZ555" s="178"/>
      <c r="TMA555" s="178"/>
      <c r="TMB555" s="178"/>
      <c r="TMC555" s="178"/>
      <c r="TMD555" s="178"/>
      <c r="TME555" s="178"/>
      <c r="TMF555" s="178"/>
      <c r="TMG555" s="178"/>
      <c r="TMH555" s="178"/>
      <c r="TMI555" s="178"/>
      <c r="TMJ555" s="178"/>
      <c r="TMK555" s="178"/>
      <c r="TML555" s="178"/>
      <c r="TMM555" s="178"/>
      <c r="TMN555" s="178"/>
      <c r="TMO555" s="178"/>
      <c r="TMP555" s="178"/>
      <c r="TMQ555" s="178"/>
      <c r="TMR555" s="178"/>
      <c r="TMS555" s="178"/>
      <c r="TMT555" s="178"/>
      <c r="TMU555" s="178"/>
      <c r="TMV555" s="178"/>
      <c r="TMW555" s="178"/>
      <c r="TMX555" s="178"/>
      <c r="TMY555" s="178"/>
      <c r="TMZ555" s="178"/>
      <c r="TNA555" s="178"/>
      <c r="TNB555" s="178"/>
      <c r="TNC555" s="178"/>
      <c r="TND555" s="178"/>
      <c r="TNE555" s="178"/>
      <c r="TNF555" s="178"/>
      <c r="TNG555" s="178"/>
      <c r="TNH555" s="178"/>
      <c r="TNI555" s="178"/>
      <c r="TNJ555" s="178"/>
      <c r="TNK555" s="178"/>
      <c r="TNL555" s="178"/>
      <c r="TNM555" s="178"/>
      <c r="TNN555" s="178"/>
      <c r="TNO555" s="178"/>
      <c r="TNP555" s="178"/>
      <c r="TNQ555" s="178"/>
      <c r="TNR555" s="178"/>
      <c r="TNS555" s="178"/>
      <c r="TNT555" s="178"/>
      <c r="TNU555" s="178"/>
      <c r="TNV555" s="178"/>
      <c r="TNW555" s="178"/>
      <c r="TNX555" s="178"/>
      <c r="TNY555" s="178"/>
      <c r="TNZ555" s="178"/>
      <c r="TOA555" s="178"/>
      <c r="TOB555" s="178"/>
      <c r="TOC555" s="178"/>
      <c r="TOD555" s="178"/>
      <c r="TOE555" s="178"/>
      <c r="TOF555" s="178"/>
      <c r="TOG555" s="178"/>
      <c r="TOH555" s="178"/>
      <c r="TOI555" s="178"/>
      <c r="TOJ555" s="178"/>
      <c r="TOK555" s="178"/>
      <c r="TOL555" s="178"/>
      <c r="TOM555" s="178"/>
      <c r="TON555" s="178"/>
      <c r="TOO555" s="178"/>
      <c r="TOP555" s="178"/>
      <c r="TOQ555" s="178"/>
      <c r="TOR555" s="178"/>
      <c r="TOS555" s="178"/>
      <c r="TOT555" s="178"/>
      <c r="TOU555" s="178"/>
      <c r="TOV555" s="178"/>
      <c r="TOW555" s="178"/>
      <c r="TOX555" s="178"/>
      <c r="TOY555" s="178"/>
      <c r="TOZ555" s="178"/>
      <c r="TPA555" s="178"/>
      <c r="TPB555" s="178"/>
      <c r="TPC555" s="178"/>
      <c r="TPD555" s="178"/>
      <c r="TPE555" s="178"/>
      <c r="TPF555" s="178"/>
      <c r="TPG555" s="178"/>
      <c r="TPH555" s="178"/>
      <c r="TPI555" s="178"/>
      <c r="TPJ555" s="178"/>
      <c r="TPK555" s="178"/>
      <c r="TPL555" s="178"/>
      <c r="TPM555" s="178"/>
      <c r="TPN555" s="178"/>
      <c r="TPO555" s="178"/>
      <c r="TPP555" s="178"/>
      <c r="TPQ555" s="178"/>
      <c r="TPR555" s="178"/>
      <c r="TPS555" s="178"/>
      <c r="TPT555" s="178"/>
      <c r="TPU555" s="178"/>
      <c r="TPV555" s="178"/>
      <c r="TPW555" s="178"/>
      <c r="TPX555" s="178"/>
      <c r="TPY555" s="178"/>
      <c r="TPZ555" s="178"/>
      <c r="TQA555" s="178"/>
      <c r="TQB555" s="178"/>
      <c r="TQC555" s="178"/>
      <c r="TQD555" s="178"/>
      <c r="TQE555" s="178"/>
      <c r="TQF555" s="178"/>
      <c r="TQG555" s="178"/>
      <c r="TQH555" s="178"/>
      <c r="TQI555" s="178"/>
      <c r="TQJ555" s="178"/>
      <c r="TQK555" s="178"/>
      <c r="TQL555" s="178"/>
      <c r="TQM555" s="178"/>
      <c r="TQN555" s="178"/>
      <c r="TQO555" s="178"/>
      <c r="TQP555" s="178"/>
      <c r="TQQ555" s="178"/>
      <c r="TQR555" s="178"/>
      <c r="TQS555" s="178"/>
      <c r="TQT555" s="178"/>
      <c r="TQU555" s="178"/>
      <c r="TQV555" s="178"/>
      <c r="TQW555" s="178"/>
      <c r="TQX555" s="178"/>
      <c r="TQY555" s="178"/>
      <c r="TQZ555" s="178"/>
      <c r="TRA555" s="178"/>
      <c r="TRB555" s="178"/>
      <c r="TRC555" s="178"/>
      <c r="TRD555" s="178"/>
      <c r="TRE555" s="178"/>
      <c r="TRF555" s="178"/>
      <c r="TRG555" s="178"/>
      <c r="TRH555" s="178"/>
      <c r="TRI555" s="178"/>
      <c r="TRJ555" s="178"/>
      <c r="TRK555" s="178"/>
      <c r="TRL555" s="178"/>
      <c r="TRM555" s="178"/>
      <c r="TRN555" s="178"/>
      <c r="TRO555" s="178"/>
      <c r="TRP555" s="178"/>
      <c r="TRQ555" s="178"/>
      <c r="TRR555" s="178"/>
      <c r="TRS555" s="178"/>
      <c r="TRT555" s="178"/>
      <c r="TRU555" s="178"/>
      <c r="TRV555" s="178"/>
      <c r="TRW555" s="178"/>
      <c r="TRX555" s="178"/>
      <c r="TRY555" s="178"/>
      <c r="TRZ555" s="178"/>
      <c r="TSA555" s="178"/>
      <c r="TSB555" s="178"/>
      <c r="TSC555" s="178"/>
      <c r="TSD555" s="178"/>
      <c r="TSE555" s="178"/>
      <c r="TSF555" s="178"/>
      <c r="TSG555" s="178"/>
      <c r="TSH555" s="178"/>
      <c r="TSI555" s="178"/>
      <c r="TSJ555" s="178"/>
      <c r="TSK555" s="178"/>
      <c r="TSL555" s="178"/>
      <c r="TSM555" s="178"/>
      <c r="TSN555" s="178"/>
      <c r="TSO555" s="178"/>
      <c r="TSP555" s="178"/>
      <c r="TSQ555" s="178"/>
      <c r="TSR555" s="178"/>
      <c r="TSS555" s="178"/>
      <c r="TST555" s="178"/>
      <c r="TSU555" s="178"/>
      <c r="TSV555" s="178"/>
      <c r="TSW555" s="178"/>
      <c r="TSX555" s="178"/>
      <c r="TSY555" s="178"/>
      <c r="TSZ555" s="178"/>
      <c r="TTA555" s="178"/>
      <c r="TTB555" s="178"/>
      <c r="TTC555" s="178"/>
      <c r="TTD555" s="178"/>
      <c r="TTE555" s="178"/>
      <c r="TTF555" s="178"/>
      <c r="TTG555" s="178"/>
      <c r="TTH555" s="178"/>
      <c r="TTI555" s="178"/>
      <c r="TTJ555" s="178"/>
      <c r="TTK555" s="178"/>
      <c r="TTL555" s="178"/>
      <c r="TTM555" s="178"/>
      <c r="TTN555" s="178"/>
      <c r="TTO555" s="178"/>
      <c r="TTP555" s="178"/>
      <c r="TTQ555" s="178"/>
      <c r="TTR555" s="178"/>
      <c r="TTS555" s="178"/>
      <c r="TTT555" s="178"/>
      <c r="TTU555" s="178"/>
      <c r="TTV555" s="178"/>
      <c r="TTW555" s="178"/>
      <c r="TTX555" s="178"/>
      <c r="TTY555" s="178"/>
      <c r="TTZ555" s="178"/>
      <c r="TUA555" s="178"/>
      <c r="TUB555" s="178"/>
      <c r="TUC555" s="178"/>
      <c r="TUD555" s="178"/>
      <c r="TUE555" s="178"/>
      <c r="TUF555" s="178"/>
      <c r="TUG555" s="178"/>
      <c r="TUH555" s="178"/>
      <c r="TUI555" s="178"/>
      <c r="TUJ555" s="178"/>
      <c r="TUK555" s="178"/>
      <c r="TUL555" s="178"/>
      <c r="TUM555" s="178"/>
      <c r="TUN555" s="178"/>
      <c r="TUO555" s="178"/>
      <c r="TUP555" s="178"/>
      <c r="TUQ555" s="178"/>
      <c r="TUR555" s="178"/>
      <c r="TUS555" s="178"/>
      <c r="TUT555" s="178"/>
      <c r="TUU555" s="178"/>
      <c r="TUV555" s="178"/>
      <c r="TUW555" s="178"/>
      <c r="TUX555" s="178"/>
      <c r="TUY555" s="178"/>
      <c r="TUZ555" s="178"/>
      <c r="TVA555" s="178"/>
      <c r="TVB555" s="178"/>
      <c r="TVC555" s="178"/>
      <c r="TVD555" s="178"/>
      <c r="TVE555" s="178"/>
      <c r="TVF555" s="178"/>
      <c r="TVG555" s="178"/>
      <c r="TVH555" s="178"/>
      <c r="TVI555" s="178"/>
      <c r="TVJ555" s="178"/>
      <c r="TVK555" s="178"/>
      <c r="TVL555" s="178"/>
      <c r="TVM555" s="178"/>
      <c r="TVN555" s="178"/>
      <c r="TVO555" s="178"/>
      <c r="TVP555" s="178"/>
      <c r="TVQ555" s="178"/>
      <c r="TVR555" s="178"/>
      <c r="TVS555" s="178"/>
      <c r="TVT555" s="178"/>
      <c r="TVU555" s="178"/>
      <c r="TVV555" s="178"/>
      <c r="TVW555" s="178"/>
      <c r="TVX555" s="178"/>
      <c r="TVY555" s="178"/>
      <c r="TVZ555" s="178"/>
      <c r="TWA555" s="178"/>
      <c r="TWB555" s="178"/>
      <c r="TWC555" s="178"/>
      <c r="TWD555" s="178"/>
      <c r="TWE555" s="178"/>
      <c r="TWF555" s="178"/>
      <c r="TWG555" s="178"/>
      <c r="TWH555" s="178"/>
      <c r="TWI555" s="178"/>
      <c r="TWJ555" s="178"/>
      <c r="TWK555" s="178"/>
      <c r="TWL555" s="178"/>
      <c r="TWM555" s="178"/>
      <c r="TWN555" s="178"/>
      <c r="TWO555" s="178"/>
      <c r="TWP555" s="178"/>
      <c r="TWQ555" s="178"/>
      <c r="TWR555" s="178"/>
      <c r="TWS555" s="178"/>
      <c r="TWT555" s="178"/>
      <c r="TWU555" s="178"/>
      <c r="TWV555" s="178"/>
      <c r="TWW555" s="178"/>
      <c r="TWX555" s="178"/>
      <c r="TWY555" s="178"/>
      <c r="TWZ555" s="178"/>
      <c r="TXA555" s="178"/>
      <c r="TXB555" s="178"/>
      <c r="TXC555" s="178"/>
      <c r="TXD555" s="178"/>
      <c r="TXE555" s="178"/>
      <c r="TXF555" s="178"/>
      <c r="TXG555" s="178"/>
      <c r="TXH555" s="178"/>
      <c r="TXI555" s="178"/>
      <c r="TXJ555" s="178"/>
      <c r="TXK555" s="178"/>
      <c r="TXL555" s="178"/>
      <c r="TXM555" s="178"/>
      <c r="TXN555" s="178"/>
      <c r="TXO555" s="178"/>
      <c r="TXP555" s="178"/>
      <c r="TXQ555" s="178"/>
      <c r="TXR555" s="178"/>
      <c r="TXS555" s="178"/>
      <c r="TXT555" s="178"/>
      <c r="TXU555" s="178"/>
      <c r="TXV555" s="178"/>
      <c r="TXW555" s="178"/>
      <c r="TXX555" s="178"/>
      <c r="TXY555" s="178"/>
      <c r="TXZ555" s="178"/>
      <c r="TYA555" s="178"/>
      <c r="TYB555" s="178"/>
      <c r="TYC555" s="178"/>
      <c r="TYD555" s="178"/>
      <c r="TYE555" s="178"/>
      <c r="TYF555" s="178"/>
      <c r="TYG555" s="178"/>
      <c r="TYH555" s="178"/>
      <c r="TYI555" s="178"/>
      <c r="TYJ555" s="178"/>
      <c r="TYK555" s="178"/>
      <c r="TYL555" s="178"/>
      <c r="TYM555" s="178"/>
      <c r="TYN555" s="178"/>
      <c r="TYO555" s="178"/>
      <c r="TYP555" s="178"/>
      <c r="TYQ555" s="178"/>
      <c r="TYR555" s="178"/>
      <c r="TYS555" s="178"/>
      <c r="TYT555" s="178"/>
      <c r="TYU555" s="178"/>
      <c r="TYV555" s="178"/>
      <c r="TYW555" s="178"/>
      <c r="TYX555" s="178"/>
      <c r="TYY555" s="178"/>
      <c r="TYZ555" s="178"/>
      <c r="TZA555" s="178"/>
      <c r="TZB555" s="178"/>
      <c r="TZC555" s="178"/>
      <c r="TZD555" s="178"/>
      <c r="TZE555" s="178"/>
      <c r="TZF555" s="178"/>
      <c r="TZG555" s="178"/>
      <c r="TZH555" s="178"/>
      <c r="TZI555" s="178"/>
      <c r="TZJ555" s="178"/>
      <c r="TZK555" s="178"/>
      <c r="TZL555" s="178"/>
      <c r="TZM555" s="178"/>
      <c r="TZN555" s="178"/>
      <c r="TZO555" s="178"/>
      <c r="TZP555" s="178"/>
      <c r="TZQ555" s="178"/>
      <c r="TZR555" s="178"/>
      <c r="TZS555" s="178"/>
      <c r="TZT555" s="178"/>
      <c r="TZU555" s="178"/>
      <c r="TZV555" s="178"/>
      <c r="TZW555" s="178"/>
      <c r="TZX555" s="178"/>
      <c r="TZY555" s="178"/>
      <c r="TZZ555" s="178"/>
      <c r="UAA555" s="178"/>
      <c r="UAB555" s="178"/>
      <c r="UAC555" s="178"/>
      <c r="UAD555" s="178"/>
      <c r="UAE555" s="178"/>
      <c r="UAF555" s="178"/>
      <c r="UAG555" s="178"/>
      <c r="UAH555" s="178"/>
      <c r="UAI555" s="178"/>
      <c r="UAJ555" s="178"/>
      <c r="UAK555" s="178"/>
      <c r="UAL555" s="178"/>
      <c r="UAM555" s="178"/>
      <c r="UAN555" s="178"/>
      <c r="UAO555" s="178"/>
      <c r="UAP555" s="178"/>
      <c r="UAQ555" s="178"/>
      <c r="UAR555" s="178"/>
      <c r="UAS555" s="178"/>
      <c r="UAT555" s="178"/>
      <c r="UAU555" s="178"/>
      <c r="UAV555" s="178"/>
      <c r="UAW555" s="178"/>
      <c r="UAX555" s="178"/>
      <c r="UAY555" s="178"/>
      <c r="UAZ555" s="178"/>
      <c r="UBA555" s="178"/>
      <c r="UBB555" s="178"/>
      <c r="UBC555" s="178"/>
      <c r="UBD555" s="178"/>
      <c r="UBE555" s="178"/>
      <c r="UBF555" s="178"/>
      <c r="UBG555" s="178"/>
      <c r="UBH555" s="178"/>
      <c r="UBI555" s="178"/>
      <c r="UBJ555" s="178"/>
      <c r="UBK555" s="178"/>
      <c r="UBL555" s="178"/>
      <c r="UBM555" s="178"/>
      <c r="UBN555" s="178"/>
      <c r="UBO555" s="178"/>
      <c r="UBP555" s="178"/>
      <c r="UBQ555" s="178"/>
      <c r="UBR555" s="178"/>
      <c r="UBS555" s="178"/>
      <c r="UBT555" s="178"/>
      <c r="UBU555" s="178"/>
      <c r="UBV555" s="178"/>
      <c r="UBW555" s="178"/>
      <c r="UBX555" s="178"/>
      <c r="UBY555" s="178"/>
      <c r="UBZ555" s="178"/>
      <c r="UCA555" s="178"/>
      <c r="UCB555" s="178"/>
      <c r="UCC555" s="178"/>
      <c r="UCD555" s="178"/>
      <c r="UCE555" s="178"/>
      <c r="UCF555" s="178"/>
      <c r="UCG555" s="178"/>
      <c r="UCH555" s="178"/>
      <c r="UCI555" s="178"/>
      <c r="UCJ555" s="178"/>
      <c r="UCK555" s="178"/>
      <c r="UCL555" s="178"/>
      <c r="UCM555" s="178"/>
      <c r="UCN555" s="178"/>
      <c r="UCO555" s="178"/>
      <c r="UCP555" s="178"/>
      <c r="UCQ555" s="178"/>
      <c r="UCR555" s="178"/>
      <c r="UCS555" s="178"/>
      <c r="UCT555" s="178"/>
      <c r="UCU555" s="178"/>
      <c r="UCV555" s="178"/>
      <c r="UCW555" s="178"/>
      <c r="UCX555" s="178"/>
      <c r="UCY555" s="178"/>
      <c r="UCZ555" s="178"/>
      <c r="UDA555" s="178"/>
      <c r="UDB555" s="178"/>
      <c r="UDC555" s="178"/>
      <c r="UDD555" s="178"/>
      <c r="UDE555" s="178"/>
      <c r="UDF555" s="178"/>
      <c r="UDG555" s="178"/>
      <c r="UDH555" s="178"/>
      <c r="UDI555" s="178"/>
      <c r="UDJ555" s="178"/>
      <c r="UDK555" s="178"/>
      <c r="UDL555" s="178"/>
      <c r="UDM555" s="178"/>
      <c r="UDN555" s="178"/>
      <c r="UDO555" s="178"/>
      <c r="UDP555" s="178"/>
      <c r="UDQ555" s="178"/>
      <c r="UDR555" s="178"/>
      <c r="UDS555" s="178"/>
      <c r="UDT555" s="178"/>
      <c r="UDU555" s="178"/>
      <c r="UDV555" s="178"/>
      <c r="UDW555" s="178"/>
      <c r="UDX555" s="178"/>
      <c r="UDY555" s="178"/>
      <c r="UDZ555" s="178"/>
      <c r="UEA555" s="178"/>
      <c r="UEB555" s="178"/>
      <c r="UEC555" s="178"/>
      <c r="UED555" s="178"/>
      <c r="UEE555" s="178"/>
      <c r="UEF555" s="178"/>
      <c r="UEG555" s="178"/>
      <c r="UEH555" s="178"/>
      <c r="UEI555" s="178"/>
      <c r="UEJ555" s="178"/>
      <c r="UEK555" s="178"/>
      <c r="UEL555" s="178"/>
      <c r="UEM555" s="178"/>
      <c r="UEN555" s="178"/>
      <c r="UEO555" s="178"/>
      <c r="UEP555" s="178"/>
      <c r="UEQ555" s="178"/>
      <c r="UER555" s="178"/>
      <c r="UES555" s="178"/>
      <c r="UET555" s="178"/>
      <c r="UEU555" s="178"/>
      <c r="UEV555" s="178"/>
      <c r="UEW555" s="178"/>
      <c r="UEX555" s="178"/>
      <c r="UEY555" s="178"/>
      <c r="UEZ555" s="178"/>
      <c r="UFA555" s="178"/>
      <c r="UFB555" s="178"/>
      <c r="UFC555" s="178"/>
      <c r="UFD555" s="178"/>
      <c r="UFE555" s="178"/>
      <c r="UFF555" s="178"/>
      <c r="UFG555" s="178"/>
      <c r="UFH555" s="178"/>
      <c r="UFI555" s="178"/>
      <c r="UFJ555" s="178"/>
      <c r="UFK555" s="178"/>
      <c r="UFL555" s="178"/>
      <c r="UFM555" s="178"/>
      <c r="UFN555" s="178"/>
      <c r="UFO555" s="178"/>
      <c r="UFP555" s="178"/>
      <c r="UFQ555" s="178"/>
      <c r="UFR555" s="178"/>
      <c r="UFS555" s="178"/>
      <c r="UFT555" s="178"/>
      <c r="UFU555" s="178"/>
      <c r="UFV555" s="178"/>
      <c r="UFW555" s="178"/>
      <c r="UFX555" s="178"/>
      <c r="UFY555" s="178"/>
      <c r="UFZ555" s="178"/>
      <c r="UGA555" s="178"/>
      <c r="UGB555" s="178"/>
      <c r="UGC555" s="178"/>
      <c r="UGD555" s="178"/>
      <c r="UGE555" s="178"/>
      <c r="UGF555" s="178"/>
      <c r="UGG555" s="178"/>
      <c r="UGH555" s="178"/>
      <c r="UGI555" s="178"/>
      <c r="UGJ555" s="178"/>
      <c r="UGK555" s="178"/>
      <c r="UGL555" s="178"/>
      <c r="UGM555" s="178"/>
      <c r="UGN555" s="178"/>
      <c r="UGO555" s="178"/>
      <c r="UGP555" s="178"/>
      <c r="UGQ555" s="178"/>
      <c r="UGR555" s="178"/>
      <c r="UGS555" s="178"/>
      <c r="UGT555" s="178"/>
      <c r="UGU555" s="178"/>
      <c r="UGV555" s="178"/>
      <c r="UGW555" s="178"/>
      <c r="UGX555" s="178"/>
      <c r="UGY555" s="178"/>
      <c r="UGZ555" s="178"/>
      <c r="UHA555" s="178"/>
      <c r="UHB555" s="178"/>
      <c r="UHC555" s="178"/>
      <c r="UHD555" s="178"/>
      <c r="UHE555" s="178"/>
      <c r="UHF555" s="178"/>
      <c r="UHG555" s="178"/>
      <c r="UHH555" s="178"/>
      <c r="UHI555" s="178"/>
      <c r="UHJ555" s="178"/>
      <c r="UHK555" s="178"/>
      <c r="UHL555" s="178"/>
      <c r="UHM555" s="178"/>
      <c r="UHN555" s="178"/>
      <c r="UHO555" s="178"/>
      <c r="UHP555" s="178"/>
      <c r="UHQ555" s="178"/>
      <c r="UHR555" s="178"/>
      <c r="UHS555" s="178"/>
      <c r="UHT555" s="178"/>
      <c r="UHU555" s="178"/>
      <c r="UHV555" s="178"/>
      <c r="UHW555" s="178"/>
      <c r="UHX555" s="178"/>
      <c r="UHY555" s="178"/>
      <c r="UHZ555" s="178"/>
      <c r="UIA555" s="178"/>
      <c r="UIB555" s="178"/>
      <c r="UIC555" s="178"/>
      <c r="UID555" s="178"/>
      <c r="UIE555" s="178"/>
      <c r="UIF555" s="178"/>
      <c r="UIG555" s="178"/>
      <c r="UIH555" s="178"/>
      <c r="UII555" s="178"/>
      <c r="UIJ555" s="178"/>
      <c r="UIK555" s="178"/>
      <c r="UIL555" s="178"/>
      <c r="UIM555" s="178"/>
      <c r="UIN555" s="178"/>
      <c r="UIO555" s="178"/>
      <c r="UIP555" s="178"/>
      <c r="UIQ555" s="178"/>
      <c r="UIR555" s="178"/>
      <c r="UIS555" s="178"/>
      <c r="UIT555" s="178"/>
      <c r="UIU555" s="178"/>
      <c r="UIV555" s="178"/>
      <c r="UIW555" s="178"/>
      <c r="UIX555" s="178"/>
      <c r="UIY555" s="178"/>
      <c r="UIZ555" s="178"/>
      <c r="UJA555" s="178"/>
      <c r="UJB555" s="178"/>
      <c r="UJC555" s="178"/>
      <c r="UJD555" s="178"/>
      <c r="UJE555" s="178"/>
      <c r="UJF555" s="178"/>
      <c r="UJG555" s="178"/>
      <c r="UJH555" s="178"/>
      <c r="UJI555" s="178"/>
      <c r="UJJ555" s="178"/>
      <c r="UJK555" s="178"/>
      <c r="UJL555" s="178"/>
      <c r="UJM555" s="178"/>
      <c r="UJN555" s="178"/>
      <c r="UJO555" s="178"/>
      <c r="UJP555" s="178"/>
      <c r="UJQ555" s="178"/>
      <c r="UJR555" s="178"/>
      <c r="UJS555" s="178"/>
      <c r="UJT555" s="178"/>
      <c r="UJU555" s="178"/>
      <c r="UJV555" s="178"/>
      <c r="UJW555" s="178"/>
      <c r="UJX555" s="178"/>
      <c r="UJY555" s="178"/>
      <c r="UJZ555" s="178"/>
      <c r="UKA555" s="178"/>
      <c r="UKB555" s="178"/>
      <c r="UKC555" s="178"/>
      <c r="UKD555" s="178"/>
      <c r="UKE555" s="178"/>
      <c r="UKF555" s="178"/>
      <c r="UKG555" s="178"/>
      <c r="UKH555" s="178"/>
      <c r="UKI555" s="178"/>
      <c r="UKJ555" s="178"/>
      <c r="UKK555" s="178"/>
      <c r="UKL555" s="178"/>
      <c r="UKM555" s="178"/>
      <c r="UKN555" s="178"/>
      <c r="UKO555" s="178"/>
      <c r="UKP555" s="178"/>
      <c r="UKQ555" s="178"/>
      <c r="UKR555" s="178"/>
      <c r="UKS555" s="178"/>
      <c r="UKT555" s="178"/>
      <c r="UKU555" s="178"/>
      <c r="UKV555" s="178"/>
      <c r="UKW555" s="178"/>
      <c r="UKX555" s="178"/>
      <c r="UKY555" s="178"/>
      <c r="UKZ555" s="178"/>
      <c r="ULA555" s="178"/>
      <c r="ULB555" s="178"/>
      <c r="ULC555" s="178"/>
      <c r="ULD555" s="178"/>
      <c r="ULE555" s="178"/>
      <c r="ULF555" s="178"/>
      <c r="ULG555" s="178"/>
      <c r="ULH555" s="178"/>
      <c r="ULI555" s="178"/>
      <c r="ULJ555" s="178"/>
      <c r="ULK555" s="178"/>
      <c r="ULL555" s="178"/>
      <c r="ULM555" s="178"/>
      <c r="ULN555" s="178"/>
      <c r="ULO555" s="178"/>
      <c r="ULP555" s="178"/>
      <c r="ULQ555" s="178"/>
      <c r="ULR555" s="178"/>
      <c r="ULS555" s="178"/>
      <c r="ULT555" s="178"/>
      <c r="ULU555" s="178"/>
      <c r="ULV555" s="178"/>
      <c r="ULW555" s="178"/>
      <c r="ULX555" s="178"/>
      <c r="ULY555" s="178"/>
      <c r="ULZ555" s="178"/>
      <c r="UMA555" s="178"/>
      <c r="UMB555" s="178"/>
      <c r="UMC555" s="178"/>
      <c r="UMD555" s="178"/>
      <c r="UME555" s="178"/>
      <c r="UMF555" s="178"/>
      <c r="UMG555" s="178"/>
      <c r="UMH555" s="178"/>
      <c r="UMI555" s="178"/>
      <c r="UMJ555" s="178"/>
      <c r="UMK555" s="178"/>
      <c r="UML555" s="178"/>
      <c r="UMM555" s="178"/>
      <c r="UMN555" s="178"/>
      <c r="UMO555" s="178"/>
      <c r="UMP555" s="178"/>
      <c r="UMQ555" s="178"/>
      <c r="UMR555" s="178"/>
      <c r="UMS555" s="178"/>
      <c r="UMT555" s="178"/>
      <c r="UMU555" s="178"/>
      <c r="UMV555" s="178"/>
      <c r="UMW555" s="178"/>
      <c r="UMX555" s="178"/>
      <c r="UMY555" s="178"/>
      <c r="UMZ555" s="178"/>
      <c r="UNA555" s="178"/>
      <c r="UNB555" s="178"/>
      <c r="UNC555" s="178"/>
      <c r="UND555" s="178"/>
      <c r="UNE555" s="178"/>
      <c r="UNF555" s="178"/>
      <c r="UNG555" s="178"/>
      <c r="UNH555" s="178"/>
      <c r="UNI555" s="178"/>
      <c r="UNJ555" s="178"/>
      <c r="UNK555" s="178"/>
      <c r="UNL555" s="178"/>
      <c r="UNM555" s="178"/>
      <c r="UNN555" s="178"/>
      <c r="UNO555" s="178"/>
      <c r="UNP555" s="178"/>
      <c r="UNQ555" s="178"/>
      <c r="UNR555" s="178"/>
      <c r="UNS555" s="178"/>
      <c r="UNT555" s="178"/>
      <c r="UNU555" s="178"/>
      <c r="UNV555" s="178"/>
      <c r="UNW555" s="178"/>
      <c r="UNX555" s="178"/>
      <c r="UNY555" s="178"/>
      <c r="UNZ555" s="178"/>
      <c r="UOA555" s="178"/>
      <c r="UOB555" s="178"/>
      <c r="UOC555" s="178"/>
      <c r="UOD555" s="178"/>
      <c r="UOE555" s="178"/>
      <c r="UOF555" s="178"/>
      <c r="UOG555" s="178"/>
      <c r="UOH555" s="178"/>
      <c r="UOI555" s="178"/>
      <c r="UOJ555" s="178"/>
      <c r="UOK555" s="178"/>
      <c r="UOL555" s="178"/>
      <c r="UOM555" s="178"/>
      <c r="UON555" s="178"/>
      <c r="UOO555" s="178"/>
      <c r="UOP555" s="178"/>
      <c r="UOQ555" s="178"/>
      <c r="UOR555" s="178"/>
      <c r="UOS555" s="178"/>
      <c r="UOT555" s="178"/>
      <c r="UOU555" s="178"/>
      <c r="UOV555" s="178"/>
      <c r="UOW555" s="178"/>
      <c r="UOX555" s="178"/>
      <c r="UOY555" s="178"/>
      <c r="UOZ555" s="178"/>
      <c r="UPA555" s="178"/>
      <c r="UPB555" s="178"/>
      <c r="UPC555" s="178"/>
      <c r="UPD555" s="178"/>
      <c r="UPE555" s="178"/>
      <c r="UPF555" s="178"/>
      <c r="UPG555" s="178"/>
      <c r="UPH555" s="178"/>
      <c r="UPI555" s="178"/>
      <c r="UPJ555" s="178"/>
      <c r="UPK555" s="178"/>
      <c r="UPL555" s="178"/>
      <c r="UPM555" s="178"/>
      <c r="UPN555" s="178"/>
      <c r="UPO555" s="178"/>
      <c r="UPP555" s="178"/>
      <c r="UPQ555" s="178"/>
      <c r="UPR555" s="178"/>
      <c r="UPS555" s="178"/>
      <c r="UPT555" s="178"/>
      <c r="UPU555" s="178"/>
      <c r="UPV555" s="178"/>
      <c r="UPW555" s="178"/>
      <c r="UPX555" s="178"/>
      <c r="UPY555" s="178"/>
      <c r="UPZ555" s="178"/>
      <c r="UQA555" s="178"/>
      <c r="UQB555" s="178"/>
      <c r="UQC555" s="178"/>
      <c r="UQD555" s="178"/>
      <c r="UQE555" s="178"/>
      <c r="UQF555" s="178"/>
      <c r="UQG555" s="178"/>
      <c r="UQH555" s="178"/>
      <c r="UQI555" s="178"/>
      <c r="UQJ555" s="178"/>
      <c r="UQK555" s="178"/>
      <c r="UQL555" s="178"/>
      <c r="UQM555" s="178"/>
      <c r="UQN555" s="178"/>
      <c r="UQO555" s="178"/>
      <c r="UQP555" s="178"/>
      <c r="UQQ555" s="178"/>
      <c r="UQR555" s="178"/>
      <c r="UQS555" s="178"/>
      <c r="UQT555" s="178"/>
      <c r="UQU555" s="178"/>
      <c r="UQV555" s="178"/>
      <c r="UQW555" s="178"/>
      <c r="UQX555" s="178"/>
      <c r="UQY555" s="178"/>
      <c r="UQZ555" s="178"/>
      <c r="URA555" s="178"/>
      <c r="URB555" s="178"/>
      <c r="URC555" s="178"/>
      <c r="URD555" s="178"/>
      <c r="URE555" s="178"/>
      <c r="URF555" s="178"/>
      <c r="URG555" s="178"/>
      <c r="URH555" s="178"/>
      <c r="URI555" s="178"/>
      <c r="URJ555" s="178"/>
      <c r="URK555" s="178"/>
      <c r="URL555" s="178"/>
      <c r="URM555" s="178"/>
      <c r="URN555" s="178"/>
      <c r="URO555" s="178"/>
      <c r="URP555" s="178"/>
      <c r="URQ555" s="178"/>
      <c r="URR555" s="178"/>
      <c r="URS555" s="178"/>
      <c r="URT555" s="178"/>
      <c r="URU555" s="178"/>
      <c r="URV555" s="178"/>
      <c r="URW555" s="178"/>
      <c r="URX555" s="178"/>
      <c r="URY555" s="178"/>
      <c r="URZ555" s="178"/>
      <c r="USA555" s="178"/>
      <c r="USB555" s="178"/>
      <c r="USC555" s="178"/>
      <c r="USD555" s="178"/>
      <c r="USE555" s="178"/>
      <c r="USF555" s="178"/>
      <c r="USG555" s="178"/>
      <c r="USH555" s="178"/>
      <c r="USI555" s="178"/>
      <c r="USJ555" s="178"/>
      <c r="USK555" s="178"/>
      <c r="USL555" s="178"/>
      <c r="USM555" s="178"/>
      <c r="USN555" s="178"/>
      <c r="USO555" s="178"/>
      <c r="USP555" s="178"/>
      <c r="USQ555" s="178"/>
      <c r="USR555" s="178"/>
      <c r="USS555" s="178"/>
      <c r="UST555" s="178"/>
      <c r="USU555" s="178"/>
      <c r="USV555" s="178"/>
      <c r="USW555" s="178"/>
      <c r="USX555" s="178"/>
      <c r="USY555" s="178"/>
      <c r="USZ555" s="178"/>
      <c r="UTA555" s="178"/>
      <c r="UTB555" s="178"/>
      <c r="UTC555" s="178"/>
      <c r="UTD555" s="178"/>
      <c r="UTE555" s="178"/>
      <c r="UTF555" s="178"/>
      <c r="UTG555" s="178"/>
      <c r="UTH555" s="178"/>
      <c r="UTI555" s="178"/>
      <c r="UTJ555" s="178"/>
      <c r="UTK555" s="178"/>
      <c r="UTL555" s="178"/>
      <c r="UTM555" s="178"/>
      <c r="UTN555" s="178"/>
      <c r="UTO555" s="178"/>
      <c r="UTP555" s="178"/>
      <c r="UTQ555" s="178"/>
      <c r="UTR555" s="178"/>
      <c r="UTS555" s="178"/>
      <c r="UTT555" s="178"/>
      <c r="UTU555" s="178"/>
      <c r="UTV555" s="178"/>
      <c r="UTW555" s="178"/>
      <c r="UTX555" s="178"/>
      <c r="UTY555" s="178"/>
      <c r="UTZ555" s="178"/>
      <c r="UUA555" s="178"/>
      <c r="UUB555" s="178"/>
      <c r="UUC555" s="178"/>
      <c r="UUD555" s="178"/>
      <c r="UUE555" s="178"/>
      <c r="UUF555" s="178"/>
      <c r="UUG555" s="178"/>
      <c r="UUH555" s="178"/>
      <c r="UUI555" s="178"/>
      <c r="UUJ555" s="178"/>
      <c r="UUK555" s="178"/>
      <c r="UUL555" s="178"/>
      <c r="UUM555" s="178"/>
      <c r="UUN555" s="178"/>
      <c r="UUO555" s="178"/>
      <c r="UUP555" s="178"/>
      <c r="UUQ555" s="178"/>
      <c r="UUR555" s="178"/>
      <c r="UUS555" s="178"/>
      <c r="UUT555" s="178"/>
      <c r="UUU555" s="178"/>
      <c r="UUV555" s="178"/>
      <c r="UUW555" s="178"/>
      <c r="UUX555" s="178"/>
      <c r="UUY555" s="178"/>
      <c r="UUZ555" s="178"/>
      <c r="UVA555" s="178"/>
      <c r="UVB555" s="178"/>
      <c r="UVC555" s="178"/>
      <c r="UVD555" s="178"/>
      <c r="UVE555" s="178"/>
      <c r="UVF555" s="178"/>
      <c r="UVG555" s="178"/>
      <c r="UVH555" s="178"/>
      <c r="UVI555" s="178"/>
      <c r="UVJ555" s="178"/>
      <c r="UVK555" s="178"/>
      <c r="UVL555" s="178"/>
      <c r="UVM555" s="178"/>
      <c r="UVN555" s="178"/>
      <c r="UVO555" s="178"/>
      <c r="UVP555" s="178"/>
      <c r="UVQ555" s="178"/>
      <c r="UVR555" s="178"/>
      <c r="UVS555" s="178"/>
      <c r="UVT555" s="178"/>
      <c r="UVU555" s="178"/>
      <c r="UVV555" s="178"/>
      <c r="UVW555" s="178"/>
      <c r="UVX555" s="178"/>
      <c r="UVY555" s="178"/>
      <c r="UVZ555" s="178"/>
      <c r="UWA555" s="178"/>
      <c r="UWB555" s="178"/>
      <c r="UWC555" s="178"/>
      <c r="UWD555" s="178"/>
      <c r="UWE555" s="178"/>
      <c r="UWF555" s="178"/>
      <c r="UWG555" s="178"/>
      <c r="UWH555" s="178"/>
      <c r="UWI555" s="178"/>
      <c r="UWJ555" s="178"/>
      <c r="UWK555" s="178"/>
      <c r="UWL555" s="178"/>
      <c r="UWM555" s="178"/>
      <c r="UWN555" s="178"/>
      <c r="UWO555" s="178"/>
      <c r="UWP555" s="178"/>
      <c r="UWQ555" s="178"/>
      <c r="UWR555" s="178"/>
      <c r="UWS555" s="178"/>
      <c r="UWT555" s="178"/>
      <c r="UWU555" s="178"/>
      <c r="UWV555" s="178"/>
      <c r="UWW555" s="178"/>
      <c r="UWX555" s="178"/>
      <c r="UWY555" s="178"/>
      <c r="UWZ555" s="178"/>
      <c r="UXA555" s="178"/>
      <c r="UXB555" s="178"/>
      <c r="UXC555" s="178"/>
      <c r="UXD555" s="178"/>
      <c r="UXE555" s="178"/>
      <c r="UXF555" s="178"/>
      <c r="UXG555" s="178"/>
      <c r="UXH555" s="178"/>
      <c r="UXI555" s="178"/>
      <c r="UXJ555" s="178"/>
      <c r="UXK555" s="178"/>
      <c r="UXL555" s="178"/>
      <c r="UXM555" s="178"/>
      <c r="UXN555" s="178"/>
      <c r="UXO555" s="178"/>
      <c r="UXP555" s="178"/>
      <c r="UXQ555" s="178"/>
      <c r="UXR555" s="178"/>
      <c r="UXS555" s="178"/>
      <c r="UXT555" s="178"/>
      <c r="UXU555" s="178"/>
      <c r="UXV555" s="178"/>
      <c r="UXW555" s="178"/>
      <c r="UXX555" s="178"/>
      <c r="UXY555" s="178"/>
      <c r="UXZ555" s="178"/>
      <c r="UYA555" s="178"/>
      <c r="UYB555" s="178"/>
      <c r="UYC555" s="178"/>
      <c r="UYD555" s="178"/>
      <c r="UYE555" s="178"/>
      <c r="UYF555" s="178"/>
      <c r="UYG555" s="178"/>
      <c r="UYH555" s="178"/>
      <c r="UYI555" s="178"/>
      <c r="UYJ555" s="178"/>
      <c r="UYK555" s="178"/>
      <c r="UYL555" s="178"/>
      <c r="UYM555" s="178"/>
      <c r="UYN555" s="178"/>
      <c r="UYO555" s="178"/>
      <c r="UYP555" s="178"/>
      <c r="UYQ555" s="178"/>
      <c r="UYR555" s="178"/>
      <c r="UYS555" s="178"/>
      <c r="UYT555" s="178"/>
      <c r="UYU555" s="178"/>
      <c r="UYV555" s="178"/>
      <c r="UYW555" s="178"/>
      <c r="UYX555" s="178"/>
      <c r="UYY555" s="178"/>
      <c r="UYZ555" s="178"/>
      <c r="UZA555" s="178"/>
      <c r="UZB555" s="178"/>
      <c r="UZC555" s="178"/>
      <c r="UZD555" s="178"/>
      <c r="UZE555" s="178"/>
      <c r="UZF555" s="178"/>
      <c r="UZG555" s="178"/>
      <c r="UZH555" s="178"/>
      <c r="UZI555" s="178"/>
      <c r="UZJ555" s="178"/>
      <c r="UZK555" s="178"/>
      <c r="UZL555" s="178"/>
      <c r="UZM555" s="178"/>
      <c r="UZN555" s="178"/>
      <c r="UZO555" s="178"/>
      <c r="UZP555" s="178"/>
      <c r="UZQ555" s="178"/>
      <c r="UZR555" s="178"/>
      <c r="UZS555" s="178"/>
      <c r="UZT555" s="178"/>
      <c r="UZU555" s="178"/>
      <c r="UZV555" s="178"/>
      <c r="UZW555" s="178"/>
      <c r="UZX555" s="178"/>
      <c r="UZY555" s="178"/>
      <c r="UZZ555" s="178"/>
      <c r="VAA555" s="178"/>
      <c r="VAB555" s="178"/>
      <c r="VAC555" s="178"/>
      <c r="VAD555" s="178"/>
      <c r="VAE555" s="178"/>
      <c r="VAF555" s="178"/>
      <c r="VAG555" s="178"/>
      <c r="VAH555" s="178"/>
      <c r="VAI555" s="178"/>
      <c r="VAJ555" s="178"/>
      <c r="VAK555" s="178"/>
      <c r="VAL555" s="178"/>
      <c r="VAM555" s="178"/>
      <c r="VAN555" s="178"/>
      <c r="VAO555" s="178"/>
      <c r="VAP555" s="178"/>
      <c r="VAQ555" s="178"/>
      <c r="VAR555" s="178"/>
      <c r="VAS555" s="178"/>
      <c r="VAT555" s="178"/>
      <c r="VAU555" s="178"/>
      <c r="VAV555" s="178"/>
      <c r="VAW555" s="178"/>
      <c r="VAX555" s="178"/>
      <c r="VAY555" s="178"/>
      <c r="VAZ555" s="178"/>
      <c r="VBA555" s="178"/>
      <c r="VBB555" s="178"/>
      <c r="VBC555" s="178"/>
      <c r="VBD555" s="178"/>
      <c r="VBE555" s="178"/>
      <c r="VBF555" s="178"/>
      <c r="VBG555" s="178"/>
      <c r="VBH555" s="178"/>
      <c r="VBI555" s="178"/>
      <c r="VBJ555" s="178"/>
      <c r="VBK555" s="178"/>
      <c r="VBL555" s="178"/>
      <c r="VBM555" s="178"/>
      <c r="VBN555" s="178"/>
      <c r="VBO555" s="178"/>
      <c r="VBP555" s="178"/>
      <c r="VBQ555" s="178"/>
      <c r="VBR555" s="178"/>
      <c r="VBS555" s="178"/>
      <c r="VBT555" s="178"/>
      <c r="VBU555" s="178"/>
      <c r="VBV555" s="178"/>
      <c r="VBW555" s="178"/>
      <c r="VBX555" s="178"/>
      <c r="VBY555" s="178"/>
      <c r="VBZ555" s="178"/>
      <c r="VCA555" s="178"/>
      <c r="VCB555" s="178"/>
      <c r="VCC555" s="178"/>
      <c r="VCD555" s="178"/>
      <c r="VCE555" s="178"/>
      <c r="VCF555" s="178"/>
      <c r="VCG555" s="178"/>
      <c r="VCH555" s="178"/>
      <c r="VCI555" s="178"/>
      <c r="VCJ555" s="178"/>
      <c r="VCK555" s="178"/>
      <c r="VCL555" s="178"/>
      <c r="VCM555" s="178"/>
      <c r="VCN555" s="178"/>
      <c r="VCO555" s="178"/>
      <c r="VCP555" s="178"/>
      <c r="VCQ555" s="178"/>
      <c r="VCR555" s="178"/>
      <c r="VCS555" s="178"/>
      <c r="VCT555" s="178"/>
      <c r="VCU555" s="178"/>
      <c r="VCV555" s="178"/>
      <c r="VCW555" s="178"/>
      <c r="VCX555" s="178"/>
      <c r="VCY555" s="178"/>
      <c r="VCZ555" s="178"/>
      <c r="VDA555" s="178"/>
      <c r="VDB555" s="178"/>
      <c r="VDC555" s="178"/>
      <c r="VDD555" s="178"/>
      <c r="VDE555" s="178"/>
      <c r="VDF555" s="178"/>
      <c r="VDG555" s="178"/>
      <c r="VDH555" s="178"/>
      <c r="VDI555" s="178"/>
      <c r="VDJ555" s="178"/>
      <c r="VDK555" s="178"/>
      <c r="VDL555" s="178"/>
      <c r="VDM555" s="178"/>
      <c r="VDN555" s="178"/>
      <c r="VDO555" s="178"/>
      <c r="VDP555" s="178"/>
      <c r="VDQ555" s="178"/>
      <c r="VDR555" s="178"/>
      <c r="VDS555" s="178"/>
      <c r="VDT555" s="178"/>
      <c r="VDU555" s="178"/>
      <c r="VDV555" s="178"/>
      <c r="VDW555" s="178"/>
      <c r="VDX555" s="178"/>
      <c r="VDY555" s="178"/>
      <c r="VDZ555" s="178"/>
      <c r="VEA555" s="178"/>
      <c r="VEB555" s="178"/>
      <c r="VEC555" s="178"/>
      <c r="VED555" s="178"/>
      <c r="VEE555" s="178"/>
      <c r="VEF555" s="178"/>
      <c r="VEG555" s="178"/>
      <c r="VEH555" s="178"/>
      <c r="VEI555" s="178"/>
      <c r="VEJ555" s="178"/>
      <c r="VEK555" s="178"/>
      <c r="VEL555" s="178"/>
      <c r="VEM555" s="178"/>
      <c r="VEN555" s="178"/>
      <c r="VEO555" s="178"/>
      <c r="VEP555" s="178"/>
      <c r="VEQ555" s="178"/>
      <c r="VER555" s="178"/>
      <c r="VES555" s="178"/>
      <c r="VET555" s="178"/>
      <c r="VEU555" s="178"/>
      <c r="VEV555" s="178"/>
      <c r="VEW555" s="178"/>
      <c r="VEX555" s="178"/>
      <c r="VEY555" s="178"/>
      <c r="VEZ555" s="178"/>
      <c r="VFA555" s="178"/>
      <c r="VFB555" s="178"/>
      <c r="VFC555" s="178"/>
      <c r="VFD555" s="178"/>
      <c r="VFE555" s="178"/>
      <c r="VFF555" s="178"/>
      <c r="VFG555" s="178"/>
      <c r="VFH555" s="178"/>
      <c r="VFI555" s="178"/>
      <c r="VFJ555" s="178"/>
      <c r="VFK555" s="178"/>
      <c r="VFL555" s="178"/>
      <c r="VFM555" s="178"/>
      <c r="VFN555" s="178"/>
      <c r="VFO555" s="178"/>
      <c r="VFP555" s="178"/>
      <c r="VFQ555" s="178"/>
      <c r="VFR555" s="178"/>
      <c r="VFS555" s="178"/>
      <c r="VFT555" s="178"/>
      <c r="VFU555" s="178"/>
      <c r="VFV555" s="178"/>
      <c r="VFW555" s="178"/>
      <c r="VFX555" s="178"/>
      <c r="VFY555" s="178"/>
      <c r="VFZ555" s="178"/>
      <c r="VGA555" s="178"/>
      <c r="VGB555" s="178"/>
      <c r="VGC555" s="178"/>
      <c r="VGD555" s="178"/>
      <c r="VGE555" s="178"/>
      <c r="VGF555" s="178"/>
      <c r="VGG555" s="178"/>
      <c r="VGH555" s="178"/>
      <c r="VGI555" s="178"/>
      <c r="VGJ555" s="178"/>
      <c r="VGK555" s="178"/>
      <c r="VGL555" s="178"/>
      <c r="VGM555" s="178"/>
      <c r="VGN555" s="178"/>
      <c r="VGO555" s="178"/>
      <c r="VGP555" s="178"/>
      <c r="VGQ555" s="178"/>
      <c r="VGR555" s="178"/>
      <c r="VGS555" s="178"/>
      <c r="VGT555" s="178"/>
      <c r="VGU555" s="178"/>
      <c r="VGV555" s="178"/>
      <c r="VGW555" s="178"/>
      <c r="VGX555" s="178"/>
      <c r="VGY555" s="178"/>
      <c r="VGZ555" s="178"/>
      <c r="VHA555" s="178"/>
      <c r="VHB555" s="178"/>
      <c r="VHC555" s="178"/>
      <c r="VHD555" s="178"/>
      <c r="VHE555" s="178"/>
      <c r="VHF555" s="178"/>
      <c r="VHG555" s="178"/>
      <c r="VHH555" s="178"/>
      <c r="VHI555" s="178"/>
      <c r="VHJ555" s="178"/>
      <c r="VHK555" s="178"/>
      <c r="VHL555" s="178"/>
      <c r="VHM555" s="178"/>
      <c r="VHN555" s="178"/>
      <c r="VHO555" s="178"/>
      <c r="VHP555" s="178"/>
      <c r="VHQ555" s="178"/>
      <c r="VHR555" s="178"/>
      <c r="VHS555" s="178"/>
      <c r="VHT555" s="178"/>
      <c r="VHU555" s="178"/>
      <c r="VHV555" s="178"/>
      <c r="VHW555" s="178"/>
      <c r="VHX555" s="178"/>
      <c r="VHY555" s="178"/>
      <c r="VHZ555" s="178"/>
      <c r="VIA555" s="178"/>
      <c r="VIB555" s="178"/>
      <c r="VIC555" s="178"/>
      <c r="VID555" s="178"/>
      <c r="VIE555" s="178"/>
      <c r="VIF555" s="178"/>
      <c r="VIG555" s="178"/>
      <c r="VIH555" s="178"/>
      <c r="VII555" s="178"/>
      <c r="VIJ555" s="178"/>
      <c r="VIK555" s="178"/>
      <c r="VIL555" s="178"/>
      <c r="VIM555" s="178"/>
      <c r="VIN555" s="178"/>
      <c r="VIO555" s="178"/>
      <c r="VIP555" s="178"/>
      <c r="VIQ555" s="178"/>
      <c r="VIR555" s="178"/>
      <c r="VIS555" s="178"/>
      <c r="VIT555" s="178"/>
      <c r="VIU555" s="178"/>
      <c r="VIV555" s="178"/>
      <c r="VIW555" s="178"/>
      <c r="VIX555" s="178"/>
      <c r="VIY555" s="178"/>
      <c r="VIZ555" s="178"/>
      <c r="VJA555" s="178"/>
      <c r="VJB555" s="178"/>
      <c r="VJC555" s="178"/>
      <c r="VJD555" s="178"/>
      <c r="VJE555" s="178"/>
      <c r="VJF555" s="178"/>
      <c r="VJG555" s="178"/>
      <c r="VJH555" s="178"/>
      <c r="VJI555" s="178"/>
      <c r="VJJ555" s="178"/>
      <c r="VJK555" s="178"/>
      <c r="VJL555" s="178"/>
      <c r="VJM555" s="178"/>
      <c r="VJN555" s="178"/>
      <c r="VJO555" s="178"/>
      <c r="VJP555" s="178"/>
      <c r="VJQ555" s="178"/>
      <c r="VJR555" s="178"/>
      <c r="VJS555" s="178"/>
      <c r="VJT555" s="178"/>
      <c r="VJU555" s="178"/>
      <c r="VJV555" s="178"/>
      <c r="VJW555" s="178"/>
      <c r="VJX555" s="178"/>
      <c r="VJY555" s="178"/>
      <c r="VJZ555" s="178"/>
      <c r="VKA555" s="178"/>
      <c r="VKB555" s="178"/>
      <c r="VKC555" s="178"/>
      <c r="VKD555" s="178"/>
      <c r="VKE555" s="178"/>
      <c r="VKF555" s="178"/>
      <c r="VKG555" s="178"/>
      <c r="VKH555" s="178"/>
      <c r="VKI555" s="178"/>
      <c r="VKJ555" s="178"/>
      <c r="VKK555" s="178"/>
      <c r="VKL555" s="178"/>
      <c r="VKM555" s="178"/>
      <c r="VKN555" s="178"/>
      <c r="VKO555" s="178"/>
      <c r="VKP555" s="178"/>
      <c r="VKQ555" s="178"/>
      <c r="VKR555" s="178"/>
      <c r="VKS555" s="178"/>
      <c r="VKT555" s="178"/>
      <c r="VKU555" s="178"/>
      <c r="VKV555" s="178"/>
      <c r="VKW555" s="178"/>
      <c r="VKX555" s="178"/>
      <c r="VKY555" s="178"/>
      <c r="VKZ555" s="178"/>
      <c r="VLA555" s="178"/>
      <c r="VLB555" s="178"/>
      <c r="VLC555" s="178"/>
      <c r="VLD555" s="178"/>
      <c r="VLE555" s="178"/>
      <c r="VLF555" s="178"/>
      <c r="VLG555" s="178"/>
      <c r="VLH555" s="178"/>
      <c r="VLI555" s="178"/>
      <c r="VLJ555" s="178"/>
      <c r="VLK555" s="178"/>
      <c r="VLL555" s="178"/>
      <c r="VLM555" s="178"/>
      <c r="VLN555" s="178"/>
      <c r="VLO555" s="178"/>
      <c r="VLP555" s="178"/>
      <c r="VLQ555" s="178"/>
      <c r="VLR555" s="178"/>
      <c r="VLS555" s="178"/>
      <c r="VLT555" s="178"/>
      <c r="VLU555" s="178"/>
      <c r="VLV555" s="178"/>
      <c r="VLW555" s="178"/>
      <c r="VLX555" s="178"/>
      <c r="VLY555" s="178"/>
      <c r="VLZ555" s="178"/>
      <c r="VMA555" s="178"/>
      <c r="VMB555" s="178"/>
      <c r="VMC555" s="178"/>
      <c r="VMD555" s="178"/>
      <c r="VME555" s="178"/>
      <c r="VMF555" s="178"/>
      <c r="VMG555" s="178"/>
      <c r="VMH555" s="178"/>
      <c r="VMI555" s="178"/>
      <c r="VMJ555" s="178"/>
      <c r="VMK555" s="178"/>
      <c r="VML555" s="178"/>
      <c r="VMM555" s="178"/>
      <c r="VMN555" s="178"/>
      <c r="VMO555" s="178"/>
      <c r="VMP555" s="178"/>
      <c r="VMQ555" s="178"/>
      <c r="VMR555" s="178"/>
      <c r="VMS555" s="178"/>
      <c r="VMT555" s="178"/>
      <c r="VMU555" s="178"/>
      <c r="VMV555" s="178"/>
      <c r="VMW555" s="178"/>
      <c r="VMX555" s="178"/>
      <c r="VMY555" s="178"/>
      <c r="VMZ555" s="178"/>
      <c r="VNA555" s="178"/>
      <c r="VNB555" s="178"/>
      <c r="VNC555" s="178"/>
      <c r="VND555" s="178"/>
      <c r="VNE555" s="178"/>
      <c r="VNF555" s="178"/>
      <c r="VNG555" s="178"/>
      <c r="VNH555" s="178"/>
      <c r="VNI555" s="178"/>
      <c r="VNJ555" s="178"/>
      <c r="VNK555" s="178"/>
      <c r="VNL555" s="178"/>
      <c r="VNM555" s="178"/>
      <c r="VNN555" s="178"/>
      <c r="VNO555" s="178"/>
      <c r="VNP555" s="178"/>
      <c r="VNQ555" s="178"/>
      <c r="VNR555" s="178"/>
      <c r="VNS555" s="178"/>
      <c r="VNT555" s="178"/>
      <c r="VNU555" s="178"/>
      <c r="VNV555" s="178"/>
      <c r="VNW555" s="178"/>
      <c r="VNX555" s="178"/>
      <c r="VNY555" s="178"/>
      <c r="VNZ555" s="178"/>
      <c r="VOA555" s="178"/>
      <c r="VOB555" s="178"/>
      <c r="VOC555" s="178"/>
      <c r="VOD555" s="178"/>
      <c r="VOE555" s="178"/>
      <c r="VOF555" s="178"/>
      <c r="VOG555" s="178"/>
      <c r="VOH555" s="178"/>
      <c r="VOI555" s="178"/>
      <c r="VOJ555" s="178"/>
      <c r="VOK555" s="178"/>
      <c r="VOL555" s="178"/>
      <c r="VOM555" s="178"/>
      <c r="VON555" s="178"/>
      <c r="VOO555" s="178"/>
      <c r="VOP555" s="178"/>
      <c r="VOQ555" s="178"/>
      <c r="VOR555" s="178"/>
      <c r="VOS555" s="178"/>
      <c r="VOT555" s="178"/>
      <c r="VOU555" s="178"/>
      <c r="VOV555" s="178"/>
      <c r="VOW555" s="178"/>
      <c r="VOX555" s="178"/>
      <c r="VOY555" s="178"/>
      <c r="VOZ555" s="178"/>
      <c r="VPA555" s="178"/>
      <c r="VPB555" s="178"/>
      <c r="VPC555" s="178"/>
      <c r="VPD555" s="178"/>
      <c r="VPE555" s="178"/>
      <c r="VPF555" s="178"/>
      <c r="VPG555" s="178"/>
      <c r="VPH555" s="178"/>
      <c r="VPI555" s="178"/>
      <c r="VPJ555" s="178"/>
      <c r="VPK555" s="178"/>
      <c r="VPL555" s="178"/>
      <c r="VPM555" s="178"/>
      <c r="VPN555" s="178"/>
      <c r="VPO555" s="178"/>
      <c r="VPP555" s="178"/>
      <c r="VPQ555" s="178"/>
      <c r="VPR555" s="178"/>
      <c r="VPS555" s="178"/>
      <c r="VPT555" s="178"/>
      <c r="VPU555" s="178"/>
      <c r="VPV555" s="178"/>
      <c r="VPW555" s="178"/>
      <c r="VPX555" s="178"/>
      <c r="VPY555" s="178"/>
      <c r="VPZ555" s="178"/>
      <c r="VQA555" s="178"/>
      <c r="VQB555" s="178"/>
      <c r="VQC555" s="178"/>
      <c r="VQD555" s="178"/>
      <c r="VQE555" s="178"/>
      <c r="VQF555" s="178"/>
      <c r="VQG555" s="178"/>
      <c r="VQH555" s="178"/>
      <c r="VQI555" s="178"/>
      <c r="VQJ555" s="178"/>
      <c r="VQK555" s="178"/>
      <c r="VQL555" s="178"/>
      <c r="VQM555" s="178"/>
      <c r="VQN555" s="178"/>
      <c r="VQO555" s="178"/>
      <c r="VQP555" s="178"/>
      <c r="VQQ555" s="178"/>
      <c r="VQR555" s="178"/>
      <c r="VQS555" s="178"/>
      <c r="VQT555" s="178"/>
      <c r="VQU555" s="178"/>
      <c r="VQV555" s="178"/>
      <c r="VQW555" s="178"/>
      <c r="VQX555" s="178"/>
      <c r="VQY555" s="178"/>
      <c r="VQZ555" s="178"/>
      <c r="VRA555" s="178"/>
      <c r="VRB555" s="178"/>
      <c r="VRC555" s="178"/>
      <c r="VRD555" s="178"/>
      <c r="VRE555" s="178"/>
      <c r="VRF555" s="178"/>
      <c r="VRG555" s="178"/>
      <c r="VRH555" s="178"/>
      <c r="VRI555" s="178"/>
      <c r="VRJ555" s="178"/>
      <c r="VRK555" s="178"/>
      <c r="VRL555" s="178"/>
      <c r="VRM555" s="178"/>
      <c r="VRN555" s="178"/>
      <c r="VRO555" s="178"/>
      <c r="VRP555" s="178"/>
      <c r="VRQ555" s="178"/>
      <c r="VRR555" s="178"/>
      <c r="VRS555" s="178"/>
      <c r="VRT555" s="178"/>
      <c r="VRU555" s="178"/>
      <c r="VRV555" s="178"/>
      <c r="VRW555" s="178"/>
      <c r="VRX555" s="178"/>
      <c r="VRY555" s="178"/>
      <c r="VRZ555" s="178"/>
      <c r="VSA555" s="178"/>
      <c r="VSB555" s="178"/>
      <c r="VSC555" s="178"/>
      <c r="VSD555" s="178"/>
      <c r="VSE555" s="178"/>
      <c r="VSF555" s="178"/>
      <c r="VSG555" s="178"/>
      <c r="VSH555" s="178"/>
      <c r="VSI555" s="178"/>
      <c r="VSJ555" s="178"/>
      <c r="VSK555" s="178"/>
      <c r="VSL555" s="178"/>
      <c r="VSM555" s="178"/>
      <c r="VSN555" s="178"/>
      <c r="VSO555" s="178"/>
      <c r="VSP555" s="178"/>
      <c r="VSQ555" s="178"/>
      <c r="VSR555" s="178"/>
      <c r="VSS555" s="178"/>
      <c r="VST555" s="178"/>
      <c r="VSU555" s="178"/>
      <c r="VSV555" s="178"/>
      <c r="VSW555" s="178"/>
      <c r="VSX555" s="178"/>
      <c r="VSY555" s="178"/>
      <c r="VSZ555" s="178"/>
      <c r="VTA555" s="178"/>
      <c r="VTB555" s="178"/>
      <c r="VTC555" s="178"/>
      <c r="VTD555" s="178"/>
      <c r="VTE555" s="178"/>
      <c r="VTF555" s="178"/>
      <c r="VTG555" s="178"/>
      <c r="VTH555" s="178"/>
      <c r="VTI555" s="178"/>
      <c r="VTJ555" s="178"/>
      <c r="VTK555" s="178"/>
      <c r="VTL555" s="178"/>
      <c r="VTM555" s="178"/>
      <c r="VTN555" s="178"/>
      <c r="VTO555" s="178"/>
      <c r="VTP555" s="178"/>
      <c r="VTQ555" s="178"/>
      <c r="VTR555" s="178"/>
      <c r="VTS555" s="178"/>
      <c r="VTT555" s="178"/>
      <c r="VTU555" s="178"/>
      <c r="VTV555" s="178"/>
      <c r="VTW555" s="178"/>
      <c r="VTX555" s="178"/>
      <c r="VTY555" s="178"/>
      <c r="VTZ555" s="178"/>
      <c r="VUA555" s="178"/>
      <c r="VUB555" s="178"/>
      <c r="VUC555" s="178"/>
      <c r="VUD555" s="178"/>
      <c r="VUE555" s="178"/>
      <c r="VUF555" s="178"/>
      <c r="VUG555" s="178"/>
      <c r="VUH555" s="178"/>
      <c r="VUI555" s="178"/>
      <c r="VUJ555" s="178"/>
      <c r="VUK555" s="178"/>
      <c r="VUL555" s="178"/>
      <c r="VUM555" s="178"/>
      <c r="VUN555" s="178"/>
      <c r="VUO555" s="178"/>
      <c r="VUP555" s="178"/>
      <c r="VUQ555" s="178"/>
      <c r="VUR555" s="178"/>
      <c r="VUS555" s="178"/>
      <c r="VUT555" s="178"/>
      <c r="VUU555" s="178"/>
      <c r="VUV555" s="178"/>
      <c r="VUW555" s="178"/>
      <c r="VUX555" s="178"/>
      <c r="VUY555" s="178"/>
      <c r="VUZ555" s="178"/>
      <c r="VVA555" s="178"/>
      <c r="VVB555" s="178"/>
      <c r="VVC555" s="178"/>
      <c r="VVD555" s="178"/>
      <c r="VVE555" s="178"/>
      <c r="VVF555" s="178"/>
      <c r="VVG555" s="178"/>
      <c r="VVH555" s="178"/>
      <c r="VVI555" s="178"/>
      <c r="VVJ555" s="178"/>
      <c r="VVK555" s="178"/>
      <c r="VVL555" s="178"/>
      <c r="VVM555" s="178"/>
      <c r="VVN555" s="178"/>
      <c r="VVO555" s="178"/>
      <c r="VVP555" s="178"/>
      <c r="VVQ555" s="178"/>
      <c r="VVR555" s="178"/>
      <c r="VVS555" s="178"/>
      <c r="VVT555" s="178"/>
      <c r="VVU555" s="178"/>
      <c r="VVV555" s="178"/>
      <c r="VVW555" s="178"/>
      <c r="VVX555" s="178"/>
      <c r="VVY555" s="178"/>
      <c r="VVZ555" s="178"/>
      <c r="VWA555" s="178"/>
      <c r="VWB555" s="178"/>
      <c r="VWC555" s="178"/>
      <c r="VWD555" s="178"/>
      <c r="VWE555" s="178"/>
      <c r="VWF555" s="178"/>
      <c r="VWG555" s="178"/>
      <c r="VWH555" s="178"/>
      <c r="VWI555" s="178"/>
      <c r="VWJ555" s="178"/>
      <c r="VWK555" s="178"/>
      <c r="VWL555" s="178"/>
      <c r="VWM555" s="178"/>
      <c r="VWN555" s="178"/>
      <c r="VWO555" s="178"/>
      <c r="VWP555" s="178"/>
      <c r="VWQ555" s="178"/>
      <c r="VWR555" s="178"/>
      <c r="VWS555" s="178"/>
      <c r="VWT555" s="178"/>
      <c r="VWU555" s="178"/>
      <c r="VWV555" s="178"/>
      <c r="VWW555" s="178"/>
      <c r="VWX555" s="178"/>
      <c r="VWY555" s="178"/>
      <c r="VWZ555" s="178"/>
      <c r="VXA555" s="178"/>
      <c r="VXB555" s="178"/>
      <c r="VXC555" s="178"/>
      <c r="VXD555" s="178"/>
      <c r="VXE555" s="178"/>
      <c r="VXF555" s="178"/>
      <c r="VXG555" s="178"/>
      <c r="VXH555" s="178"/>
      <c r="VXI555" s="178"/>
      <c r="VXJ555" s="178"/>
      <c r="VXK555" s="178"/>
      <c r="VXL555" s="178"/>
      <c r="VXM555" s="178"/>
      <c r="VXN555" s="178"/>
      <c r="VXO555" s="178"/>
      <c r="VXP555" s="178"/>
      <c r="VXQ555" s="178"/>
      <c r="VXR555" s="178"/>
      <c r="VXS555" s="178"/>
      <c r="VXT555" s="178"/>
      <c r="VXU555" s="178"/>
      <c r="VXV555" s="178"/>
      <c r="VXW555" s="178"/>
      <c r="VXX555" s="178"/>
      <c r="VXY555" s="178"/>
      <c r="VXZ555" s="178"/>
      <c r="VYA555" s="178"/>
      <c r="VYB555" s="178"/>
      <c r="VYC555" s="178"/>
      <c r="VYD555" s="178"/>
      <c r="VYE555" s="178"/>
      <c r="VYF555" s="178"/>
      <c r="VYG555" s="178"/>
      <c r="VYH555" s="178"/>
      <c r="VYI555" s="178"/>
      <c r="VYJ555" s="178"/>
      <c r="VYK555" s="178"/>
      <c r="VYL555" s="178"/>
      <c r="VYM555" s="178"/>
      <c r="VYN555" s="178"/>
      <c r="VYO555" s="178"/>
      <c r="VYP555" s="178"/>
      <c r="VYQ555" s="178"/>
      <c r="VYR555" s="178"/>
      <c r="VYS555" s="178"/>
      <c r="VYT555" s="178"/>
      <c r="VYU555" s="178"/>
      <c r="VYV555" s="178"/>
      <c r="VYW555" s="178"/>
      <c r="VYX555" s="178"/>
      <c r="VYY555" s="178"/>
      <c r="VYZ555" s="178"/>
      <c r="VZA555" s="178"/>
      <c r="VZB555" s="178"/>
      <c r="VZC555" s="178"/>
      <c r="VZD555" s="178"/>
      <c r="VZE555" s="178"/>
      <c r="VZF555" s="178"/>
      <c r="VZG555" s="178"/>
      <c r="VZH555" s="178"/>
      <c r="VZI555" s="178"/>
      <c r="VZJ555" s="178"/>
      <c r="VZK555" s="178"/>
      <c r="VZL555" s="178"/>
      <c r="VZM555" s="178"/>
      <c r="VZN555" s="178"/>
      <c r="VZO555" s="178"/>
      <c r="VZP555" s="178"/>
      <c r="VZQ555" s="178"/>
      <c r="VZR555" s="178"/>
      <c r="VZS555" s="178"/>
      <c r="VZT555" s="178"/>
      <c r="VZU555" s="178"/>
      <c r="VZV555" s="178"/>
      <c r="VZW555" s="178"/>
      <c r="VZX555" s="178"/>
      <c r="VZY555" s="178"/>
      <c r="VZZ555" s="178"/>
      <c r="WAA555" s="178"/>
      <c r="WAB555" s="178"/>
      <c r="WAC555" s="178"/>
      <c r="WAD555" s="178"/>
      <c r="WAE555" s="178"/>
      <c r="WAF555" s="178"/>
      <c r="WAG555" s="178"/>
      <c r="WAH555" s="178"/>
      <c r="WAI555" s="178"/>
      <c r="WAJ555" s="178"/>
      <c r="WAK555" s="178"/>
      <c r="WAL555" s="178"/>
      <c r="WAM555" s="178"/>
      <c r="WAN555" s="178"/>
      <c r="WAO555" s="178"/>
      <c r="WAP555" s="178"/>
      <c r="WAQ555" s="178"/>
      <c r="WAR555" s="178"/>
      <c r="WAS555" s="178"/>
      <c r="WAT555" s="178"/>
      <c r="WAU555" s="178"/>
      <c r="WAV555" s="178"/>
      <c r="WAW555" s="178"/>
      <c r="WAX555" s="178"/>
      <c r="WAY555" s="178"/>
      <c r="WAZ555" s="178"/>
      <c r="WBA555" s="178"/>
      <c r="WBB555" s="178"/>
      <c r="WBC555" s="178"/>
      <c r="WBD555" s="178"/>
      <c r="WBE555" s="178"/>
      <c r="WBF555" s="178"/>
      <c r="WBG555" s="178"/>
      <c r="WBH555" s="178"/>
      <c r="WBI555" s="178"/>
      <c r="WBJ555" s="178"/>
      <c r="WBK555" s="178"/>
      <c r="WBL555" s="178"/>
      <c r="WBM555" s="178"/>
      <c r="WBN555" s="178"/>
      <c r="WBO555" s="178"/>
      <c r="WBP555" s="178"/>
      <c r="WBQ555" s="178"/>
      <c r="WBR555" s="178"/>
      <c r="WBS555" s="178"/>
      <c r="WBT555" s="178"/>
      <c r="WBU555" s="178"/>
      <c r="WBV555" s="178"/>
      <c r="WBW555" s="178"/>
      <c r="WBX555" s="178"/>
      <c r="WBY555" s="178"/>
      <c r="WBZ555" s="178"/>
      <c r="WCA555" s="178"/>
      <c r="WCB555" s="178"/>
      <c r="WCC555" s="178"/>
      <c r="WCD555" s="178"/>
      <c r="WCE555" s="178"/>
      <c r="WCF555" s="178"/>
      <c r="WCG555" s="178"/>
      <c r="WCH555" s="178"/>
      <c r="WCI555" s="178"/>
      <c r="WCJ555" s="178"/>
      <c r="WCK555" s="178"/>
      <c r="WCL555" s="178"/>
      <c r="WCM555" s="178"/>
      <c r="WCN555" s="178"/>
      <c r="WCO555" s="178"/>
      <c r="WCP555" s="178"/>
      <c r="WCQ555" s="178"/>
      <c r="WCR555" s="178"/>
      <c r="WCS555" s="178"/>
      <c r="WCT555" s="178"/>
      <c r="WCU555" s="178"/>
      <c r="WCV555" s="178"/>
      <c r="WCW555" s="178"/>
      <c r="WCX555" s="178"/>
      <c r="WCY555" s="178"/>
      <c r="WCZ555" s="178"/>
      <c r="WDA555" s="178"/>
      <c r="WDB555" s="178"/>
      <c r="WDC555" s="178"/>
      <c r="WDD555" s="178"/>
      <c r="WDE555" s="178"/>
      <c r="WDF555" s="178"/>
      <c r="WDG555" s="178"/>
      <c r="WDH555" s="178"/>
      <c r="WDI555" s="178"/>
      <c r="WDJ555" s="178"/>
      <c r="WDK555" s="178"/>
      <c r="WDL555" s="178"/>
      <c r="WDM555" s="178"/>
      <c r="WDN555" s="178"/>
      <c r="WDO555" s="178"/>
      <c r="WDP555" s="178"/>
      <c r="WDQ555" s="178"/>
      <c r="WDR555" s="178"/>
      <c r="WDS555" s="178"/>
      <c r="WDT555" s="178"/>
      <c r="WDU555" s="178"/>
      <c r="WDV555" s="178"/>
      <c r="WDW555" s="178"/>
      <c r="WDX555" s="178"/>
      <c r="WDY555" s="178"/>
      <c r="WDZ555" s="178"/>
      <c r="WEA555" s="178"/>
      <c r="WEB555" s="178"/>
      <c r="WEC555" s="178"/>
      <c r="WED555" s="178"/>
      <c r="WEE555" s="178"/>
      <c r="WEF555" s="178"/>
      <c r="WEG555" s="178"/>
      <c r="WEH555" s="178"/>
      <c r="WEI555" s="178"/>
      <c r="WEJ555" s="178"/>
      <c r="WEK555" s="178"/>
      <c r="WEL555" s="178"/>
      <c r="WEM555" s="178"/>
      <c r="WEN555" s="178"/>
      <c r="WEO555" s="178"/>
      <c r="WEP555" s="178"/>
      <c r="WEQ555" s="178"/>
      <c r="WER555" s="178"/>
      <c r="WES555" s="178"/>
      <c r="WET555" s="178"/>
      <c r="WEU555" s="178"/>
      <c r="WEV555" s="178"/>
      <c r="WEW555" s="178"/>
      <c r="WEX555" s="178"/>
      <c r="WEY555" s="178"/>
      <c r="WEZ555" s="178"/>
      <c r="WFA555" s="178"/>
      <c r="WFB555" s="178"/>
      <c r="WFC555" s="178"/>
      <c r="WFD555" s="178"/>
      <c r="WFE555" s="178"/>
      <c r="WFF555" s="178"/>
      <c r="WFG555" s="178"/>
      <c r="WFH555" s="178"/>
      <c r="WFI555" s="178"/>
      <c r="WFJ555" s="178"/>
      <c r="WFK555" s="178"/>
      <c r="WFL555" s="178"/>
      <c r="WFM555" s="178"/>
      <c r="WFN555" s="178"/>
      <c r="WFO555" s="178"/>
      <c r="WFP555" s="178"/>
      <c r="WFQ555" s="178"/>
      <c r="WFR555" s="178"/>
      <c r="WFS555" s="178"/>
      <c r="WFT555" s="178"/>
      <c r="WFU555" s="178"/>
      <c r="WFV555" s="178"/>
      <c r="WFW555" s="178"/>
      <c r="WFX555" s="178"/>
      <c r="WFY555" s="178"/>
      <c r="WFZ555" s="178"/>
      <c r="WGA555" s="178"/>
      <c r="WGB555" s="178"/>
      <c r="WGC555" s="178"/>
      <c r="WGD555" s="178"/>
      <c r="WGE555" s="178"/>
      <c r="WGF555" s="178"/>
      <c r="WGG555" s="178"/>
      <c r="WGH555" s="178"/>
      <c r="WGI555" s="178"/>
      <c r="WGJ555" s="178"/>
      <c r="WGK555" s="178"/>
      <c r="WGL555" s="178"/>
      <c r="WGM555" s="178"/>
      <c r="WGN555" s="178"/>
      <c r="WGO555" s="178"/>
      <c r="WGP555" s="178"/>
      <c r="WGQ555" s="178"/>
      <c r="WGR555" s="178"/>
      <c r="WGS555" s="178"/>
      <c r="WGT555" s="178"/>
      <c r="WGU555" s="178"/>
      <c r="WGV555" s="178"/>
      <c r="WGW555" s="178"/>
      <c r="WGX555" s="178"/>
      <c r="WGY555" s="178"/>
      <c r="WGZ555" s="178"/>
      <c r="WHA555" s="178"/>
      <c r="WHB555" s="178"/>
      <c r="WHC555" s="178"/>
      <c r="WHD555" s="178"/>
      <c r="WHE555" s="178"/>
      <c r="WHF555" s="178"/>
      <c r="WHG555" s="178"/>
      <c r="WHH555" s="178"/>
      <c r="WHI555" s="178"/>
      <c r="WHJ555" s="178"/>
      <c r="WHK555" s="178"/>
      <c r="WHL555" s="178"/>
      <c r="WHM555" s="178"/>
      <c r="WHN555" s="178"/>
      <c r="WHO555" s="178"/>
      <c r="WHP555" s="178"/>
      <c r="WHQ555" s="178"/>
      <c r="WHR555" s="178"/>
      <c r="WHS555" s="178"/>
      <c r="WHT555" s="178"/>
      <c r="WHU555" s="178"/>
      <c r="WHV555" s="178"/>
      <c r="WHW555" s="178"/>
      <c r="WHX555" s="178"/>
      <c r="WHY555" s="178"/>
      <c r="WHZ555" s="178"/>
      <c r="WIA555" s="178"/>
      <c r="WIB555" s="178"/>
      <c r="WIC555" s="178"/>
      <c r="WID555" s="178"/>
      <c r="WIE555" s="178"/>
      <c r="WIF555" s="178"/>
      <c r="WIG555" s="178"/>
      <c r="WIH555" s="178"/>
      <c r="WII555" s="178"/>
      <c r="WIJ555" s="178"/>
      <c r="WIK555" s="178"/>
      <c r="WIL555" s="178"/>
      <c r="WIM555" s="178"/>
      <c r="WIN555" s="178"/>
      <c r="WIO555" s="178"/>
      <c r="WIP555" s="178"/>
      <c r="WIQ555" s="178"/>
      <c r="WIR555" s="178"/>
      <c r="WIS555" s="178"/>
      <c r="WIT555" s="178"/>
      <c r="WIU555" s="178"/>
      <c r="WIV555" s="178"/>
      <c r="WIW555" s="178"/>
      <c r="WIX555" s="178"/>
      <c r="WIY555" s="178"/>
      <c r="WIZ555" s="178"/>
      <c r="WJA555" s="178"/>
      <c r="WJB555" s="178"/>
      <c r="WJC555" s="178"/>
      <c r="WJD555" s="178"/>
      <c r="WJE555" s="178"/>
      <c r="WJF555" s="178"/>
      <c r="WJG555" s="178"/>
      <c r="WJH555" s="178"/>
      <c r="WJI555" s="178"/>
      <c r="WJJ555" s="178"/>
      <c r="WJK555" s="178"/>
      <c r="WJL555" s="178"/>
      <c r="WJM555" s="178"/>
      <c r="WJN555" s="178"/>
      <c r="WJO555" s="178"/>
      <c r="WJP555" s="178"/>
      <c r="WJQ555" s="178"/>
      <c r="WJR555" s="178"/>
      <c r="WJS555" s="178"/>
      <c r="WJT555" s="178"/>
      <c r="WJU555" s="178"/>
      <c r="WJV555" s="178"/>
      <c r="WJW555" s="178"/>
      <c r="WJX555" s="178"/>
      <c r="WJY555" s="178"/>
      <c r="WJZ555" s="178"/>
      <c r="WKA555" s="178"/>
      <c r="WKB555" s="178"/>
      <c r="WKC555" s="178"/>
      <c r="WKD555" s="178"/>
      <c r="WKE555" s="178"/>
      <c r="WKF555" s="178"/>
      <c r="WKG555" s="178"/>
      <c r="WKH555" s="178"/>
      <c r="WKI555" s="178"/>
      <c r="WKJ555" s="178"/>
      <c r="WKK555" s="178"/>
      <c r="WKL555" s="178"/>
      <c r="WKM555" s="178"/>
      <c r="WKN555" s="178"/>
      <c r="WKO555" s="178"/>
      <c r="WKP555" s="178"/>
      <c r="WKQ555" s="178"/>
      <c r="WKR555" s="178"/>
      <c r="WKS555" s="178"/>
      <c r="WKT555" s="178"/>
      <c r="WKU555" s="178"/>
      <c r="WKV555" s="178"/>
      <c r="WKW555" s="178"/>
      <c r="WKX555" s="178"/>
      <c r="WKY555" s="178"/>
      <c r="WKZ555" s="178"/>
      <c r="WLA555" s="178"/>
      <c r="WLB555" s="178"/>
      <c r="WLC555" s="178"/>
      <c r="WLD555" s="178"/>
      <c r="WLE555" s="178"/>
      <c r="WLF555" s="178"/>
      <c r="WLG555" s="178"/>
      <c r="WLH555" s="178"/>
      <c r="WLI555" s="178"/>
      <c r="WLJ555" s="178"/>
      <c r="WLK555" s="178"/>
      <c r="WLL555" s="178"/>
      <c r="WLM555" s="178"/>
      <c r="WLN555" s="178"/>
      <c r="WLO555" s="178"/>
      <c r="WLP555" s="178"/>
      <c r="WLQ555" s="178"/>
      <c r="WLR555" s="178"/>
      <c r="WLS555" s="178"/>
      <c r="WLT555" s="178"/>
      <c r="WLU555" s="178"/>
      <c r="WLV555" s="178"/>
      <c r="WLW555" s="178"/>
      <c r="WLX555" s="178"/>
      <c r="WLY555" s="178"/>
      <c r="WLZ555" s="178"/>
      <c r="WMA555" s="178"/>
      <c r="WMB555" s="178"/>
      <c r="WMC555" s="178"/>
      <c r="WMD555" s="178"/>
      <c r="WME555" s="178"/>
      <c r="WMF555" s="178"/>
      <c r="WMG555" s="178"/>
      <c r="WMH555" s="178"/>
      <c r="WMI555" s="178"/>
      <c r="WMJ555" s="178"/>
      <c r="WMK555" s="178"/>
      <c r="WML555" s="178"/>
      <c r="WMM555" s="178"/>
      <c r="WMN555" s="178"/>
      <c r="WMO555" s="178"/>
      <c r="WMP555" s="178"/>
      <c r="WMQ555" s="178"/>
      <c r="WMR555" s="178"/>
      <c r="WMS555" s="178"/>
      <c r="WMT555" s="178"/>
      <c r="WMU555" s="178"/>
      <c r="WMV555" s="178"/>
      <c r="WMW555" s="178"/>
      <c r="WMX555" s="178"/>
      <c r="WMY555" s="178"/>
      <c r="WMZ555" s="178"/>
      <c r="WNA555" s="178"/>
      <c r="WNB555" s="178"/>
      <c r="WNC555" s="178"/>
      <c r="WND555" s="178"/>
      <c r="WNE555" s="178"/>
      <c r="WNF555" s="178"/>
      <c r="WNG555" s="178"/>
      <c r="WNH555" s="178"/>
      <c r="WNI555" s="178"/>
      <c r="WNJ555" s="178"/>
      <c r="WNK555" s="178"/>
      <c r="WNL555" s="178"/>
      <c r="WNM555" s="178"/>
      <c r="WNN555" s="178"/>
      <c r="WNO555" s="178"/>
      <c r="WNP555" s="178"/>
      <c r="WNQ555" s="178"/>
      <c r="WNR555" s="178"/>
      <c r="WNS555" s="178"/>
      <c r="WNT555" s="178"/>
      <c r="WNU555" s="178"/>
      <c r="WNV555" s="178"/>
      <c r="WNW555" s="178"/>
      <c r="WNX555" s="178"/>
      <c r="WNY555" s="178"/>
      <c r="WNZ555" s="178"/>
      <c r="WOA555" s="178"/>
      <c r="WOB555" s="178"/>
      <c r="WOC555" s="178"/>
      <c r="WOD555" s="178"/>
      <c r="WOE555" s="178"/>
      <c r="WOF555" s="178"/>
      <c r="WOG555" s="178"/>
      <c r="WOH555" s="178"/>
      <c r="WOI555" s="178"/>
      <c r="WOJ555" s="178"/>
      <c r="WOK555" s="178"/>
      <c r="WOL555" s="178"/>
      <c r="WOM555" s="178"/>
      <c r="WON555" s="178"/>
      <c r="WOO555" s="178"/>
      <c r="WOP555" s="178"/>
      <c r="WOQ555" s="178"/>
      <c r="WOR555" s="178"/>
      <c r="WOS555" s="178"/>
      <c r="WOT555" s="178"/>
      <c r="WOU555" s="178"/>
      <c r="WOV555" s="178"/>
      <c r="WOW555" s="178"/>
      <c r="WOX555" s="178"/>
      <c r="WOY555" s="178"/>
      <c r="WOZ555" s="178"/>
      <c r="WPA555" s="178"/>
      <c r="WPB555" s="178"/>
      <c r="WPC555" s="178"/>
      <c r="WPD555" s="178"/>
      <c r="WPE555" s="178"/>
      <c r="WPF555" s="178"/>
      <c r="WPG555" s="178"/>
      <c r="WPH555" s="178"/>
      <c r="WPI555" s="178"/>
      <c r="WPJ555" s="178"/>
      <c r="WPK555" s="178"/>
      <c r="WPL555" s="178"/>
      <c r="WPM555" s="178"/>
      <c r="WPN555" s="178"/>
      <c r="WPO555" s="178"/>
      <c r="WPP555" s="178"/>
      <c r="WPQ555" s="178"/>
      <c r="WPR555" s="178"/>
      <c r="WPS555" s="178"/>
      <c r="WPT555" s="178"/>
      <c r="WPU555" s="178"/>
      <c r="WPV555" s="178"/>
      <c r="WPW555" s="178"/>
      <c r="WPX555" s="178"/>
      <c r="WPY555" s="178"/>
      <c r="WPZ555" s="178"/>
      <c r="WQA555" s="178"/>
      <c r="WQB555" s="178"/>
      <c r="WQC555" s="178"/>
      <c r="WQD555" s="178"/>
      <c r="WQE555" s="178"/>
      <c r="WQF555" s="178"/>
      <c r="WQG555" s="178"/>
      <c r="WQH555" s="178"/>
      <c r="WQI555" s="178"/>
      <c r="WQJ555" s="178"/>
      <c r="WQK555" s="178"/>
      <c r="WQL555" s="178"/>
      <c r="WQM555" s="178"/>
      <c r="WQN555" s="178"/>
      <c r="WQO555" s="178"/>
      <c r="WQP555" s="178"/>
      <c r="WQQ555" s="178"/>
      <c r="WQR555" s="178"/>
      <c r="WQS555" s="178"/>
      <c r="WQT555" s="178"/>
      <c r="WQU555" s="178"/>
      <c r="WQV555" s="178"/>
      <c r="WQW555" s="178"/>
      <c r="WQX555" s="178"/>
      <c r="WQY555" s="178"/>
      <c r="WQZ555" s="178"/>
      <c r="WRA555" s="178"/>
      <c r="WRB555" s="178"/>
      <c r="WRC555" s="178"/>
      <c r="WRD555" s="178"/>
      <c r="WRE555" s="178"/>
      <c r="WRF555" s="178"/>
      <c r="WRG555" s="178"/>
      <c r="WRH555" s="178"/>
      <c r="WRI555" s="178"/>
      <c r="WRJ555" s="178"/>
      <c r="WRK555" s="178"/>
      <c r="WRL555" s="178"/>
      <c r="WRM555" s="178"/>
      <c r="WRN555" s="178"/>
      <c r="WRO555" s="178"/>
      <c r="WRP555" s="178"/>
      <c r="WRQ555" s="178"/>
      <c r="WRR555" s="178"/>
      <c r="WRS555" s="178"/>
      <c r="WRT555" s="178"/>
      <c r="WRU555" s="178"/>
      <c r="WRV555" s="178"/>
      <c r="WRW555" s="178"/>
      <c r="WRX555" s="178"/>
      <c r="WRY555" s="178"/>
      <c r="WRZ555" s="178"/>
      <c r="WSA555" s="178"/>
      <c r="WSB555" s="178"/>
      <c r="WSC555" s="178"/>
      <c r="WSD555" s="178"/>
      <c r="WSE555" s="178"/>
      <c r="WSF555" s="178"/>
      <c r="WSG555" s="178"/>
      <c r="WSH555" s="178"/>
      <c r="WSI555" s="178"/>
      <c r="WSJ555" s="178"/>
      <c r="WSK555" s="178"/>
      <c r="WSL555" s="178"/>
      <c r="WSM555" s="178"/>
      <c r="WSN555" s="178"/>
      <c r="WSO555" s="178"/>
      <c r="WSP555" s="178"/>
      <c r="WSQ555" s="178"/>
      <c r="WSR555" s="178"/>
      <c r="WSS555" s="178"/>
      <c r="WST555" s="178"/>
      <c r="WSU555" s="178"/>
      <c r="WSV555" s="178"/>
      <c r="WSW555" s="178"/>
      <c r="WSX555" s="178"/>
      <c r="WSY555" s="178"/>
      <c r="WSZ555" s="178"/>
      <c r="WTA555" s="178"/>
      <c r="WTB555" s="178"/>
      <c r="WTC555" s="178"/>
      <c r="WTD555" s="178"/>
      <c r="WTE555" s="178"/>
      <c r="WTF555" s="178"/>
      <c r="WTG555" s="178"/>
      <c r="WTH555" s="178"/>
      <c r="WTI555" s="178"/>
      <c r="WTJ555" s="178"/>
      <c r="WTK555" s="178"/>
      <c r="WTL555" s="178"/>
      <c r="WTM555" s="178"/>
      <c r="WTN555" s="178"/>
      <c r="WTO555" s="178"/>
      <c r="WTP555" s="178"/>
      <c r="WTQ555" s="178"/>
      <c r="WTR555" s="178"/>
      <c r="WTS555" s="178"/>
      <c r="WTT555" s="178"/>
      <c r="WTU555" s="178"/>
      <c r="WTV555" s="178"/>
      <c r="WTW555" s="178"/>
      <c r="WTX555" s="178"/>
      <c r="WTY555" s="178"/>
      <c r="WTZ555" s="178"/>
      <c r="WUA555" s="178"/>
      <c r="WUB555" s="178"/>
      <c r="WUC555" s="178"/>
      <c r="WUD555" s="178"/>
      <c r="WUE555" s="178"/>
      <c r="WUF555" s="178"/>
      <c r="WUG555" s="178"/>
      <c r="WUH555" s="178"/>
      <c r="WUI555" s="178"/>
      <c r="WUJ555" s="178"/>
      <c r="WUK555" s="178"/>
      <c r="WUL555" s="178"/>
      <c r="WUM555" s="178"/>
      <c r="WUN555" s="178"/>
      <c r="WUO555" s="178"/>
      <c r="WUP555" s="178"/>
      <c r="WUQ555" s="178"/>
      <c r="WUR555" s="178"/>
      <c r="WUS555" s="178"/>
      <c r="WUT555" s="178"/>
      <c r="WUU555" s="178"/>
      <c r="WUV555" s="178"/>
      <c r="WUW555" s="178"/>
      <c r="WUX555" s="178"/>
      <c r="WUY555" s="178"/>
      <c r="WUZ555" s="178"/>
      <c r="WVA555" s="178"/>
      <c r="WVB555" s="178"/>
      <c r="WVC555" s="178"/>
      <c r="WVD555" s="178"/>
      <c r="WVE555" s="178"/>
      <c r="WVF555" s="178"/>
      <c r="WVG555" s="178"/>
      <c r="WVH555" s="178"/>
      <c r="WVI555" s="178"/>
      <c r="WVJ555" s="178"/>
      <c r="WVK555" s="178"/>
      <c r="WVL555" s="178"/>
      <c r="WVM555" s="178"/>
      <c r="WVN555" s="178"/>
      <c r="WVO555" s="178"/>
      <c r="WVP555" s="178"/>
      <c r="WVQ555" s="178"/>
      <c r="WVR555" s="178"/>
      <c r="WVS555" s="178"/>
      <c r="WVT555" s="178"/>
      <c r="WVU555" s="178"/>
      <c r="WVV555" s="178"/>
      <c r="WVW555" s="178"/>
      <c r="WVX555" s="178"/>
      <c r="WVY555" s="178"/>
      <c r="WVZ555" s="178"/>
      <c r="WWA555" s="178"/>
      <c r="WWB555" s="178"/>
      <c r="WWC555" s="178"/>
      <c r="WWD555" s="178"/>
      <c r="WWE555" s="178"/>
      <c r="WWF555" s="178"/>
      <c r="WWG555" s="178"/>
      <c r="WWH555" s="178"/>
      <c r="WWI555" s="178"/>
      <c r="WWJ555" s="178"/>
      <c r="WWK555" s="178"/>
      <c r="WWL555" s="178"/>
      <c r="WWM555" s="178"/>
      <c r="WWN555" s="178"/>
      <c r="WWO555" s="178"/>
      <c r="WWP555" s="178"/>
      <c r="WWQ555" s="178"/>
      <c r="WWR555" s="178"/>
      <c r="WWS555" s="178"/>
      <c r="WWT555" s="178"/>
      <c r="WWU555" s="178"/>
      <c r="WWV555" s="178"/>
      <c r="WWW555" s="178"/>
      <c r="WWX555" s="178"/>
      <c r="WWY555" s="178"/>
      <c r="WWZ555" s="178"/>
      <c r="WXA555" s="178"/>
      <c r="WXB555" s="178"/>
      <c r="WXC555" s="178"/>
      <c r="WXD555" s="178"/>
      <c r="WXE555" s="178"/>
      <c r="WXF555" s="178"/>
      <c r="WXG555" s="178"/>
      <c r="WXH555" s="178"/>
      <c r="WXI555" s="178"/>
      <c r="WXJ555" s="178"/>
      <c r="WXK555" s="178"/>
      <c r="WXL555" s="178"/>
      <c r="WXM555" s="178"/>
      <c r="WXN555" s="178"/>
      <c r="WXO555" s="178"/>
      <c r="WXP555" s="178"/>
      <c r="WXQ555" s="178"/>
      <c r="WXR555" s="178"/>
      <c r="WXS555" s="178"/>
      <c r="WXT555" s="178"/>
      <c r="WXU555" s="178"/>
      <c r="WXV555" s="178"/>
      <c r="WXW555" s="178"/>
      <c r="WXX555" s="178"/>
      <c r="WXY555" s="178"/>
      <c r="WXZ555" s="178"/>
      <c r="WYA555" s="178"/>
      <c r="WYB555" s="178"/>
      <c r="WYC555" s="178"/>
      <c r="WYD555" s="178"/>
      <c r="WYE555" s="178"/>
      <c r="WYF555" s="178"/>
      <c r="WYG555" s="178"/>
      <c r="WYH555" s="178"/>
      <c r="WYI555" s="178"/>
      <c r="WYJ555" s="178"/>
      <c r="WYK555" s="178"/>
      <c r="WYL555" s="178"/>
      <c r="WYM555" s="178"/>
      <c r="WYN555" s="178"/>
      <c r="WYO555" s="178"/>
      <c r="WYP555" s="178"/>
      <c r="WYQ555" s="178"/>
      <c r="WYR555" s="178"/>
      <c r="WYS555" s="178"/>
      <c r="WYT555" s="178"/>
      <c r="WYU555" s="178"/>
      <c r="WYV555" s="178"/>
      <c r="WYW555" s="178"/>
      <c r="WYX555" s="178"/>
      <c r="WYY555" s="178"/>
      <c r="WYZ555" s="178"/>
      <c r="WZA555" s="178"/>
      <c r="WZB555" s="178"/>
      <c r="WZC555" s="178"/>
      <c r="WZD555" s="178"/>
      <c r="WZE555" s="178"/>
      <c r="WZF555" s="178"/>
      <c r="WZG555" s="178"/>
      <c r="WZH555" s="178"/>
      <c r="WZI555" s="178"/>
      <c r="WZJ555" s="178"/>
      <c r="WZK555" s="178"/>
      <c r="WZL555" s="178"/>
      <c r="WZM555" s="178"/>
      <c r="WZN555" s="178"/>
      <c r="WZO555" s="178"/>
      <c r="WZP555" s="178"/>
      <c r="WZQ555" s="178"/>
      <c r="WZR555" s="178"/>
      <c r="WZS555" s="178"/>
      <c r="WZT555" s="178"/>
      <c r="WZU555" s="178"/>
      <c r="WZV555" s="178"/>
      <c r="WZW555" s="178"/>
      <c r="WZX555" s="178"/>
      <c r="WZY555" s="178"/>
      <c r="WZZ555" s="178"/>
      <c r="XAA555" s="178"/>
      <c r="XAB555" s="178"/>
      <c r="XAC555" s="178"/>
      <c r="XAD555" s="178"/>
      <c r="XAE555" s="178"/>
      <c r="XAF555" s="178"/>
      <c r="XAG555" s="178"/>
      <c r="XAH555" s="178"/>
      <c r="XAI555" s="178"/>
      <c r="XAJ555" s="178"/>
      <c r="XAK555" s="178"/>
      <c r="XAL555" s="178"/>
      <c r="XAM555" s="178"/>
      <c r="XAN555" s="178"/>
      <c r="XAO555" s="178"/>
      <c r="XAP555" s="178"/>
      <c r="XAQ555" s="178"/>
      <c r="XAR555" s="178"/>
      <c r="XAS555" s="178"/>
      <c r="XAT555" s="178"/>
      <c r="XAU555" s="178"/>
      <c r="XAV555" s="178"/>
      <c r="XAW555" s="178"/>
      <c r="XAX555" s="178"/>
      <c r="XAY555" s="178"/>
      <c r="XAZ555" s="178"/>
      <c r="XBA555" s="178"/>
      <c r="XBB555" s="178"/>
      <c r="XBC555" s="178"/>
      <c r="XBD555" s="178"/>
      <c r="XBE555" s="178"/>
      <c r="XBF555" s="178"/>
      <c r="XBG555" s="178"/>
      <c r="XBH555" s="178"/>
      <c r="XBI555" s="178"/>
      <c r="XBJ555" s="178"/>
      <c r="XBK555" s="178"/>
      <c r="XBL555" s="178"/>
      <c r="XBM555" s="178"/>
      <c r="XBN555" s="178"/>
      <c r="XBO555" s="178"/>
      <c r="XBP555" s="178"/>
      <c r="XBQ555" s="178"/>
      <c r="XBR555" s="178"/>
      <c r="XBS555" s="178"/>
      <c r="XBT555" s="178"/>
      <c r="XBU555" s="178"/>
      <c r="XBV555" s="178"/>
      <c r="XBW555" s="178"/>
      <c r="XBX555" s="178"/>
      <c r="XBY555" s="178"/>
      <c r="XBZ555" s="178"/>
      <c r="XCA555" s="178"/>
      <c r="XCB555" s="178"/>
      <c r="XCC555" s="178"/>
      <c r="XCD555" s="178"/>
      <c r="XCE555" s="178"/>
      <c r="XCF555" s="178"/>
      <c r="XCG555" s="178"/>
      <c r="XCH555" s="178"/>
      <c r="XCI555" s="178"/>
      <c r="XCJ555" s="178"/>
      <c r="XCK555" s="178"/>
      <c r="XCL555" s="178"/>
      <c r="XCM555" s="178"/>
      <c r="XCN555" s="178"/>
      <c r="XCO555" s="178"/>
      <c r="XCP555" s="178"/>
      <c r="XCQ555" s="178"/>
      <c r="XCR555" s="178"/>
      <c r="XCS555" s="178"/>
      <c r="XCT555" s="178"/>
      <c r="XCU555" s="178"/>
      <c r="XCV555" s="178"/>
      <c r="XCW555" s="178"/>
      <c r="XCX555" s="178"/>
      <c r="XCY555" s="178"/>
      <c r="XCZ555" s="178"/>
      <c r="XDA555" s="178"/>
      <c r="XDB555" s="178"/>
      <c r="XDC555" s="178"/>
      <c r="XDD555" s="178"/>
      <c r="XDE555" s="178"/>
      <c r="XDF555" s="178"/>
      <c r="XDG555" s="178"/>
      <c r="XDH555" s="178"/>
      <c r="XDI555" s="178"/>
      <c r="XDJ555" s="178"/>
      <c r="XDK555" s="178"/>
      <c r="XDL555" s="178"/>
      <c r="XDM555" s="178"/>
      <c r="XDN555" s="178"/>
      <c r="XDO555" s="178"/>
      <c r="XDP555" s="178"/>
      <c r="XDQ555" s="178"/>
      <c r="XDR555" s="178"/>
      <c r="XDS555" s="178"/>
      <c r="XDT555" s="178"/>
      <c r="XDU555" s="178"/>
      <c r="XDV555" s="178"/>
      <c r="XDW555" s="178"/>
      <c r="XDX555" s="178"/>
      <c r="XDY555" s="178"/>
      <c r="XDZ555" s="178"/>
      <c r="XEA555" s="178"/>
      <c r="XEB555" s="178"/>
      <c r="XEC555" s="178"/>
      <c r="XED555" s="178"/>
      <c r="XEE555" s="178"/>
      <c r="XEF555" s="178"/>
      <c r="XEG555" s="178"/>
      <c r="XEH555" s="178"/>
      <c r="XEI555" s="178"/>
      <c r="XEJ555" s="178"/>
      <c r="XEK555" s="178"/>
      <c r="XEL555" s="178"/>
      <c r="XEM555" s="178"/>
      <c r="XEN555" s="178"/>
      <c r="XEO555" s="178"/>
      <c r="XEP555" s="178"/>
      <c r="XEQ555" s="178"/>
      <c r="XER555" s="178"/>
      <c r="XES555" s="178"/>
      <c r="XET555" s="178"/>
      <c r="XEU555" s="178"/>
    </row>
    <row r="556" spans="1:16375" s="420" customFormat="1" hidden="1">
      <c r="A556" s="2470" t="s">
        <v>352</v>
      </c>
      <c r="B556" s="2470"/>
      <c r="C556" s="2470"/>
      <c r="D556" s="2470"/>
      <c r="E556" s="2470"/>
      <c r="F556" s="2470"/>
      <c r="G556" s="2470"/>
      <c r="H556" s="2470"/>
      <c r="I556" s="2470"/>
      <c r="J556" s="2470"/>
      <c r="K556" s="2470"/>
      <c r="L556" s="639"/>
      <c r="M556" s="638"/>
      <c r="N556" s="178"/>
      <c r="O556" s="178"/>
      <c r="P556" s="178"/>
      <c r="Q556" s="178"/>
      <c r="R556" s="178"/>
      <c r="S556" s="178"/>
      <c r="T556" s="178"/>
      <c r="U556" s="178"/>
      <c r="V556" s="178"/>
      <c r="W556" s="178"/>
      <c r="X556" s="178"/>
      <c r="Y556" s="178"/>
      <c r="Z556" s="178"/>
      <c r="AA556" s="178"/>
      <c r="AB556" s="178"/>
      <c r="AC556" s="178"/>
      <c r="AD556" s="178"/>
      <c r="AE556" s="178"/>
      <c r="AF556" s="178"/>
      <c r="AG556" s="178"/>
      <c r="AH556" s="178"/>
      <c r="AI556" s="178"/>
      <c r="AJ556" s="178"/>
      <c r="AK556" s="178"/>
      <c r="AL556" s="178"/>
      <c r="AM556" s="178"/>
      <c r="AN556" s="178"/>
      <c r="AO556" s="178"/>
      <c r="AP556" s="178"/>
      <c r="AQ556" s="178"/>
      <c r="AR556" s="178"/>
      <c r="AS556" s="178"/>
      <c r="AT556" s="178"/>
      <c r="AU556" s="178"/>
      <c r="AV556" s="178"/>
      <c r="AW556" s="178"/>
      <c r="AX556" s="178"/>
      <c r="AY556" s="178"/>
      <c r="AZ556" s="178"/>
      <c r="BA556" s="178"/>
      <c r="BB556" s="178"/>
      <c r="BC556" s="178"/>
      <c r="BD556" s="178"/>
      <c r="BE556" s="178"/>
      <c r="BF556" s="178"/>
      <c r="BG556" s="178"/>
      <c r="BH556" s="178"/>
      <c r="BI556" s="178"/>
      <c r="BJ556" s="178"/>
      <c r="BK556" s="178"/>
      <c r="BL556" s="178"/>
      <c r="BM556" s="178"/>
      <c r="BN556" s="178"/>
      <c r="BO556" s="178"/>
      <c r="BP556" s="178"/>
      <c r="BQ556" s="178"/>
      <c r="BR556" s="178"/>
      <c r="BS556" s="178"/>
      <c r="BT556" s="178"/>
      <c r="BU556" s="178"/>
      <c r="BV556" s="178"/>
      <c r="BW556" s="178"/>
      <c r="BX556" s="178"/>
      <c r="BY556" s="178"/>
      <c r="BZ556" s="178"/>
      <c r="CA556" s="178"/>
      <c r="CB556" s="178"/>
      <c r="CC556" s="178"/>
      <c r="CD556" s="178"/>
      <c r="CE556" s="178"/>
      <c r="CF556" s="178"/>
      <c r="CG556" s="178"/>
      <c r="CH556" s="178"/>
      <c r="CI556" s="178"/>
      <c r="CJ556" s="178"/>
      <c r="CK556" s="178"/>
      <c r="CL556" s="178"/>
      <c r="CM556" s="178"/>
      <c r="CN556" s="178"/>
      <c r="CO556" s="178"/>
      <c r="CP556" s="178"/>
      <c r="CQ556" s="178"/>
      <c r="CR556" s="178"/>
      <c r="CS556" s="178"/>
      <c r="CT556" s="178"/>
      <c r="CU556" s="178"/>
      <c r="CV556" s="178"/>
      <c r="CW556" s="178"/>
      <c r="CX556" s="178"/>
      <c r="CY556" s="178"/>
      <c r="CZ556" s="178"/>
      <c r="DA556" s="178"/>
      <c r="DB556" s="178"/>
      <c r="DC556" s="178"/>
      <c r="DD556" s="178"/>
      <c r="DE556" s="178"/>
      <c r="DF556" s="178"/>
      <c r="DG556" s="178"/>
      <c r="DH556" s="178"/>
      <c r="DI556" s="178"/>
      <c r="DJ556" s="178"/>
      <c r="DK556" s="178"/>
      <c r="DL556" s="178"/>
      <c r="DM556" s="178"/>
      <c r="DN556" s="178"/>
      <c r="DO556" s="178"/>
      <c r="DP556" s="178"/>
      <c r="DQ556" s="178"/>
      <c r="DR556" s="178"/>
      <c r="DS556" s="178"/>
      <c r="DT556" s="178"/>
      <c r="DU556" s="178"/>
      <c r="DV556" s="178"/>
      <c r="DW556" s="178"/>
      <c r="DX556" s="178"/>
      <c r="DY556" s="178"/>
      <c r="DZ556" s="178"/>
      <c r="EA556" s="178"/>
      <c r="EB556" s="178"/>
      <c r="EC556" s="178"/>
      <c r="ED556" s="178"/>
      <c r="EE556" s="178"/>
      <c r="EF556" s="178"/>
      <c r="EG556" s="178"/>
      <c r="EH556" s="178"/>
      <c r="EI556" s="178"/>
      <c r="EJ556" s="178"/>
      <c r="EK556" s="178"/>
      <c r="EL556" s="178"/>
      <c r="EM556" s="178"/>
      <c r="EN556" s="178"/>
      <c r="EO556" s="178"/>
      <c r="EP556" s="178"/>
      <c r="EQ556" s="178"/>
      <c r="ER556" s="178"/>
      <c r="ES556" s="178"/>
      <c r="ET556" s="178"/>
      <c r="EU556" s="178"/>
      <c r="EV556" s="178"/>
      <c r="EW556" s="178"/>
      <c r="EX556" s="178"/>
      <c r="EY556" s="178"/>
      <c r="EZ556" s="178"/>
      <c r="FA556" s="178"/>
      <c r="FB556" s="178"/>
      <c r="FC556" s="178"/>
      <c r="FD556" s="178"/>
      <c r="FE556" s="178"/>
      <c r="FF556" s="178"/>
      <c r="FG556" s="178"/>
      <c r="FH556" s="178"/>
      <c r="FI556" s="178"/>
      <c r="FJ556" s="178"/>
      <c r="FK556" s="178"/>
      <c r="FL556" s="178"/>
      <c r="FM556" s="178"/>
      <c r="FN556" s="178"/>
      <c r="FO556" s="178"/>
      <c r="FP556" s="178"/>
      <c r="FQ556" s="178"/>
      <c r="FR556" s="178"/>
      <c r="FS556" s="178"/>
      <c r="FT556" s="178"/>
      <c r="FU556" s="178"/>
      <c r="FV556" s="178"/>
      <c r="FW556" s="178"/>
      <c r="FX556" s="178"/>
      <c r="FY556" s="178"/>
      <c r="FZ556" s="178"/>
      <c r="GA556" s="178"/>
      <c r="GB556" s="178"/>
      <c r="GC556" s="178"/>
      <c r="GD556" s="178"/>
      <c r="GE556" s="178"/>
      <c r="GF556" s="178"/>
      <c r="GG556" s="178"/>
      <c r="GH556" s="178"/>
      <c r="GI556" s="178"/>
      <c r="GJ556" s="178"/>
      <c r="GK556" s="178"/>
      <c r="GL556" s="178"/>
      <c r="GM556" s="178"/>
      <c r="GN556" s="178"/>
      <c r="GO556" s="178"/>
      <c r="GP556" s="178"/>
      <c r="GQ556" s="178"/>
      <c r="GR556" s="178"/>
      <c r="GS556" s="178"/>
      <c r="GT556" s="178"/>
      <c r="GU556" s="178"/>
      <c r="GV556" s="178"/>
      <c r="GW556" s="178"/>
      <c r="GX556" s="178"/>
      <c r="GY556" s="178"/>
      <c r="GZ556" s="178"/>
      <c r="HA556" s="178"/>
      <c r="HB556" s="178"/>
      <c r="HC556" s="178"/>
      <c r="HD556" s="178"/>
      <c r="HE556" s="178"/>
      <c r="HF556" s="178"/>
      <c r="HG556" s="178"/>
      <c r="HH556" s="178"/>
      <c r="HI556" s="178"/>
      <c r="HJ556" s="178"/>
      <c r="HK556" s="178"/>
      <c r="HL556" s="178"/>
      <c r="HM556" s="178"/>
      <c r="HN556" s="178"/>
      <c r="HO556" s="178"/>
      <c r="HP556" s="178"/>
      <c r="HQ556" s="178"/>
      <c r="HR556" s="178"/>
      <c r="HS556" s="178"/>
      <c r="HT556" s="178"/>
      <c r="HU556" s="178"/>
      <c r="HV556" s="178"/>
      <c r="HW556" s="178"/>
      <c r="HX556" s="178"/>
      <c r="HY556" s="178"/>
      <c r="HZ556" s="178"/>
      <c r="IA556" s="178"/>
      <c r="IB556" s="178"/>
      <c r="IC556" s="178"/>
      <c r="ID556" s="178"/>
      <c r="IE556" s="178"/>
      <c r="IF556" s="178"/>
      <c r="IG556" s="178"/>
      <c r="IH556" s="178"/>
      <c r="II556" s="178"/>
      <c r="IJ556" s="178"/>
      <c r="IK556" s="178"/>
      <c r="IL556" s="178"/>
      <c r="IM556" s="178"/>
      <c r="IN556" s="178"/>
      <c r="IO556" s="178"/>
      <c r="IP556" s="178"/>
      <c r="IQ556" s="178"/>
      <c r="IR556" s="178"/>
      <c r="IS556" s="178"/>
      <c r="IT556" s="178"/>
      <c r="IU556" s="178"/>
      <c r="IV556" s="178"/>
      <c r="IW556" s="178"/>
      <c r="IX556" s="178"/>
      <c r="IY556" s="178"/>
      <c r="IZ556" s="178"/>
      <c r="JA556" s="178"/>
      <c r="JB556" s="178"/>
      <c r="JC556" s="178"/>
      <c r="JD556" s="178"/>
      <c r="JE556" s="178"/>
      <c r="JF556" s="178"/>
      <c r="JG556" s="178"/>
      <c r="JH556" s="178"/>
      <c r="JI556" s="178"/>
      <c r="JJ556" s="178"/>
      <c r="JK556" s="178"/>
      <c r="JL556" s="178"/>
      <c r="JM556" s="178"/>
      <c r="JN556" s="178"/>
      <c r="JO556" s="178"/>
      <c r="JP556" s="178"/>
      <c r="JQ556" s="178"/>
      <c r="JR556" s="178"/>
      <c r="JS556" s="178"/>
      <c r="JT556" s="178"/>
      <c r="JU556" s="178"/>
      <c r="JV556" s="178"/>
      <c r="JW556" s="178"/>
      <c r="JX556" s="178"/>
      <c r="JY556" s="178"/>
      <c r="JZ556" s="178"/>
      <c r="KA556" s="178"/>
      <c r="KB556" s="178"/>
      <c r="KC556" s="178"/>
      <c r="KD556" s="178"/>
      <c r="KE556" s="178"/>
      <c r="KF556" s="178"/>
      <c r="KG556" s="178"/>
      <c r="KH556" s="178"/>
      <c r="KI556" s="178"/>
      <c r="KJ556" s="178"/>
      <c r="KK556" s="178"/>
      <c r="KL556" s="178"/>
      <c r="KM556" s="178"/>
      <c r="KN556" s="178"/>
      <c r="KO556" s="178"/>
      <c r="KP556" s="178"/>
      <c r="KQ556" s="178"/>
      <c r="KR556" s="178"/>
      <c r="KS556" s="178"/>
      <c r="KT556" s="178"/>
      <c r="KU556" s="178"/>
      <c r="KV556" s="178"/>
      <c r="KW556" s="178"/>
      <c r="KX556" s="178"/>
      <c r="KY556" s="178"/>
      <c r="KZ556" s="178"/>
      <c r="LA556" s="178"/>
      <c r="LB556" s="178"/>
      <c r="LC556" s="178"/>
      <c r="LD556" s="178"/>
      <c r="LE556" s="178"/>
      <c r="LF556" s="178"/>
      <c r="LG556" s="178"/>
      <c r="LH556" s="178"/>
      <c r="LI556" s="178"/>
      <c r="LJ556" s="178"/>
      <c r="LK556" s="178"/>
      <c r="LL556" s="178"/>
      <c r="LM556" s="178"/>
      <c r="LN556" s="178"/>
      <c r="LO556" s="178"/>
      <c r="LP556" s="178"/>
      <c r="LQ556" s="178"/>
      <c r="LR556" s="178"/>
      <c r="LS556" s="178"/>
      <c r="LT556" s="178"/>
      <c r="LU556" s="178"/>
      <c r="LV556" s="178"/>
      <c r="LW556" s="178"/>
      <c r="LX556" s="178"/>
      <c r="LY556" s="178"/>
      <c r="LZ556" s="178"/>
      <c r="MA556" s="178"/>
      <c r="MB556" s="178"/>
      <c r="MC556" s="178"/>
      <c r="MD556" s="178"/>
      <c r="ME556" s="178"/>
      <c r="MF556" s="178"/>
      <c r="MG556" s="178"/>
      <c r="MH556" s="178"/>
      <c r="MI556" s="178"/>
      <c r="MJ556" s="178"/>
      <c r="MK556" s="178"/>
      <c r="ML556" s="178"/>
      <c r="MM556" s="178"/>
      <c r="MN556" s="178"/>
      <c r="MO556" s="178"/>
      <c r="MP556" s="178"/>
      <c r="MQ556" s="178"/>
      <c r="MR556" s="178"/>
      <c r="MS556" s="178"/>
      <c r="MT556" s="178"/>
      <c r="MU556" s="178"/>
      <c r="MV556" s="178"/>
      <c r="MW556" s="178"/>
      <c r="MX556" s="178"/>
      <c r="MY556" s="178"/>
      <c r="MZ556" s="178"/>
      <c r="NA556" s="178"/>
      <c r="NB556" s="178"/>
      <c r="NC556" s="178"/>
      <c r="ND556" s="178"/>
      <c r="NE556" s="178"/>
      <c r="NF556" s="178"/>
      <c r="NG556" s="178"/>
      <c r="NH556" s="178"/>
      <c r="NI556" s="178"/>
      <c r="NJ556" s="178"/>
      <c r="NK556" s="178"/>
      <c r="NL556" s="178"/>
      <c r="NM556" s="178"/>
      <c r="NN556" s="178"/>
      <c r="NO556" s="178"/>
      <c r="NP556" s="178"/>
      <c r="NQ556" s="178"/>
      <c r="NR556" s="178"/>
      <c r="NS556" s="178"/>
      <c r="NT556" s="178"/>
      <c r="NU556" s="178"/>
      <c r="NV556" s="178"/>
      <c r="NW556" s="178"/>
      <c r="NX556" s="178"/>
      <c r="NY556" s="178"/>
      <c r="NZ556" s="178"/>
      <c r="OA556" s="178"/>
      <c r="OB556" s="178"/>
      <c r="OC556" s="178"/>
      <c r="OD556" s="178"/>
      <c r="OE556" s="178"/>
      <c r="OF556" s="178"/>
      <c r="OG556" s="178"/>
      <c r="OH556" s="178"/>
      <c r="OI556" s="178"/>
      <c r="OJ556" s="178"/>
      <c r="OK556" s="178"/>
      <c r="OL556" s="178"/>
      <c r="OM556" s="178"/>
      <c r="ON556" s="178"/>
      <c r="OO556" s="178"/>
      <c r="OP556" s="178"/>
      <c r="OQ556" s="178"/>
      <c r="OR556" s="178"/>
      <c r="OS556" s="178"/>
      <c r="OT556" s="178"/>
      <c r="OU556" s="178"/>
      <c r="OV556" s="178"/>
      <c r="OW556" s="178"/>
      <c r="OX556" s="178"/>
      <c r="OY556" s="178"/>
      <c r="OZ556" s="178"/>
      <c r="PA556" s="178"/>
      <c r="PB556" s="178"/>
      <c r="PC556" s="178"/>
      <c r="PD556" s="178"/>
      <c r="PE556" s="178"/>
      <c r="PF556" s="178"/>
      <c r="PG556" s="178"/>
      <c r="PH556" s="178"/>
      <c r="PI556" s="178"/>
      <c r="PJ556" s="178"/>
      <c r="PK556" s="178"/>
      <c r="PL556" s="178"/>
      <c r="PM556" s="178"/>
      <c r="PN556" s="178"/>
      <c r="PO556" s="178"/>
      <c r="PP556" s="178"/>
      <c r="PQ556" s="178"/>
      <c r="PR556" s="178"/>
      <c r="PS556" s="178"/>
      <c r="PT556" s="178"/>
      <c r="PU556" s="178"/>
      <c r="PV556" s="178"/>
      <c r="PW556" s="178"/>
      <c r="PX556" s="178"/>
      <c r="PY556" s="178"/>
      <c r="PZ556" s="178"/>
      <c r="QA556" s="178"/>
      <c r="QB556" s="178"/>
      <c r="QC556" s="178"/>
      <c r="QD556" s="178"/>
      <c r="QE556" s="178"/>
      <c r="QF556" s="178"/>
      <c r="QG556" s="178"/>
      <c r="QH556" s="178"/>
      <c r="QI556" s="178"/>
      <c r="QJ556" s="178"/>
      <c r="QK556" s="178"/>
      <c r="QL556" s="178"/>
      <c r="QM556" s="178"/>
      <c r="QN556" s="178"/>
      <c r="QO556" s="178"/>
      <c r="QP556" s="178"/>
      <c r="QQ556" s="178"/>
      <c r="QR556" s="178"/>
      <c r="QS556" s="178"/>
      <c r="QT556" s="178"/>
      <c r="QU556" s="178"/>
      <c r="QV556" s="178"/>
      <c r="QW556" s="178"/>
      <c r="QX556" s="178"/>
      <c r="QY556" s="178"/>
      <c r="QZ556" s="178"/>
      <c r="RA556" s="178"/>
      <c r="RB556" s="178"/>
      <c r="RC556" s="178"/>
      <c r="RD556" s="178"/>
      <c r="RE556" s="178"/>
      <c r="RF556" s="178"/>
      <c r="RG556" s="178"/>
      <c r="RH556" s="178"/>
      <c r="RI556" s="178"/>
      <c r="RJ556" s="178"/>
      <c r="RK556" s="178"/>
      <c r="RL556" s="178"/>
      <c r="RM556" s="178"/>
      <c r="RN556" s="178"/>
      <c r="RO556" s="178"/>
      <c r="RP556" s="178"/>
      <c r="RQ556" s="178"/>
      <c r="RR556" s="178"/>
      <c r="RS556" s="178"/>
      <c r="RT556" s="178"/>
      <c r="RU556" s="178"/>
      <c r="RV556" s="178"/>
      <c r="RW556" s="178"/>
      <c r="RX556" s="178"/>
      <c r="RY556" s="178"/>
      <c r="RZ556" s="178"/>
      <c r="SA556" s="178"/>
      <c r="SB556" s="178"/>
      <c r="SC556" s="178"/>
      <c r="SD556" s="178"/>
      <c r="SE556" s="178"/>
      <c r="SF556" s="178"/>
      <c r="SG556" s="178"/>
      <c r="SH556" s="178"/>
      <c r="SI556" s="178"/>
      <c r="SJ556" s="178"/>
      <c r="SK556" s="178"/>
      <c r="SL556" s="178"/>
      <c r="SM556" s="178"/>
      <c r="SN556" s="178"/>
      <c r="SO556" s="178"/>
      <c r="SP556" s="178"/>
      <c r="SQ556" s="178"/>
      <c r="SR556" s="178"/>
      <c r="SS556" s="178"/>
      <c r="ST556" s="178"/>
      <c r="SU556" s="178"/>
      <c r="SV556" s="178"/>
      <c r="SW556" s="178"/>
      <c r="SX556" s="178"/>
      <c r="SY556" s="178"/>
      <c r="SZ556" s="178"/>
      <c r="TA556" s="178"/>
      <c r="TB556" s="178"/>
      <c r="TC556" s="178"/>
      <c r="TD556" s="178"/>
      <c r="TE556" s="178"/>
      <c r="TF556" s="178"/>
      <c r="TG556" s="178"/>
      <c r="TH556" s="178"/>
      <c r="TI556" s="178"/>
      <c r="TJ556" s="178"/>
      <c r="TK556" s="178"/>
      <c r="TL556" s="178"/>
      <c r="TM556" s="178"/>
      <c r="TN556" s="178"/>
      <c r="TO556" s="178"/>
      <c r="TP556" s="178"/>
      <c r="TQ556" s="178"/>
      <c r="TR556" s="178"/>
      <c r="TS556" s="178"/>
      <c r="TT556" s="178"/>
      <c r="TU556" s="178"/>
      <c r="TV556" s="178"/>
      <c r="TW556" s="178"/>
      <c r="TX556" s="178"/>
      <c r="TY556" s="178"/>
      <c r="TZ556" s="178"/>
      <c r="UA556" s="178"/>
      <c r="UB556" s="178"/>
      <c r="UC556" s="178"/>
      <c r="UD556" s="178"/>
      <c r="UE556" s="178"/>
      <c r="UF556" s="178"/>
      <c r="UG556" s="178"/>
      <c r="UH556" s="178"/>
      <c r="UI556" s="178"/>
      <c r="UJ556" s="178"/>
      <c r="UK556" s="178"/>
      <c r="UL556" s="178"/>
      <c r="UM556" s="178"/>
      <c r="UN556" s="178"/>
      <c r="UO556" s="178"/>
      <c r="UP556" s="178"/>
      <c r="UQ556" s="178"/>
      <c r="UR556" s="178"/>
      <c r="US556" s="178"/>
      <c r="UT556" s="178"/>
      <c r="UU556" s="178"/>
      <c r="UV556" s="178"/>
      <c r="UW556" s="178"/>
      <c r="UX556" s="178"/>
      <c r="UY556" s="178"/>
      <c r="UZ556" s="178"/>
      <c r="VA556" s="178"/>
      <c r="VB556" s="178"/>
      <c r="VC556" s="178"/>
      <c r="VD556" s="178"/>
      <c r="VE556" s="178"/>
      <c r="VF556" s="178"/>
      <c r="VG556" s="178"/>
      <c r="VH556" s="178"/>
      <c r="VI556" s="178"/>
      <c r="VJ556" s="178"/>
      <c r="VK556" s="178"/>
      <c r="VL556" s="178"/>
      <c r="VM556" s="178"/>
      <c r="VN556" s="178"/>
      <c r="VO556" s="178"/>
      <c r="VP556" s="178"/>
      <c r="VQ556" s="178"/>
      <c r="VR556" s="178"/>
      <c r="VS556" s="178"/>
      <c r="VT556" s="178"/>
      <c r="VU556" s="178"/>
      <c r="VV556" s="178"/>
      <c r="VW556" s="178"/>
      <c r="VX556" s="178"/>
      <c r="VY556" s="178"/>
      <c r="VZ556" s="178"/>
      <c r="WA556" s="178"/>
      <c r="WB556" s="178"/>
      <c r="WC556" s="178"/>
      <c r="WD556" s="178"/>
      <c r="WE556" s="178"/>
      <c r="WF556" s="178"/>
      <c r="WG556" s="178"/>
      <c r="WH556" s="178"/>
      <c r="WI556" s="178"/>
      <c r="WJ556" s="178"/>
      <c r="WK556" s="178"/>
      <c r="WL556" s="178"/>
      <c r="WM556" s="178"/>
      <c r="WN556" s="178"/>
      <c r="WO556" s="178"/>
      <c r="WP556" s="178"/>
      <c r="WQ556" s="178"/>
      <c r="WR556" s="178"/>
      <c r="WS556" s="178"/>
      <c r="WT556" s="178"/>
      <c r="WU556" s="178"/>
      <c r="WV556" s="178"/>
      <c r="WW556" s="178"/>
      <c r="WX556" s="178"/>
      <c r="WY556" s="178"/>
      <c r="WZ556" s="178"/>
      <c r="XA556" s="178"/>
      <c r="XB556" s="178"/>
      <c r="XC556" s="178"/>
      <c r="XD556" s="178"/>
      <c r="XE556" s="178"/>
      <c r="XF556" s="178"/>
      <c r="XG556" s="178"/>
      <c r="XH556" s="178"/>
      <c r="XI556" s="178"/>
      <c r="XJ556" s="178"/>
      <c r="XK556" s="178"/>
      <c r="XL556" s="178"/>
      <c r="XM556" s="178"/>
      <c r="XN556" s="178"/>
      <c r="XO556" s="178"/>
      <c r="XP556" s="178"/>
      <c r="XQ556" s="178"/>
      <c r="XR556" s="178"/>
      <c r="XS556" s="178"/>
      <c r="XT556" s="178"/>
      <c r="XU556" s="178"/>
      <c r="XV556" s="178"/>
      <c r="XW556" s="178"/>
      <c r="XX556" s="178"/>
      <c r="XY556" s="178"/>
      <c r="XZ556" s="178"/>
      <c r="YA556" s="178"/>
      <c r="YB556" s="178"/>
      <c r="YC556" s="178"/>
      <c r="YD556" s="178"/>
      <c r="YE556" s="178"/>
      <c r="YF556" s="178"/>
      <c r="YG556" s="178"/>
      <c r="YH556" s="178"/>
      <c r="YI556" s="178"/>
      <c r="YJ556" s="178"/>
      <c r="YK556" s="178"/>
      <c r="YL556" s="178"/>
      <c r="YM556" s="178"/>
      <c r="YN556" s="178"/>
      <c r="YO556" s="178"/>
      <c r="YP556" s="178"/>
      <c r="YQ556" s="178"/>
      <c r="YR556" s="178"/>
      <c r="YS556" s="178"/>
      <c r="YT556" s="178"/>
      <c r="YU556" s="178"/>
      <c r="YV556" s="178"/>
      <c r="YW556" s="178"/>
      <c r="YX556" s="178"/>
      <c r="YY556" s="178"/>
      <c r="YZ556" s="178"/>
      <c r="ZA556" s="178"/>
      <c r="ZB556" s="178"/>
      <c r="ZC556" s="178"/>
      <c r="ZD556" s="178"/>
      <c r="ZE556" s="178"/>
      <c r="ZF556" s="178"/>
      <c r="ZG556" s="178"/>
      <c r="ZH556" s="178"/>
      <c r="ZI556" s="178"/>
      <c r="ZJ556" s="178"/>
      <c r="ZK556" s="178"/>
      <c r="ZL556" s="178"/>
      <c r="ZM556" s="178"/>
      <c r="ZN556" s="178"/>
      <c r="ZO556" s="178"/>
      <c r="ZP556" s="178"/>
      <c r="ZQ556" s="178"/>
      <c r="ZR556" s="178"/>
      <c r="ZS556" s="178"/>
      <c r="ZT556" s="178"/>
      <c r="ZU556" s="178"/>
      <c r="ZV556" s="178"/>
      <c r="ZW556" s="178"/>
      <c r="ZX556" s="178"/>
      <c r="ZY556" s="178"/>
      <c r="ZZ556" s="178"/>
      <c r="AAA556" s="178"/>
      <c r="AAB556" s="178"/>
      <c r="AAC556" s="178"/>
      <c r="AAD556" s="178"/>
      <c r="AAE556" s="178"/>
      <c r="AAF556" s="178"/>
      <c r="AAG556" s="178"/>
      <c r="AAH556" s="178"/>
      <c r="AAI556" s="178"/>
      <c r="AAJ556" s="178"/>
      <c r="AAK556" s="178"/>
      <c r="AAL556" s="178"/>
      <c r="AAM556" s="178"/>
      <c r="AAN556" s="178"/>
      <c r="AAO556" s="178"/>
      <c r="AAP556" s="178"/>
      <c r="AAQ556" s="178"/>
      <c r="AAR556" s="178"/>
      <c r="AAS556" s="178"/>
      <c r="AAT556" s="178"/>
      <c r="AAU556" s="178"/>
      <c r="AAV556" s="178"/>
      <c r="AAW556" s="178"/>
      <c r="AAX556" s="178"/>
      <c r="AAY556" s="178"/>
      <c r="AAZ556" s="178"/>
      <c r="ABA556" s="178"/>
      <c r="ABB556" s="178"/>
      <c r="ABC556" s="178"/>
      <c r="ABD556" s="178"/>
      <c r="ABE556" s="178"/>
      <c r="ABF556" s="178"/>
      <c r="ABG556" s="178"/>
      <c r="ABH556" s="178"/>
      <c r="ABI556" s="178"/>
      <c r="ABJ556" s="178"/>
      <c r="ABK556" s="178"/>
      <c r="ABL556" s="178"/>
      <c r="ABM556" s="178"/>
      <c r="ABN556" s="178"/>
      <c r="ABO556" s="178"/>
      <c r="ABP556" s="178"/>
      <c r="ABQ556" s="178"/>
      <c r="ABR556" s="178"/>
      <c r="ABS556" s="178"/>
      <c r="ABT556" s="178"/>
      <c r="ABU556" s="178"/>
      <c r="ABV556" s="178"/>
      <c r="ABW556" s="178"/>
      <c r="ABX556" s="178"/>
      <c r="ABY556" s="178"/>
      <c r="ABZ556" s="178"/>
      <c r="ACA556" s="178"/>
      <c r="ACB556" s="178"/>
      <c r="ACC556" s="178"/>
      <c r="ACD556" s="178"/>
      <c r="ACE556" s="178"/>
      <c r="ACF556" s="178"/>
      <c r="ACG556" s="178"/>
      <c r="ACH556" s="178"/>
      <c r="ACI556" s="178"/>
      <c r="ACJ556" s="178"/>
      <c r="ACK556" s="178"/>
      <c r="ACL556" s="178"/>
      <c r="ACM556" s="178"/>
      <c r="ACN556" s="178"/>
      <c r="ACO556" s="178"/>
      <c r="ACP556" s="178"/>
      <c r="ACQ556" s="178"/>
      <c r="ACR556" s="178"/>
      <c r="ACS556" s="178"/>
      <c r="ACT556" s="178"/>
      <c r="ACU556" s="178"/>
      <c r="ACV556" s="178"/>
      <c r="ACW556" s="178"/>
      <c r="ACX556" s="178"/>
      <c r="ACY556" s="178"/>
      <c r="ACZ556" s="178"/>
      <c r="ADA556" s="178"/>
      <c r="ADB556" s="178"/>
      <c r="ADC556" s="178"/>
      <c r="ADD556" s="178"/>
      <c r="ADE556" s="178"/>
      <c r="ADF556" s="178"/>
      <c r="ADG556" s="178"/>
      <c r="ADH556" s="178"/>
      <c r="ADI556" s="178"/>
      <c r="ADJ556" s="178"/>
      <c r="ADK556" s="178"/>
      <c r="ADL556" s="178"/>
      <c r="ADM556" s="178"/>
      <c r="ADN556" s="178"/>
      <c r="ADO556" s="178"/>
      <c r="ADP556" s="178"/>
      <c r="ADQ556" s="178"/>
      <c r="ADR556" s="178"/>
      <c r="ADS556" s="178"/>
      <c r="ADT556" s="178"/>
      <c r="ADU556" s="178"/>
      <c r="ADV556" s="178"/>
      <c r="ADW556" s="178"/>
      <c r="ADX556" s="178"/>
      <c r="ADY556" s="178"/>
      <c r="ADZ556" s="178"/>
      <c r="AEA556" s="178"/>
      <c r="AEB556" s="178"/>
      <c r="AEC556" s="178"/>
      <c r="AED556" s="178"/>
      <c r="AEE556" s="178"/>
      <c r="AEF556" s="178"/>
      <c r="AEG556" s="178"/>
      <c r="AEH556" s="178"/>
      <c r="AEI556" s="178"/>
      <c r="AEJ556" s="178"/>
      <c r="AEK556" s="178"/>
      <c r="AEL556" s="178"/>
      <c r="AEM556" s="178"/>
      <c r="AEN556" s="178"/>
      <c r="AEO556" s="178"/>
      <c r="AEP556" s="178"/>
      <c r="AEQ556" s="178"/>
      <c r="AER556" s="178"/>
      <c r="AES556" s="178"/>
      <c r="AET556" s="178"/>
      <c r="AEU556" s="178"/>
      <c r="AEV556" s="178"/>
      <c r="AEW556" s="178"/>
      <c r="AEX556" s="178"/>
      <c r="AEY556" s="178"/>
      <c r="AEZ556" s="178"/>
      <c r="AFA556" s="178"/>
      <c r="AFB556" s="178"/>
      <c r="AFC556" s="178"/>
      <c r="AFD556" s="178"/>
      <c r="AFE556" s="178"/>
      <c r="AFF556" s="178"/>
      <c r="AFG556" s="178"/>
      <c r="AFH556" s="178"/>
      <c r="AFI556" s="178"/>
      <c r="AFJ556" s="178"/>
      <c r="AFK556" s="178"/>
      <c r="AFL556" s="178"/>
      <c r="AFM556" s="178"/>
      <c r="AFN556" s="178"/>
      <c r="AFO556" s="178"/>
      <c r="AFP556" s="178"/>
      <c r="AFQ556" s="178"/>
      <c r="AFR556" s="178"/>
      <c r="AFS556" s="178"/>
      <c r="AFT556" s="178"/>
      <c r="AFU556" s="178"/>
      <c r="AFV556" s="178"/>
      <c r="AFW556" s="178"/>
      <c r="AFX556" s="178"/>
      <c r="AFY556" s="178"/>
      <c r="AFZ556" s="178"/>
      <c r="AGA556" s="178"/>
      <c r="AGB556" s="178"/>
      <c r="AGC556" s="178"/>
      <c r="AGD556" s="178"/>
      <c r="AGE556" s="178"/>
      <c r="AGF556" s="178"/>
      <c r="AGG556" s="178"/>
      <c r="AGH556" s="178"/>
      <c r="AGI556" s="178"/>
      <c r="AGJ556" s="178"/>
      <c r="AGK556" s="178"/>
      <c r="AGL556" s="178"/>
      <c r="AGM556" s="178"/>
      <c r="AGN556" s="178"/>
      <c r="AGO556" s="178"/>
      <c r="AGP556" s="178"/>
      <c r="AGQ556" s="178"/>
      <c r="AGR556" s="178"/>
      <c r="AGS556" s="178"/>
      <c r="AGT556" s="178"/>
      <c r="AGU556" s="178"/>
      <c r="AGV556" s="178"/>
      <c r="AGW556" s="178"/>
      <c r="AGX556" s="178"/>
      <c r="AGY556" s="178"/>
      <c r="AGZ556" s="178"/>
      <c r="AHA556" s="178"/>
      <c r="AHB556" s="178"/>
      <c r="AHC556" s="178"/>
      <c r="AHD556" s="178"/>
      <c r="AHE556" s="178"/>
      <c r="AHF556" s="178"/>
      <c r="AHG556" s="178"/>
      <c r="AHH556" s="178"/>
      <c r="AHI556" s="178"/>
      <c r="AHJ556" s="178"/>
      <c r="AHK556" s="178"/>
      <c r="AHL556" s="178"/>
      <c r="AHM556" s="178"/>
      <c r="AHN556" s="178"/>
      <c r="AHO556" s="178"/>
      <c r="AHP556" s="178"/>
      <c r="AHQ556" s="178"/>
      <c r="AHR556" s="178"/>
      <c r="AHS556" s="178"/>
      <c r="AHT556" s="178"/>
      <c r="AHU556" s="178"/>
      <c r="AHV556" s="178"/>
      <c r="AHW556" s="178"/>
      <c r="AHX556" s="178"/>
      <c r="AHY556" s="178"/>
      <c r="AHZ556" s="178"/>
      <c r="AIA556" s="178"/>
      <c r="AIB556" s="178"/>
      <c r="AIC556" s="178"/>
      <c r="AID556" s="178"/>
      <c r="AIE556" s="178"/>
      <c r="AIF556" s="178"/>
      <c r="AIG556" s="178"/>
      <c r="AIH556" s="178"/>
      <c r="AII556" s="178"/>
      <c r="AIJ556" s="178"/>
      <c r="AIK556" s="178"/>
      <c r="AIL556" s="178"/>
      <c r="AIM556" s="178"/>
      <c r="AIN556" s="178"/>
      <c r="AIO556" s="178"/>
      <c r="AIP556" s="178"/>
      <c r="AIQ556" s="178"/>
      <c r="AIR556" s="178"/>
      <c r="AIS556" s="178"/>
      <c r="AIT556" s="178"/>
      <c r="AIU556" s="178"/>
      <c r="AIV556" s="178"/>
      <c r="AIW556" s="178"/>
      <c r="AIX556" s="178"/>
      <c r="AIY556" s="178"/>
      <c r="AIZ556" s="178"/>
      <c r="AJA556" s="178"/>
      <c r="AJB556" s="178"/>
      <c r="AJC556" s="178"/>
      <c r="AJD556" s="178"/>
      <c r="AJE556" s="178"/>
      <c r="AJF556" s="178"/>
      <c r="AJG556" s="178"/>
      <c r="AJH556" s="178"/>
      <c r="AJI556" s="178"/>
      <c r="AJJ556" s="178"/>
      <c r="AJK556" s="178"/>
      <c r="AJL556" s="178"/>
      <c r="AJM556" s="178"/>
      <c r="AJN556" s="178"/>
      <c r="AJO556" s="178"/>
      <c r="AJP556" s="178"/>
      <c r="AJQ556" s="178"/>
      <c r="AJR556" s="178"/>
      <c r="AJS556" s="178"/>
      <c r="AJT556" s="178"/>
      <c r="AJU556" s="178"/>
      <c r="AJV556" s="178"/>
      <c r="AJW556" s="178"/>
      <c r="AJX556" s="178"/>
      <c r="AJY556" s="178"/>
      <c r="AJZ556" s="178"/>
      <c r="AKA556" s="178"/>
      <c r="AKB556" s="178"/>
      <c r="AKC556" s="178"/>
      <c r="AKD556" s="178"/>
      <c r="AKE556" s="178"/>
      <c r="AKF556" s="178"/>
      <c r="AKG556" s="178"/>
      <c r="AKH556" s="178"/>
      <c r="AKI556" s="178"/>
      <c r="AKJ556" s="178"/>
      <c r="AKK556" s="178"/>
      <c r="AKL556" s="178"/>
      <c r="AKM556" s="178"/>
      <c r="AKN556" s="178"/>
      <c r="AKO556" s="178"/>
      <c r="AKP556" s="178"/>
      <c r="AKQ556" s="178"/>
      <c r="AKR556" s="178"/>
      <c r="AKS556" s="178"/>
      <c r="AKT556" s="178"/>
      <c r="AKU556" s="178"/>
      <c r="AKV556" s="178"/>
      <c r="AKW556" s="178"/>
      <c r="AKX556" s="178"/>
      <c r="AKY556" s="178"/>
      <c r="AKZ556" s="178"/>
      <c r="ALA556" s="178"/>
      <c r="ALB556" s="178"/>
      <c r="ALC556" s="178"/>
      <c r="ALD556" s="178"/>
      <c r="ALE556" s="178"/>
      <c r="ALF556" s="178"/>
      <c r="ALG556" s="178"/>
      <c r="ALH556" s="178"/>
      <c r="ALI556" s="178"/>
      <c r="ALJ556" s="178"/>
      <c r="ALK556" s="178"/>
      <c r="ALL556" s="178"/>
      <c r="ALM556" s="178"/>
      <c r="ALN556" s="178"/>
      <c r="ALO556" s="178"/>
      <c r="ALP556" s="178"/>
      <c r="ALQ556" s="178"/>
      <c r="ALR556" s="178"/>
      <c r="ALS556" s="178"/>
      <c r="ALT556" s="178"/>
      <c r="ALU556" s="178"/>
      <c r="ALV556" s="178"/>
      <c r="ALW556" s="178"/>
      <c r="ALX556" s="178"/>
      <c r="ALY556" s="178"/>
      <c r="ALZ556" s="178"/>
      <c r="AMA556" s="178"/>
      <c r="AMB556" s="178"/>
      <c r="AMC556" s="178"/>
      <c r="AMD556" s="178"/>
      <c r="AME556" s="178"/>
      <c r="AMF556" s="178"/>
      <c r="AMG556" s="178"/>
      <c r="AMH556" s="178"/>
      <c r="AMI556" s="178"/>
      <c r="AMJ556" s="178"/>
      <c r="AMK556" s="178"/>
      <c r="AML556" s="178"/>
      <c r="AMM556" s="178"/>
      <c r="AMN556" s="178"/>
      <c r="AMO556" s="178"/>
      <c r="AMP556" s="178"/>
      <c r="AMQ556" s="178"/>
      <c r="AMR556" s="178"/>
      <c r="AMS556" s="178"/>
      <c r="AMT556" s="178"/>
      <c r="AMU556" s="178"/>
      <c r="AMV556" s="178"/>
      <c r="AMW556" s="178"/>
      <c r="AMX556" s="178"/>
      <c r="AMY556" s="178"/>
      <c r="AMZ556" s="178"/>
      <c r="ANA556" s="178"/>
      <c r="ANB556" s="178"/>
      <c r="ANC556" s="178"/>
      <c r="AND556" s="178"/>
      <c r="ANE556" s="178"/>
      <c r="ANF556" s="178"/>
      <c r="ANG556" s="178"/>
      <c r="ANH556" s="178"/>
      <c r="ANI556" s="178"/>
      <c r="ANJ556" s="178"/>
      <c r="ANK556" s="178"/>
      <c r="ANL556" s="178"/>
      <c r="ANM556" s="178"/>
      <c r="ANN556" s="178"/>
      <c r="ANO556" s="178"/>
      <c r="ANP556" s="178"/>
      <c r="ANQ556" s="178"/>
      <c r="ANR556" s="178"/>
      <c r="ANS556" s="178"/>
      <c r="ANT556" s="178"/>
      <c r="ANU556" s="178"/>
      <c r="ANV556" s="178"/>
      <c r="ANW556" s="178"/>
      <c r="ANX556" s="178"/>
      <c r="ANY556" s="178"/>
      <c r="ANZ556" s="178"/>
      <c r="AOA556" s="178"/>
      <c r="AOB556" s="178"/>
      <c r="AOC556" s="178"/>
      <c r="AOD556" s="178"/>
      <c r="AOE556" s="178"/>
      <c r="AOF556" s="178"/>
      <c r="AOG556" s="178"/>
      <c r="AOH556" s="178"/>
      <c r="AOI556" s="178"/>
      <c r="AOJ556" s="178"/>
      <c r="AOK556" s="178"/>
      <c r="AOL556" s="178"/>
      <c r="AOM556" s="178"/>
      <c r="AON556" s="178"/>
      <c r="AOO556" s="178"/>
      <c r="AOP556" s="178"/>
      <c r="AOQ556" s="178"/>
      <c r="AOR556" s="178"/>
      <c r="AOS556" s="178"/>
      <c r="AOT556" s="178"/>
      <c r="AOU556" s="178"/>
      <c r="AOV556" s="178"/>
      <c r="AOW556" s="178"/>
      <c r="AOX556" s="178"/>
      <c r="AOY556" s="178"/>
      <c r="AOZ556" s="178"/>
      <c r="APA556" s="178"/>
      <c r="APB556" s="178"/>
      <c r="APC556" s="178"/>
      <c r="APD556" s="178"/>
      <c r="APE556" s="178"/>
      <c r="APF556" s="178"/>
      <c r="APG556" s="178"/>
      <c r="APH556" s="178"/>
      <c r="API556" s="178"/>
      <c r="APJ556" s="178"/>
      <c r="APK556" s="178"/>
      <c r="APL556" s="178"/>
      <c r="APM556" s="178"/>
      <c r="APN556" s="178"/>
      <c r="APO556" s="178"/>
      <c r="APP556" s="178"/>
      <c r="APQ556" s="178"/>
      <c r="APR556" s="178"/>
      <c r="APS556" s="178"/>
      <c r="APT556" s="178"/>
      <c r="APU556" s="178"/>
      <c r="APV556" s="178"/>
      <c r="APW556" s="178"/>
      <c r="APX556" s="178"/>
      <c r="APY556" s="178"/>
      <c r="APZ556" s="178"/>
      <c r="AQA556" s="178"/>
      <c r="AQB556" s="178"/>
      <c r="AQC556" s="178"/>
      <c r="AQD556" s="178"/>
      <c r="AQE556" s="178"/>
      <c r="AQF556" s="178"/>
      <c r="AQG556" s="178"/>
      <c r="AQH556" s="178"/>
      <c r="AQI556" s="178"/>
      <c r="AQJ556" s="178"/>
      <c r="AQK556" s="178"/>
      <c r="AQL556" s="178"/>
      <c r="AQM556" s="178"/>
      <c r="AQN556" s="178"/>
      <c r="AQO556" s="178"/>
      <c r="AQP556" s="178"/>
      <c r="AQQ556" s="178"/>
      <c r="AQR556" s="178"/>
      <c r="AQS556" s="178"/>
      <c r="AQT556" s="178"/>
      <c r="AQU556" s="178"/>
      <c r="AQV556" s="178"/>
      <c r="AQW556" s="178"/>
      <c r="AQX556" s="178"/>
      <c r="AQY556" s="178"/>
      <c r="AQZ556" s="178"/>
      <c r="ARA556" s="178"/>
      <c r="ARB556" s="178"/>
      <c r="ARC556" s="178"/>
      <c r="ARD556" s="178"/>
      <c r="ARE556" s="178"/>
      <c r="ARF556" s="178"/>
      <c r="ARG556" s="178"/>
      <c r="ARH556" s="178"/>
      <c r="ARI556" s="178"/>
      <c r="ARJ556" s="178"/>
      <c r="ARK556" s="178"/>
      <c r="ARL556" s="178"/>
      <c r="ARM556" s="178"/>
      <c r="ARN556" s="178"/>
      <c r="ARO556" s="178"/>
      <c r="ARP556" s="178"/>
      <c r="ARQ556" s="178"/>
      <c r="ARR556" s="178"/>
      <c r="ARS556" s="178"/>
      <c r="ART556" s="178"/>
      <c r="ARU556" s="178"/>
      <c r="ARV556" s="178"/>
      <c r="ARW556" s="178"/>
      <c r="ARX556" s="178"/>
      <c r="ARY556" s="178"/>
      <c r="ARZ556" s="178"/>
      <c r="ASA556" s="178"/>
      <c r="ASB556" s="178"/>
      <c r="ASC556" s="178"/>
      <c r="ASD556" s="178"/>
      <c r="ASE556" s="178"/>
      <c r="ASF556" s="178"/>
      <c r="ASG556" s="178"/>
      <c r="ASH556" s="178"/>
      <c r="ASI556" s="178"/>
      <c r="ASJ556" s="178"/>
      <c r="ASK556" s="178"/>
      <c r="ASL556" s="178"/>
      <c r="ASM556" s="178"/>
      <c r="ASN556" s="178"/>
      <c r="ASO556" s="178"/>
      <c r="ASP556" s="178"/>
      <c r="ASQ556" s="178"/>
      <c r="ASR556" s="178"/>
      <c r="ASS556" s="178"/>
      <c r="AST556" s="178"/>
      <c r="ASU556" s="178"/>
      <c r="ASV556" s="178"/>
      <c r="ASW556" s="178"/>
      <c r="ASX556" s="178"/>
      <c r="ASY556" s="178"/>
      <c r="ASZ556" s="178"/>
      <c r="ATA556" s="178"/>
      <c r="ATB556" s="178"/>
      <c r="ATC556" s="178"/>
      <c r="ATD556" s="178"/>
      <c r="ATE556" s="178"/>
      <c r="ATF556" s="178"/>
      <c r="ATG556" s="178"/>
      <c r="ATH556" s="178"/>
      <c r="ATI556" s="178"/>
      <c r="ATJ556" s="178"/>
      <c r="ATK556" s="178"/>
      <c r="ATL556" s="178"/>
      <c r="ATM556" s="178"/>
      <c r="ATN556" s="178"/>
      <c r="ATO556" s="178"/>
      <c r="ATP556" s="178"/>
      <c r="ATQ556" s="178"/>
      <c r="ATR556" s="178"/>
      <c r="ATS556" s="178"/>
      <c r="ATT556" s="178"/>
      <c r="ATU556" s="178"/>
      <c r="ATV556" s="178"/>
      <c r="ATW556" s="178"/>
      <c r="ATX556" s="178"/>
      <c r="ATY556" s="178"/>
      <c r="ATZ556" s="178"/>
      <c r="AUA556" s="178"/>
      <c r="AUB556" s="178"/>
      <c r="AUC556" s="178"/>
      <c r="AUD556" s="178"/>
      <c r="AUE556" s="178"/>
      <c r="AUF556" s="178"/>
      <c r="AUG556" s="178"/>
      <c r="AUH556" s="178"/>
      <c r="AUI556" s="178"/>
      <c r="AUJ556" s="178"/>
      <c r="AUK556" s="178"/>
      <c r="AUL556" s="178"/>
      <c r="AUM556" s="178"/>
      <c r="AUN556" s="178"/>
      <c r="AUO556" s="178"/>
      <c r="AUP556" s="178"/>
      <c r="AUQ556" s="178"/>
      <c r="AUR556" s="178"/>
      <c r="AUS556" s="178"/>
      <c r="AUT556" s="178"/>
      <c r="AUU556" s="178"/>
      <c r="AUV556" s="178"/>
      <c r="AUW556" s="178"/>
      <c r="AUX556" s="178"/>
      <c r="AUY556" s="178"/>
      <c r="AUZ556" s="178"/>
      <c r="AVA556" s="178"/>
      <c r="AVB556" s="178"/>
      <c r="AVC556" s="178"/>
      <c r="AVD556" s="178"/>
      <c r="AVE556" s="178"/>
      <c r="AVF556" s="178"/>
      <c r="AVG556" s="178"/>
      <c r="AVH556" s="178"/>
      <c r="AVI556" s="178"/>
      <c r="AVJ556" s="178"/>
      <c r="AVK556" s="178"/>
      <c r="AVL556" s="178"/>
      <c r="AVM556" s="178"/>
      <c r="AVN556" s="178"/>
      <c r="AVO556" s="178"/>
      <c r="AVP556" s="178"/>
      <c r="AVQ556" s="178"/>
      <c r="AVR556" s="178"/>
      <c r="AVS556" s="178"/>
      <c r="AVT556" s="178"/>
      <c r="AVU556" s="178"/>
      <c r="AVV556" s="178"/>
      <c r="AVW556" s="178"/>
      <c r="AVX556" s="178"/>
      <c r="AVY556" s="178"/>
      <c r="AVZ556" s="178"/>
      <c r="AWA556" s="178"/>
      <c r="AWB556" s="178"/>
      <c r="AWC556" s="178"/>
      <c r="AWD556" s="178"/>
      <c r="AWE556" s="178"/>
      <c r="AWF556" s="178"/>
      <c r="AWG556" s="178"/>
      <c r="AWH556" s="178"/>
      <c r="AWI556" s="178"/>
      <c r="AWJ556" s="178"/>
      <c r="AWK556" s="178"/>
      <c r="AWL556" s="178"/>
      <c r="AWM556" s="178"/>
      <c r="AWN556" s="178"/>
      <c r="AWO556" s="178"/>
      <c r="AWP556" s="178"/>
      <c r="AWQ556" s="178"/>
      <c r="AWR556" s="178"/>
      <c r="AWS556" s="178"/>
      <c r="AWT556" s="178"/>
      <c r="AWU556" s="178"/>
      <c r="AWV556" s="178"/>
      <c r="AWW556" s="178"/>
      <c r="AWX556" s="178"/>
      <c r="AWY556" s="178"/>
      <c r="AWZ556" s="178"/>
      <c r="AXA556" s="178"/>
      <c r="AXB556" s="178"/>
      <c r="AXC556" s="178"/>
      <c r="AXD556" s="178"/>
      <c r="AXE556" s="178"/>
      <c r="AXF556" s="178"/>
      <c r="AXG556" s="178"/>
      <c r="AXH556" s="178"/>
      <c r="AXI556" s="178"/>
      <c r="AXJ556" s="178"/>
      <c r="AXK556" s="178"/>
      <c r="AXL556" s="178"/>
      <c r="AXM556" s="178"/>
      <c r="AXN556" s="178"/>
      <c r="AXO556" s="178"/>
      <c r="AXP556" s="178"/>
      <c r="AXQ556" s="178"/>
      <c r="AXR556" s="178"/>
      <c r="AXS556" s="178"/>
      <c r="AXT556" s="178"/>
      <c r="AXU556" s="178"/>
      <c r="AXV556" s="178"/>
      <c r="AXW556" s="178"/>
      <c r="AXX556" s="178"/>
      <c r="AXY556" s="178"/>
      <c r="AXZ556" s="178"/>
      <c r="AYA556" s="178"/>
      <c r="AYB556" s="178"/>
      <c r="AYC556" s="178"/>
      <c r="AYD556" s="178"/>
      <c r="AYE556" s="178"/>
      <c r="AYF556" s="178"/>
      <c r="AYG556" s="178"/>
      <c r="AYH556" s="178"/>
      <c r="AYI556" s="178"/>
      <c r="AYJ556" s="178"/>
      <c r="AYK556" s="178"/>
      <c r="AYL556" s="178"/>
      <c r="AYM556" s="178"/>
      <c r="AYN556" s="178"/>
      <c r="AYO556" s="178"/>
      <c r="AYP556" s="178"/>
      <c r="AYQ556" s="178"/>
      <c r="AYR556" s="178"/>
      <c r="AYS556" s="178"/>
      <c r="AYT556" s="178"/>
      <c r="AYU556" s="178"/>
      <c r="AYV556" s="178"/>
      <c r="AYW556" s="178"/>
      <c r="AYX556" s="178"/>
      <c r="AYY556" s="178"/>
      <c r="AYZ556" s="178"/>
      <c r="AZA556" s="178"/>
      <c r="AZB556" s="178"/>
      <c r="AZC556" s="178"/>
      <c r="AZD556" s="178"/>
      <c r="AZE556" s="178"/>
      <c r="AZF556" s="178"/>
      <c r="AZG556" s="178"/>
      <c r="AZH556" s="178"/>
      <c r="AZI556" s="178"/>
      <c r="AZJ556" s="178"/>
      <c r="AZK556" s="178"/>
      <c r="AZL556" s="178"/>
      <c r="AZM556" s="178"/>
      <c r="AZN556" s="178"/>
      <c r="AZO556" s="178"/>
      <c r="AZP556" s="178"/>
      <c r="AZQ556" s="178"/>
      <c r="AZR556" s="178"/>
      <c r="AZS556" s="178"/>
      <c r="AZT556" s="178"/>
      <c r="AZU556" s="178"/>
      <c r="AZV556" s="178"/>
      <c r="AZW556" s="178"/>
      <c r="AZX556" s="178"/>
      <c r="AZY556" s="178"/>
      <c r="AZZ556" s="178"/>
      <c r="BAA556" s="178"/>
      <c r="BAB556" s="178"/>
      <c r="BAC556" s="178"/>
      <c r="BAD556" s="178"/>
      <c r="BAE556" s="178"/>
      <c r="BAF556" s="178"/>
      <c r="BAG556" s="178"/>
      <c r="BAH556" s="178"/>
      <c r="BAI556" s="178"/>
      <c r="BAJ556" s="178"/>
      <c r="BAK556" s="178"/>
      <c r="BAL556" s="178"/>
      <c r="BAM556" s="178"/>
      <c r="BAN556" s="178"/>
      <c r="BAO556" s="178"/>
      <c r="BAP556" s="178"/>
      <c r="BAQ556" s="178"/>
      <c r="BAR556" s="178"/>
      <c r="BAS556" s="178"/>
      <c r="BAT556" s="178"/>
      <c r="BAU556" s="178"/>
      <c r="BAV556" s="178"/>
      <c r="BAW556" s="178"/>
      <c r="BAX556" s="178"/>
      <c r="BAY556" s="178"/>
      <c r="BAZ556" s="178"/>
      <c r="BBA556" s="178"/>
      <c r="BBB556" s="178"/>
      <c r="BBC556" s="178"/>
      <c r="BBD556" s="178"/>
      <c r="BBE556" s="178"/>
      <c r="BBF556" s="178"/>
      <c r="BBG556" s="178"/>
      <c r="BBH556" s="178"/>
      <c r="BBI556" s="178"/>
      <c r="BBJ556" s="178"/>
      <c r="BBK556" s="178"/>
      <c r="BBL556" s="178"/>
      <c r="BBM556" s="178"/>
      <c r="BBN556" s="178"/>
      <c r="BBO556" s="178"/>
      <c r="BBP556" s="178"/>
      <c r="BBQ556" s="178"/>
      <c r="BBR556" s="178"/>
      <c r="BBS556" s="178"/>
      <c r="BBT556" s="178"/>
      <c r="BBU556" s="178"/>
      <c r="BBV556" s="178"/>
      <c r="BBW556" s="178"/>
      <c r="BBX556" s="178"/>
      <c r="BBY556" s="178"/>
      <c r="BBZ556" s="178"/>
      <c r="BCA556" s="178"/>
      <c r="BCB556" s="178"/>
      <c r="BCC556" s="178"/>
      <c r="BCD556" s="178"/>
      <c r="BCE556" s="178"/>
      <c r="BCF556" s="178"/>
      <c r="BCG556" s="178"/>
      <c r="BCH556" s="178"/>
      <c r="BCI556" s="178"/>
      <c r="BCJ556" s="178"/>
      <c r="BCK556" s="178"/>
      <c r="BCL556" s="178"/>
      <c r="BCM556" s="178"/>
      <c r="BCN556" s="178"/>
      <c r="BCO556" s="178"/>
      <c r="BCP556" s="178"/>
      <c r="BCQ556" s="178"/>
      <c r="BCR556" s="178"/>
      <c r="BCS556" s="178"/>
      <c r="BCT556" s="178"/>
      <c r="BCU556" s="178"/>
      <c r="BCV556" s="178"/>
      <c r="BCW556" s="178"/>
      <c r="BCX556" s="178"/>
      <c r="BCY556" s="178"/>
      <c r="BCZ556" s="178"/>
      <c r="BDA556" s="178"/>
      <c r="BDB556" s="178"/>
      <c r="BDC556" s="178"/>
      <c r="BDD556" s="178"/>
      <c r="BDE556" s="178"/>
      <c r="BDF556" s="178"/>
      <c r="BDG556" s="178"/>
      <c r="BDH556" s="178"/>
      <c r="BDI556" s="178"/>
      <c r="BDJ556" s="178"/>
      <c r="BDK556" s="178"/>
      <c r="BDL556" s="178"/>
      <c r="BDM556" s="178"/>
      <c r="BDN556" s="178"/>
      <c r="BDO556" s="178"/>
      <c r="BDP556" s="178"/>
      <c r="BDQ556" s="178"/>
      <c r="BDR556" s="178"/>
      <c r="BDS556" s="178"/>
      <c r="BDT556" s="178"/>
      <c r="BDU556" s="178"/>
      <c r="BDV556" s="178"/>
      <c r="BDW556" s="178"/>
      <c r="BDX556" s="178"/>
      <c r="BDY556" s="178"/>
      <c r="BDZ556" s="178"/>
      <c r="BEA556" s="178"/>
      <c r="BEB556" s="178"/>
      <c r="BEC556" s="178"/>
      <c r="BED556" s="178"/>
      <c r="BEE556" s="178"/>
      <c r="BEF556" s="178"/>
      <c r="BEG556" s="178"/>
      <c r="BEH556" s="178"/>
      <c r="BEI556" s="178"/>
      <c r="BEJ556" s="178"/>
      <c r="BEK556" s="178"/>
      <c r="BEL556" s="178"/>
      <c r="BEM556" s="178"/>
      <c r="BEN556" s="178"/>
      <c r="BEO556" s="178"/>
      <c r="BEP556" s="178"/>
      <c r="BEQ556" s="178"/>
      <c r="BER556" s="178"/>
      <c r="BES556" s="178"/>
      <c r="BET556" s="178"/>
      <c r="BEU556" s="178"/>
      <c r="BEV556" s="178"/>
      <c r="BEW556" s="178"/>
      <c r="BEX556" s="178"/>
      <c r="BEY556" s="178"/>
      <c r="BEZ556" s="178"/>
      <c r="BFA556" s="178"/>
      <c r="BFB556" s="178"/>
      <c r="BFC556" s="178"/>
      <c r="BFD556" s="178"/>
      <c r="BFE556" s="178"/>
      <c r="BFF556" s="178"/>
      <c r="BFG556" s="178"/>
      <c r="BFH556" s="178"/>
      <c r="BFI556" s="178"/>
      <c r="BFJ556" s="178"/>
      <c r="BFK556" s="178"/>
      <c r="BFL556" s="178"/>
      <c r="BFM556" s="178"/>
      <c r="BFN556" s="178"/>
      <c r="BFO556" s="178"/>
      <c r="BFP556" s="178"/>
      <c r="BFQ556" s="178"/>
      <c r="BFR556" s="178"/>
      <c r="BFS556" s="178"/>
      <c r="BFT556" s="178"/>
      <c r="BFU556" s="178"/>
      <c r="BFV556" s="178"/>
      <c r="BFW556" s="178"/>
      <c r="BFX556" s="178"/>
      <c r="BFY556" s="178"/>
      <c r="BFZ556" s="178"/>
      <c r="BGA556" s="178"/>
      <c r="BGB556" s="178"/>
      <c r="BGC556" s="178"/>
      <c r="BGD556" s="178"/>
      <c r="BGE556" s="178"/>
      <c r="BGF556" s="178"/>
      <c r="BGG556" s="178"/>
      <c r="BGH556" s="178"/>
      <c r="BGI556" s="178"/>
      <c r="BGJ556" s="178"/>
      <c r="BGK556" s="178"/>
      <c r="BGL556" s="178"/>
      <c r="BGM556" s="178"/>
      <c r="BGN556" s="178"/>
      <c r="BGO556" s="178"/>
      <c r="BGP556" s="178"/>
      <c r="BGQ556" s="178"/>
      <c r="BGR556" s="178"/>
      <c r="BGS556" s="178"/>
      <c r="BGT556" s="178"/>
      <c r="BGU556" s="178"/>
      <c r="BGV556" s="178"/>
      <c r="BGW556" s="178"/>
      <c r="BGX556" s="178"/>
      <c r="BGY556" s="178"/>
      <c r="BGZ556" s="178"/>
      <c r="BHA556" s="178"/>
      <c r="BHB556" s="178"/>
      <c r="BHC556" s="178"/>
      <c r="BHD556" s="178"/>
      <c r="BHE556" s="178"/>
      <c r="BHF556" s="178"/>
      <c r="BHG556" s="178"/>
      <c r="BHH556" s="178"/>
      <c r="BHI556" s="178"/>
      <c r="BHJ556" s="178"/>
      <c r="BHK556" s="178"/>
      <c r="BHL556" s="178"/>
      <c r="BHM556" s="178"/>
      <c r="BHN556" s="178"/>
      <c r="BHO556" s="178"/>
      <c r="BHP556" s="178"/>
      <c r="BHQ556" s="178"/>
      <c r="BHR556" s="178"/>
      <c r="BHS556" s="178"/>
      <c r="BHT556" s="178"/>
      <c r="BHU556" s="178"/>
      <c r="BHV556" s="178"/>
      <c r="BHW556" s="178"/>
      <c r="BHX556" s="178"/>
      <c r="BHY556" s="178"/>
      <c r="BHZ556" s="178"/>
      <c r="BIA556" s="178"/>
      <c r="BIB556" s="178"/>
      <c r="BIC556" s="178"/>
      <c r="BID556" s="178"/>
      <c r="BIE556" s="178"/>
      <c r="BIF556" s="178"/>
      <c r="BIG556" s="178"/>
      <c r="BIH556" s="178"/>
      <c r="BII556" s="178"/>
      <c r="BIJ556" s="178"/>
      <c r="BIK556" s="178"/>
      <c r="BIL556" s="178"/>
      <c r="BIM556" s="178"/>
      <c r="BIN556" s="178"/>
      <c r="BIO556" s="178"/>
      <c r="BIP556" s="178"/>
      <c r="BIQ556" s="178"/>
      <c r="BIR556" s="178"/>
      <c r="BIS556" s="178"/>
      <c r="BIT556" s="178"/>
      <c r="BIU556" s="178"/>
      <c r="BIV556" s="178"/>
      <c r="BIW556" s="178"/>
      <c r="BIX556" s="178"/>
      <c r="BIY556" s="178"/>
      <c r="BIZ556" s="178"/>
      <c r="BJA556" s="178"/>
      <c r="BJB556" s="178"/>
      <c r="BJC556" s="178"/>
      <c r="BJD556" s="178"/>
      <c r="BJE556" s="178"/>
      <c r="BJF556" s="178"/>
      <c r="BJG556" s="178"/>
      <c r="BJH556" s="178"/>
      <c r="BJI556" s="178"/>
      <c r="BJJ556" s="178"/>
      <c r="BJK556" s="178"/>
      <c r="BJL556" s="178"/>
      <c r="BJM556" s="178"/>
      <c r="BJN556" s="178"/>
      <c r="BJO556" s="178"/>
      <c r="BJP556" s="178"/>
      <c r="BJQ556" s="178"/>
      <c r="BJR556" s="178"/>
      <c r="BJS556" s="178"/>
      <c r="BJT556" s="178"/>
      <c r="BJU556" s="178"/>
      <c r="BJV556" s="178"/>
      <c r="BJW556" s="178"/>
      <c r="BJX556" s="178"/>
      <c r="BJY556" s="178"/>
      <c r="BJZ556" s="178"/>
      <c r="BKA556" s="178"/>
      <c r="BKB556" s="178"/>
      <c r="BKC556" s="178"/>
      <c r="BKD556" s="178"/>
      <c r="BKE556" s="178"/>
      <c r="BKF556" s="178"/>
      <c r="BKG556" s="178"/>
      <c r="BKH556" s="178"/>
      <c r="BKI556" s="178"/>
      <c r="BKJ556" s="178"/>
      <c r="BKK556" s="178"/>
      <c r="BKL556" s="178"/>
      <c r="BKM556" s="178"/>
      <c r="BKN556" s="178"/>
      <c r="BKO556" s="178"/>
      <c r="BKP556" s="178"/>
      <c r="BKQ556" s="178"/>
      <c r="BKR556" s="178"/>
      <c r="BKS556" s="178"/>
      <c r="BKT556" s="178"/>
      <c r="BKU556" s="178"/>
      <c r="BKV556" s="178"/>
      <c r="BKW556" s="178"/>
      <c r="BKX556" s="178"/>
      <c r="BKY556" s="178"/>
      <c r="BKZ556" s="178"/>
      <c r="BLA556" s="178"/>
      <c r="BLB556" s="178"/>
      <c r="BLC556" s="178"/>
      <c r="BLD556" s="178"/>
      <c r="BLE556" s="178"/>
      <c r="BLF556" s="178"/>
      <c r="BLG556" s="178"/>
      <c r="BLH556" s="178"/>
      <c r="BLI556" s="178"/>
      <c r="BLJ556" s="178"/>
      <c r="BLK556" s="178"/>
      <c r="BLL556" s="178"/>
      <c r="BLM556" s="178"/>
      <c r="BLN556" s="178"/>
      <c r="BLO556" s="178"/>
      <c r="BLP556" s="178"/>
      <c r="BLQ556" s="178"/>
      <c r="BLR556" s="178"/>
      <c r="BLS556" s="178"/>
      <c r="BLT556" s="178"/>
      <c r="BLU556" s="178"/>
      <c r="BLV556" s="178"/>
      <c r="BLW556" s="178"/>
      <c r="BLX556" s="178"/>
      <c r="BLY556" s="178"/>
      <c r="BLZ556" s="178"/>
      <c r="BMA556" s="178"/>
      <c r="BMB556" s="178"/>
      <c r="BMC556" s="178"/>
      <c r="BMD556" s="178"/>
      <c r="BME556" s="178"/>
      <c r="BMF556" s="178"/>
      <c r="BMG556" s="178"/>
      <c r="BMH556" s="178"/>
      <c r="BMI556" s="178"/>
      <c r="BMJ556" s="178"/>
      <c r="BMK556" s="178"/>
      <c r="BML556" s="178"/>
      <c r="BMM556" s="178"/>
      <c r="BMN556" s="178"/>
      <c r="BMO556" s="178"/>
      <c r="BMP556" s="178"/>
      <c r="BMQ556" s="178"/>
      <c r="BMR556" s="178"/>
      <c r="BMS556" s="178"/>
      <c r="BMT556" s="178"/>
      <c r="BMU556" s="178"/>
      <c r="BMV556" s="178"/>
      <c r="BMW556" s="178"/>
      <c r="BMX556" s="178"/>
      <c r="BMY556" s="178"/>
      <c r="BMZ556" s="178"/>
      <c r="BNA556" s="178"/>
      <c r="BNB556" s="178"/>
      <c r="BNC556" s="178"/>
      <c r="BND556" s="178"/>
      <c r="BNE556" s="178"/>
      <c r="BNF556" s="178"/>
      <c r="BNG556" s="178"/>
      <c r="BNH556" s="178"/>
      <c r="BNI556" s="178"/>
      <c r="BNJ556" s="178"/>
      <c r="BNK556" s="178"/>
      <c r="BNL556" s="178"/>
      <c r="BNM556" s="178"/>
      <c r="BNN556" s="178"/>
      <c r="BNO556" s="178"/>
      <c r="BNP556" s="178"/>
      <c r="BNQ556" s="178"/>
      <c r="BNR556" s="178"/>
      <c r="BNS556" s="178"/>
      <c r="BNT556" s="178"/>
      <c r="BNU556" s="178"/>
      <c r="BNV556" s="178"/>
      <c r="BNW556" s="178"/>
      <c r="BNX556" s="178"/>
      <c r="BNY556" s="178"/>
      <c r="BNZ556" s="178"/>
      <c r="BOA556" s="178"/>
      <c r="BOB556" s="178"/>
      <c r="BOC556" s="178"/>
      <c r="BOD556" s="178"/>
      <c r="BOE556" s="178"/>
      <c r="BOF556" s="178"/>
      <c r="BOG556" s="178"/>
      <c r="BOH556" s="178"/>
      <c r="BOI556" s="178"/>
      <c r="BOJ556" s="178"/>
      <c r="BOK556" s="178"/>
      <c r="BOL556" s="178"/>
      <c r="BOM556" s="178"/>
      <c r="BON556" s="178"/>
      <c r="BOO556" s="178"/>
      <c r="BOP556" s="178"/>
      <c r="BOQ556" s="178"/>
      <c r="BOR556" s="178"/>
      <c r="BOS556" s="178"/>
      <c r="BOT556" s="178"/>
      <c r="BOU556" s="178"/>
      <c r="BOV556" s="178"/>
      <c r="BOW556" s="178"/>
      <c r="BOX556" s="178"/>
      <c r="BOY556" s="178"/>
      <c r="BOZ556" s="178"/>
      <c r="BPA556" s="178"/>
      <c r="BPB556" s="178"/>
      <c r="BPC556" s="178"/>
      <c r="BPD556" s="178"/>
      <c r="BPE556" s="178"/>
      <c r="BPF556" s="178"/>
      <c r="BPG556" s="178"/>
      <c r="BPH556" s="178"/>
      <c r="BPI556" s="178"/>
      <c r="BPJ556" s="178"/>
      <c r="BPK556" s="178"/>
      <c r="BPL556" s="178"/>
      <c r="BPM556" s="178"/>
      <c r="BPN556" s="178"/>
      <c r="BPO556" s="178"/>
      <c r="BPP556" s="178"/>
      <c r="BPQ556" s="178"/>
      <c r="BPR556" s="178"/>
      <c r="BPS556" s="178"/>
      <c r="BPT556" s="178"/>
      <c r="BPU556" s="178"/>
      <c r="BPV556" s="178"/>
      <c r="BPW556" s="178"/>
      <c r="BPX556" s="178"/>
      <c r="BPY556" s="178"/>
      <c r="BPZ556" s="178"/>
      <c r="BQA556" s="178"/>
      <c r="BQB556" s="178"/>
      <c r="BQC556" s="178"/>
      <c r="BQD556" s="178"/>
      <c r="BQE556" s="178"/>
      <c r="BQF556" s="178"/>
      <c r="BQG556" s="178"/>
      <c r="BQH556" s="178"/>
      <c r="BQI556" s="178"/>
      <c r="BQJ556" s="178"/>
      <c r="BQK556" s="178"/>
      <c r="BQL556" s="178"/>
      <c r="BQM556" s="178"/>
      <c r="BQN556" s="178"/>
      <c r="BQO556" s="178"/>
      <c r="BQP556" s="178"/>
      <c r="BQQ556" s="178"/>
      <c r="BQR556" s="178"/>
      <c r="BQS556" s="178"/>
      <c r="BQT556" s="178"/>
      <c r="BQU556" s="178"/>
      <c r="BQV556" s="178"/>
      <c r="BQW556" s="178"/>
      <c r="BQX556" s="178"/>
      <c r="BQY556" s="178"/>
      <c r="BQZ556" s="178"/>
      <c r="BRA556" s="178"/>
      <c r="BRB556" s="178"/>
      <c r="BRC556" s="178"/>
      <c r="BRD556" s="178"/>
      <c r="BRE556" s="178"/>
      <c r="BRF556" s="178"/>
      <c r="BRG556" s="178"/>
      <c r="BRH556" s="178"/>
      <c r="BRI556" s="178"/>
      <c r="BRJ556" s="178"/>
      <c r="BRK556" s="178"/>
      <c r="BRL556" s="178"/>
      <c r="BRM556" s="178"/>
      <c r="BRN556" s="178"/>
      <c r="BRO556" s="178"/>
      <c r="BRP556" s="178"/>
      <c r="BRQ556" s="178"/>
      <c r="BRR556" s="178"/>
      <c r="BRS556" s="178"/>
      <c r="BRT556" s="178"/>
      <c r="BRU556" s="178"/>
      <c r="BRV556" s="178"/>
      <c r="BRW556" s="178"/>
      <c r="BRX556" s="178"/>
      <c r="BRY556" s="178"/>
      <c r="BRZ556" s="178"/>
      <c r="BSA556" s="178"/>
      <c r="BSB556" s="178"/>
      <c r="BSC556" s="178"/>
      <c r="BSD556" s="178"/>
      <c r="BSE556" s="178"/>
      <c r="BSF556" s="178"/>
      <c r="BSG556" s="178"/>
      <c r="BSH556" s="178"/>
      <c r="BSI556" s="178"/>
      <c r="BSJ556" s="178"/>
      <c r="BSK556" s="178"/>
      <c r="BSL556" s="178"/>
      <c r="BSM556" s="178"/>
      <c r="BSN556" s="178"/>
      <c r="BSO556" s="178"/>
      <c r="BSP556" s="178"/>
      <c r="BSQ556" s="178"/>
      <c r="BSR556" s="178"/>
      <c r="BSS556" s="178"/>
      <c r="BST556" s="178"/>
      <c r="BSU556" s="178"/>
      <c r="BSV556" s="178"/>
      <c r="BSW556" s="178"/>
      <c r="BSX556" s="178"/>
      <c r="BSY556" s="178"/>
      <c r="BSZ556" s="178"/>
      <c r="BTA556" s="178"/>
      <c r="BTB556" s="178"/>
      <c r="BTC556" s="178"/>
      <c r="BTD556" s="178"/>
      <c r="BTE556" s="178"/>
      <c r="BTF556" s="178"/>
      <c r="BTG556" s="178"/>
      <c r="BTH556" s="178"/>
      <c r="BTI556" s="178"/>
      <c r="BTJ556" s="178"/>
      <c r="BTK556" s="178"/>
      <c r="BTL556" s="178"/>
      <c r="BTM556" s="178"/>
      <c r="BTN556" s="178"/>
      <c r="BTO556" s="178"/>
      <c r="BTP556" s="178"/>
      <c r="BTQ556" s="178"/>
      <c r="BTR556" s="178"/>
      <c r="BTS556" s="178"/>
      <c r="BTT556" s="178"/>
      <c r="BTU556" s="178"/>
      <c r="BTV556" s="178"/>
      <c r="BTW556" s="178"/>
      <c r="BTX556" s="178"/>
      <c r="BTY556" s="178"/>
      <c r="BTZ556" s="178"/>
      <c r="BUA556" s="178"/>
      <c r="BUB556" s="178"/>
      <c r="BUC556" s="178"/>
      <c r="BUD556" s="178"/>
      <c r="BUE556" s="178"/>
      <c r="BUF556" s="178"/>
      <c r="BUG556" s="178"/>
      <c r="BUH556" s="178"/>
      <c r="BUI556" s="178"/>
      <c r="BUJ556" s="178"/>
      <c r="BUK556" s="178"/>
      <c r="BUL556" s="178"/>
      <c r="BUM556" s="178"/>
      <c r="BUN556" s="178"/>
      <c r="BUO556" s="178"/>
      <c r="BUP556" s="178"/>
      <c r="BUQ556" s="178"/>
      <c r="BUR556" s="178"/>
      <c r="BUS556" s="178"/>
      <c r="BUT556" s="178"/>
      <c r="BUU556" s="178"/>
      <c r="BUV556" s="178"/>
      <c r="BUW556" s="178"/>
      <c r="BUX556" s="178"/>
      <c r="BUY556" s="178"/>
      <c r="BUZ556" s="178"/>
      <c r="BVA556" s="178"/>
      <c r="BVB556" s="178"/>
      <c r="BVC556" s="178"/>
      <c r="BVD556" s="178"/>
      <c r="BVE556" s="178"/>
      <c r="BVF556" s="178"/>
      <c r="BVG556" s="178"/>
      <c r="BVH556" s="178"/>
      <c r="BVI556" s="178"/>
      <c r="BVJ556" s="178"/>
      <c r="BVK556" s="178"/>
      <c r="BVL556" s="178"/>
      <c r="BVM556" s="178"/>
      <c r="BVN556" s="178"/>
      <c r="BVO556" s="178"/>
      <c r="BVP556" s="178"/>
      <c r="BVQ556" s="178"/>
      <c r="BVR556" s="178"/>
      <c r="BVS556" s="178"/>
      <c r="BVT556" s="178"/>
      <c r="BVU556" s="178"/>
      <c r="BVV556" s="178"/>
      <c r="BVW556" s="178"/>
      <c r="BVX556" s="178"/>
      <c r="BVY556" s="178"/>
      <c r="BVZ556" s="178"/>
      <c r="BWA556" s="178"/>
      <c r="BWB556" s="178"/>
      <c r="BWC556" s="178"/>
      <c r="BWD556" s="178"/>
      <c r="BWE556" s="178"/>
      <c r="BWF556" s="178"/>
      <c r="BWG556" s="178"/>
      <c r="BWH556" s="178"/>
      <c r="BWI556" s="178"/>
      <c r="BWJ556" s="178"/>
      <c r="BWK556" s="178"/>
      <c r="BWL556" s="178"/>
      <c r="BWM556" s="178"/>
      <c r="BWN556" s="178"/>
      <c r="BWO556" s="178"/>
      <c r="BWP556" s="178"/>
      <c r="BWQ556" s="178"/>
      <c r="BWR556" s="178"/>
      <c r="BWS556" s="178"/>
      <c r="BWT556" s="178"/>
      <c r="BWU556" s="178"/>
      <c r="BWV556" s="178"/>
      <c r="BWW556" s="178"/>
      <c r="BWX556" s="178"/>
      <c r="BWY556" s="178"/>
      <c r="BWZ556" s="178"/>
      <c r="BXA556" s="178"/>
      <c r="BXB556" s="178"/>
      <c r="BXC556" s="178"/>
      <c r="BXD556" s="178"/>
      <c r="BXE556" s="178"/>
      <c r="BXF556" s="178"/>
      <c r="BXG556" s="178"/>
      <c r="BXH556" s="178"/>
      <c r="BXI556" s="178"/>
      <c r="BXJ556" s="178"/>
      <c r="BXK556" s="178"/>
      <c r="BXL556" s="178"/>
      <c r="BXM556" s="178"/>
      <c r="BXN556" s="178"/>
      <c r="BXO556" s="178"/>
      <c r="BXP556" s="178"/>
      <c r="BXQ556" s="178"/>
      <c r="BXR556" s="178"/>
      <c r="BXS556" s="178"/>
      <c r="BXT556" s="178"/>
      <c r="BXU556" s="178"/>
      <c r="BXV556" s="178"/>
      <c r="BXW556" s="178"/>
      <c r="BXX556" s="178"/>
      <c r="BXY556" s="178"/>
      <c r="BXZ556" s="178"/>
      <c r="BYA556" s="178"/>
      <c r="BYB556" s="178"/>
      <c r="BYC556" s="178"/>
      <c r="BYD556" s="178"/>
      <c r="BYE556" s="178"/>
      <c r="BYF556" s="178"/>
      <c r="BYG556" s="178"/>
      <c r="BYH556" s="178"/>
      <c r="BYI556" s="178"/>
      <c r="BYJ556" s="178"/>
      <c r="BYK556" s="178"/>
      <c r="BYL556" s="178"/>
      <c r="BYM556" s="178"/>
      <c r="BYN556" s="178"/>
      <c r="BYO556" s="178"/>
      <c r="BYP556" s="178"/>
      <c r="BYQ556" s="178"/>
      <c r="BYR556" s="178"/>
      <c r="BYS556" s="178"/>
      <c r="BYT556" s="178"/>
      <c r="BYU556" s="178"/>
      <c r="BYV556" s="178"/>
      <c r="BYW556" s="178"/>
      <c r="BYX556" s="178"/>
      <c r="BYY556" s="178"/>
      <c r="BYZ556" s="178"/>
      <c r="BZA556" s="178"/>
      <c r="BZB556" s="178"/>
      <c r="BZC556" s="178"/>
      <c r="BZD556" s="178"/>
      <c r="BZE556" s="178"/>
      <c r="BZF556" s="178"/>
      <c r="BZG556" s="178"/>
      <c r="BZH556" s="178"/>
      <c r="BZI556" s="178"/>
      <c r="BZJ556" s="178"/>
      <c r="BZK556" s="178"/>
      <c r="BZL556" s="178"/>
      <c r="BZM556" s="178"/>
      <c r="BZN556" s="178"/>
      <c r="BZO556" s="178"/>
      <c r="BZP556" s="178"/>
      <c r="BZQ556" s="178"/>
      <c r="BZR556" s="178"/>
      <c r="BZS556" s="178"/>
      <c r="BZT556" s="178"/>
      <c r="BZU556" s="178"/>
      <c r="BZV556" s="178"/>
      <c r="BZW556" s="178"/>
      <c r="BZX556" s="178"/>
      <c r="BZY556" s="178"/>
      <c r="BZZ556" s="178"/>
      <c r="CAA556" s="178"/>
      <c r="CAB556" s="178"/>
      <c r="CAC556" s="178"/>
      <c r="CAD556" s="178"/>
      <c r="CAE556" s="178"/>
      <c r="CAF556" s="178"/>
      <c r="CAG556" s="178"/>
      <c r="CAH556" s="178"/>
      <c r="CAI556" s="178"/>
      <c r="CAJ556" s="178"/>
      <c r="CAK556" s="178"/>
      <c r="CAL556" s="178"/>
      <c r="CAM556" s="178"/>
      <c r="CAN556" s="178"/>
      <c r="CAO556" s="178"/>
      <c r="CAP556" s="178"/>
      <c r="CAQ556" s="178"/>
      <c r="CAR556" s="178"/>
      <c r="CAS556" s="178"/>
      <c r="CAT556" s="178"/>
      <c r="CAU556" s="178"/>
      <c r="CAV556" s="178"/>
      <c r="CAW556" s="178"/>
      <c r="CAX556" s="178"/>
      <c r="CAY556" s="178"/>
      <c r="CAZ556" s="178"/>
      <c r="CBA556" s="178"/>
      <c r="CBB556" s="178"/>
      <c r="CBC556" s="178"/>
      <c r="CBD556" s="178"/>
      <c r="CBE556" s="178"/>
      <c r="CBF556" s="178"/>
      <c r="CBG556" s="178"/>
      <c r="CBH556" s="178"/>
      <c r="CBI556" s="178"/>
      <c r="CBJ556" s="178"/>
      <c r="CBK556" s="178"/>
      <c r="CBL556" s="178"/>
      <c r="CBM556" s="178"/>
      <c r="CBN556" s="178"/>
      <c r="CBO556" s="178"/>
      <c r="CBP556" s="178"/>
      <c r="CBQ556" s="178"/>
      <c r="CBR556" s="178"/>
      <c r="CBS556" s="178"/>
      <c r="CBT556" s="178"/>
      <c r="CBU556" s="178"/>
      <c r="CBV556" s="178"/>
      <c r="CBW556" s="178"/>
      <c r="CBX556" s="178"/>
      <c r="CBY556" s="178"/>
      <c r="CBZ556" s="178"/>
      <c r="CCA556" s="178"/>
      <c r="CCB556" s="178"/>
      <c r="CCC556" s="178"/>
      <c r="CCD556" s="178"/>
      <c r="CCE556" s="178"/>
      <c r="CCF556" s="178"/>
      <c r="CCG556" s="178"/>
      <c r="CCH556" s="178"/>
      <c r="CCI556" s="178"/>
      <c r="CCJ556" s="178"/>
      <c r="CCK556" s="178"/>
      <c r="CCL556" s="178"/>
      <c r="CCM556" s="178"/>
      <c r="CCN556" s="178"/>
      <c r="CCO556" s="178"/>
      <c r="CCP556" s="178"/>
      <c r="CCQ556" s="178"/>
      <c r="CCR556" s="178"/>
      <c r="CCS556" s="178"/>
      <c r="CCT556" s="178"/>
      <c r="CCU556" s="178"/>
      <c r="CCV556" s="178"/>
      <c r="CCW556" s="178"/>
      <c r="CCX556" s="178"/>
      <c r="CCY556" s="178"/>
      <c r="CCZ556" s="178"/>
      <c r="CDA556" s="178"/>
      <c r="CDB556" s="178"/>
      <c r="CDC556" s="178"/>
      <c r="CDD556" s="178"/>
      <c r="CDE556" s="178"/>
      <c r="CDF556" s="178"/>
      <c r="CDG556" s="178"/>
      <c r="CDH556" s="178"/>
      <c r="CDI556" s="178"/>
      <c r="CDJ556" s="178"/>
      <c r="CDK556" s="178"/>
      <c r="CDL556" s="178"/>
      <c r="CDM556" s="178"/>
      <c r="CDN556" s="178"/>
      <c r="CDO556" s="178"/>
      <c r="CDP556" s="178"/>
      <c r="CDQ556" s="178"/>
      <c r="CDR556" s="178"/>
      <c r="CDS556" s="178"/>
      <c r="CDT556" s="178"/>
      <c r="CDU556" s="178"/>
      <c r="CDV556" s="178"/>
      <c r="CDW556" s="178"/>
      <c r="CDX556" s="178"/>
      <c r="CDY556" s="178"/>
      <c r="CDZ556" s="178"/>
      <c r="CEA556" s="178"/>
      <c r="CEB556" s="178"/>
      <c r="CEC556" s="178"/>
      <c r="CED556" s="178"/>
      <c r="CEE556" s="178"/>
      <c r="CEF556" s="178"/>
      <c r="CEG556" s="178"/>
      <c r="CEH556" s="178"/>
      <c r="CEI556" s="178"/>
      <c r="CEJ556" s="178"/>
      <c r="CEK556" s="178"/>
      <c r="CEL556" s="178"/>
      <c r="CEM556" s="178"/>
      <c r="CEN556" s="178"/>
      <c r="CEO556" s="178"/>
      <c r="CEP556" s="178"/>
      <c r="CEQ556" s="178"/>
      <c r="CER556" s="178"/>
      <c r="CES556" s="178"/>
      <c r="CET556" s="178"/>
      <c r="CEU556" s="178"/>
      <c r="CEV556" s="178"/>
      <c r="CEW556" s="178"/>
      <c r="CEX556" s="178"/>
      <c r="CEY556" s="178"/>
      <c r="CEZ556" s="178"/>
      <c r="CFA556" s="178"/>
      <c r="CFB556" s="178"/>
      <c r="CFC556" s="178"/>
      <c r="CFD556" s="178"/>
      <c r="CFE556" s="178"/>
      <c r="CFF556" s="178"/>
      <c r="CFG556" s="178"/>
      <c r="CFH556" s="178"/>
      <c r="CFI556" s="178"/>
      <c r="CFJ556" s="178"/>
      <c r="CFK556" s="178"/>
      <c r="CFL556" s="178"/>
      <c r="CFM556" s="178"/>
      <c r="CFN556" s="178"/>
      <c r="CFO556" s="178"/>
      <c r="CFP556" s="178"/>
      <c r="CFQ556" s="178"/>
      <c r="CFR556" s="178"/>
      <c r="CFS556" s="178"/>
      <c r="CFT556" s="178"/>
      <c r="CFU556" s="178"/>
      <c r="CFV556" s="178"/>
      <c r="CFW556" s="178"/>
      <c r="CFX556" s="178"/>
      <c r="CFY556" s="178"/>
      <c r="CFZ556" s="178"/>
      <c r="CGA556" s="178"/>
      <c r="CGB556" s="178"/>
      <c r="CGC556" s="178"/>
      <c r="CGD556" s="178"/>
      <c r="CGE556" s="178"/>
      <c r="CGF556" s="178"/>
      <c r="CGG556" s="178"/>
      <c r="CGH556" s="178"/>
      <c r="CGI556" s="178"/>
      <c r="CGJ556" s="178"/>
      <c r="CGK556" s="178"/>
      <c r="CGL556" s="178"/>
      <c r="CGM556" s="178"/>
      <c r="CGN556" s="178"/>
      <c r="CGO556" s="178"/>
      <c r="CGP556" s="178"/>
      <c r="CGQ556" s="178"/>
      <c r="CGR556" s="178"/>
      <c r="CGS556" s="178"/>
      <c r="CGT556" s="178"/>
      <c r="CGU556" s="178"/>
      <c r="CGV556" s="178"/>
      <c r="CGW556" s="178"/>
      <c r="CGX556" s="178"/>
      <c r="CGY556" s="178"/>
      <c r="CGZ556" s="178"/>
      <c r="CHA556" s="178"/>
      <c r="CHB556" s="178"/>
      <c r="CHC556" s="178"/>
      <c r="CHD556" s="178"/>
      <c r="CHE556" s="178"/>
      <c r="CHF556" s="178"/>
      <c r="CHG556" s="178"/>
      <c r="CHH556" s="178"/>
      <c r="CHI556" s="178"/>
      <c r="CHJ556" s="178"/>
      <c r="CHK556" s="178"/>
      <c r="CHL556" s="178"/>
      <c r="CHM556" s="178"/>
      <c r="CHN556" s="178"/>
      <c r="CHO556" s="178"/>
      <c r="CHP556" s="178"/>
      <c r="CHQ556" s="178"/>
      <c r="CHR556" s="178"/>
      <c r="CHS556" s="178"/>
      <c r="CHT556" s="178"/>
      <c r="CHU556" s="178"/>
      <c r="CHV556" s="178"/>
      <c r="CHW556" s="178"/>
      <c r="CHX556" s="178"/>
      <c r="CHY556" s="178"/>
      <c r="CHZ556" s="178"/>
      <c r="CIA556" s="178"/>
      <c r="CIB556" s="178"/>
      <c r="CIC556" s="178"/>
      <c r="CID556" s="178"/>
      <c r="CIE556" s="178"/>
      <c r="CIF556" s="178"/>
      <c r="CIG556" s="178"/>
      <c r="CIH556" s="178"/>
      <c r="CII556" s="178"/>
      <c r="CIJ556" s="178"/>
      <c r="CIK556" s="178"/>
      <c r="CIL556" s="178"/>
      <c r="CIM556" s="178"/>
      <c r="CIN556" s="178"/>
      <c r="CIO556" s="178"/>
      <c r="CIP556" s="178"/>
      <c r="CIQ556" s="178"/>
      <c r="CIR556" s="178"/>
      <c r="CIS556" s="178"/>
      <c r="CIT556" s="178"/>
      <c r="CIU556" s="178"/>
      <c r="CIV556" s="178"/>
      <c r="CIW556" s="178"/>
      <c r="CIX556" s="178"/>
      <c r="CIY556" s="178"/>
      <c r="CIZ556" s="178"/>
      <c r="CJA556" s="178"/>
      <c r="CJB556" s="178"/>
      <c r="CJC556" s="178"/>
      <c r="CJD556" s="178"/>
      <c r="CJE556" s="178"/>
      <c r="CJF556" s="178"/>
      <c r="CJG556" s="178"/>
      <c r="CJH556" s="178"/>
      <c r="CJI556" s="178"/>
      <c r="CJJ556" s="178"/>
      <c r="CJK556" s="178"/>
      <c r="CJL556" s="178"/>
      <c r="CJM556" s="178"/>
      <c r="CJN556" s="178"/>
      <c r="CJO556" s="178"/>
      <c r="CJP556" s="178"/>
      <c r="CJQ556" s="178"/>
      <c r="CJR556" s="178"/>
      <c r="CJS556" s="178"/>
      <c r="CJT556" s="178"/>
      <c r="CJU556" s="178"/>
      <c r="CJV556" s="178"/>
      <c r="CJW556" s="178"/>
      <c r="CJX556" s="178"/>
      <c r="CJY556" s="178"/>
      <c r="CJZ556" s="178"/>
      <c r="CKA556" s="178"/>
      <c r="CKB556" s="178"/>
      <c r="CKC556" s="178"/>
      <c r="CKD556" s="178"/>
      <c r="CKE556" s="178"/>
      <c r="CKF556" s="178"/>
      <c r="CKG556" s="178"/>
      <c r="CKH556" s="178"/>
      <c r="CKI556" s="178"/>
      <c r="CKJ556" s="178"/>
      <c r="CKK556" s="178"/>
      <c r="CKL556" s="178"/>
      <c r="CKM556" s="178"/>
      <c r="CKN556" s="178"/>
      <c r="CKO556" s="178"/>
      <c r="CKP556" s="178"/>
      <c r="CKQ556" s="178"/>
      <c r="CKR556" s="178"/>
      <c r="CKS556" s="178"/>
      <c r="CKT556" s="178"/>
      <c r="CKU556" s="178"/>
      <c r="CKV556" s="178"/>
      <c r="CKW556" s="178"/>
      <c r="CKX556" s="178"/>
      <c r="CKY556" s="178"/>
      <c r="CKZ556" s="178"/>
      <c r="CLA556" s="178"/>
      <c r="CLB556" s="178"/>
      <c r="CLC556" s="178"/>
      <c r="CLD556" s="178"/>
      <c r="CLE556" s="178"/>
      <c r="CLF556" s="178"/>
      <c r="CLG556" s="178"/>
      <c r="CLH556" s="178"/>
      <c r="CLI556" s="178"/>
      <c r="CLJ556" s="178"/>
      <c r="CLK556" s="178"/>
      <c r="CLL556" s="178"/>
      <c r="CLM556" s="178"/>
      <c r="CLN556" s="178"/>
      <c r="CLO556" s="178"/>
      <c r="CLP556" s="178"/>
      <c r="CLQ556" s="178"/>
      <c r="CLR556" s="178"/>
      <c r="CLS556" s="178"/>
      <c r="CLT556" s="178"/>
      <c r="CLU556" s="178"/>
      <c r="CLV556" s="178"/>
      <c r="CLW556" s="178"/>
      <c r="CLX556" s="178"/>
      <c r="CLY556" s="178"/>
      <c r="CLZ556" s="178"/>
      <c r="CMA556" s="178"/>
      <c r="CMB556" s="178"/>
      <c r="CMC556" s="178"/>
      <c r="CMD556" s="178"/>
      <c r="CME556" s="178"/>
      <c r="CMF556" s="178"/>
      <c r="CMG556" s="178"/>
      <c r="CMH556" s="178"/>
      <c r="CMI556" s="178"/>
      <c r="CMJ556" s="178"/>
      <c r="CMK556" s="178"/>
      <c r="CML556" s="178"/>
      <c r="CMM556" s="178"/>
      <c r="CMN556" s="178"/>
      <c r="CMO556" s="178"/>
      <c r="CMP556" s="178"/>
      <c r="CMQ556" s="178"/>
      <c r="CMR556" s="178"/>
      <c r="CMS556" s="178"/>
      <c r="CMT556" s="178"/>
      <c r="CMU556" s="178"/>
      <c r="CMV556" s="178"/>
      <c r="CMW556" s="178"/>
      <c r="CMX556" s="178"/>
      <c r="CMY556" s="178"/>
      <c r="CMZ556" s="178"/>
      <c r="CNA556" s="178"/>
      <c r="CNB556" s="178"/>
      <c r="CNC556" s="178"/>
      <c r="CND556" s="178"/>
      <c r="CNE556" s="178"/>
      <c r="CNF556" s="178"/>
      <c r="CNG556" s="178"/>
      <c r="CNH556" s="178"/>
      <c r="CNI556" s="178"/>
      <c r="CNJ556" s="178"/>
      <c r="CNK556" s="178"/>
      <c r="CNL556" s="178"/>
      <c r="CNM556" s="178"/>
      <c r="CNN556" s="178"/>
      <c r="CNO556" s="178"/>
      <c r="CNP556" s="178"/>
      <c r="CNQ556" s="178"/>
      <c r="CNR556" s="178"/>
      <c r="CNS556" s="178"/>
      <c r="CNT556" s="178"/>
      <c r="CNU556" s="178"/>
      <c r="CNV556" s="178"/>
      <c r="CNW556" s="178"/>
      <c r="CNX556" s="178"/>
      <c r="CNY556" s="178"/>
      <c r="CNZ556" s="178"/>
      <c r="COA556" s="178"/>
      <c r="COB556" s="178"/>
      <c r="COC556" s="178"/>
      <c r="COD556" s="178"/>
      <c r="COE556" s="178"/>
      <c r="COF556" s="178"/>
      <c r="COG556" s="178"/>
      <c r="COH556" s="178"/>
      <c r="COI556" s="178"/>
      <c r="COJ556" s="178"/>
      <c r="COK556" s="178"/>
      <c r="COL556" s="178"/>
      <c r="COM556" s="178"/>
      <c r="CON556" s="178"/>
      <c r="COO556" s="178"/>
      <c r="COP556" s="178"/>
      <c r="COQ556" s="178"/>
      <c r="COR556" s="178"/>
      <c r="COS556" s="178"/>
      <c r="COT556" s="178"/>
      <c r="COU556" s="178"/>
      <c r="COV556" s="178"/>
      <c r="COW556" s="178"/>
      <c r="COX556" s="178"/>
      <c r="COY556" s="178"/>
      <c r="COZ556" s="178"/>
      <c r="CPA556" s="178"/>
      <c r="CPB556" s="178"/>
      <c r="CPC556" s="178"/>
      <c r="CPD556" s="178"/>
      <c r="CPE556" s="178"/>
      <c r="CPF556" s="178"/>
      <c r="CPG556" s="178"/>
      <c r="CPH556" s="178"/>
      <c r="CPI556" s="178"/>
      <c r="CPJ556" s="178"/>
      <c r="CPK556" s="178"/>
      <c r="CPL556" s="178"/>
      <c r="CPM556" s="178"/>
      <c r="CPN556" s="178"/>
      <c r="CPO556" s="178"/>
      <c r="CPP556" s="178"/>
      <c r="CPQ556" s="178"/>
      <c r="CPR556" s="178"/>
      <c r="CPS556" s="178"/>
      <c r="CPT556" s="178"/>
      <c r="CPU556" s="178"/>
      <c r="CPV556" s="178"/>
      <c r="CPW556" s="178"/>
      <c r="CPX556" s="178"/>
      <c r="CPY556" s="178"/>
      <c r="CPZ556" s="178"/>
      <c r="CQA556" s="178"/>
      <c r="CQB556" s="178"/>
      <c r="CQC556" s="178"/>
      <c r="CQD556" s="178"/>
      <c r="CQE556" s="178"/>
      <c r="CQF556" s="178"/>
      <c r="CQG556" s="178"/>
      <c r="CQH556" s="178"/>
      <c r="CQI556" s="178"/>
      <c r="CQJ556" s="178"/>
      <c r="CQK556" s="178"/>
      <c r="CQL556" s="178"/>
      <c r="CQM556" s="178"/>
      <c r="CQN556" s="178"/>
      <c r="CQO556" s="178"/>
      <c r="CQP556" s="178"/>
      <c r="CQQ556" s="178"/>
      <c r="CQR556" s="178"/>
      <c r="CQS556" s="178"/>
      <c r="CQT556" s="178"/>
      <c r="CQU556" s="178"/>
      <c r="CQV556" s="178"/>
      <c r="CQW556" s="178"/>
      <c r="CQX556" s="178"/>
      <c r="CQY556" s="178"/>
      <c r="CQZ556" s="178"/>
      <c r="CRA556" s="178"/>
      <c r="CRB556" s="178"/>
      <c r="CRC556" s="178"/>
      <c r="CRD556" s="178"/>
      <c r="CRE556" s="178"/>
      <c r="CRF556" s="178"/>
      <c r="CRG556" s="178"/>
      <c r="CRH556" s="178"/>
      <c r="CRI556" s="178"/>
      <c r="CRJ556" s="178"/>
      <c r="CRK556" s="178"/>
      <c r="CRL556" s="178"/>
      <c r="CRM556" s="178"/>
      <c r="CRN556" s="178"/>
      <c r="CRO556" s="178"/>
      <c r="CRP556" s="178"/>
      <c r="CRQ556" s="178"/>
      <c r="CRR556" s="178"/>
      <c r="CRS556" s="178"/>
      <c r="CRT556" s="178"/>
      <c r="CRU556" s="178"/>
      <c r="CRV556" s="178"/>
      <c r="CRW556" s="178"/>
      <c r="CRX556" s="178"/>
      <c r="CRY556" s="178"/>
      <c r="CRZ556" s="178"/>
      <c r="CSA556" s="178"/>
      <c r="CSB556" s="178"/>
      <c r="CSC556" s="178"/>
      <c r="CSD556" s="178"/>
      <c r="CSE556" s="178"/>
      <c r="CSF556" s="178"/>
      <c r="CSG556" s="178"/>
      <c r="CSH556" s="178"/>
      <c r="CSI556" s="178"/>
      <c r="CSJ556" s="178"/>
      <c r="CSK556" s="178"/>
      <c r="CSL556" s="178"/>
      <c r="CSM556" s="178"/>
      <c r="CSN556" s="178"/>
      <c r="CSO556" s="178"/>
      <c r="CSP556" s="178"/>
      <c r="CSQ556" s="178"/>
      <c r="CSR556" s="178"/>
      <c r="CSS556" s="178"/>
      <c r="CST556" s="178"/>
      <c r="CSU556" s="178"/>
      <c r="CSV556" s="178"/>
      <c r="CSW556" s="178"/>
      <c r="CSX556" s="178"/>
      <c r="CSY556" s="178"/>
      <c r="CSZ556" s="178"/>
      <c r="CTA556" s="178"/>
      <c r="CTB556" s="178"/>
      <c r="CTC556" s="178"/>
      <c r="CTD556" s="178"/>
      <c r="CTE556" s="178"/>
      <c r="CTF556" s="178"/>
      <c r="CTG556" s="178"/>
      <c r="CTH556" s="178"/>
      <c r="CTI556" s="178"/>
      <c r="CTJ556" s="178"/>
      <c r="CTK556" s="178"/>
      <c r="CTL556" s="178"/>
      <c r="CTM556" s="178"/>
      <c r="CTN556" s="178"/>
      <c r="CTO556" s="178"/>
      <c r="CTP556" s="178"/>
      <c r="CTQ556" s="178"/>
      <c r="CTR556" s="178"/>
      <c r="CTS556" s="178"/>
      <c r="CTT556" s="178"/>
      <c r="CTU556" s="178"/>
      <c r="CTV556" s="178"/>
      <c r="CTW556" s="178"/>
      <c r="CTX556" s="178"/>
      <c r="CTY556" s="178"/>
      <c r="CTZ556" s="178"/>
      <c r="CUA556" s="178"/>
      <c r="CUB556" s="178"/>
      <c r="CUC556" s="178"/>
      <c r="CUD556" s="178"/>
      <c r="CUE556" s="178"/>
      <c r="CUF556" s="178"/>
      <c r="CUG556" s="178"/>
      <c r="CUH556" s="178"/>
      <c r="CUI556" s="178"/>
      <c r="CUJ556" s="178"/>
      <c r="CUK556" s="178"/>
      <c r="CUL556" s="178"/>
      <c r="CUM556" s="178"/>
      <c r="CUN556" s="178"/>
      <c r="CUO556" s="178"/>
      <c r="CUP556" s="178"/>
      <c r="CUQ556" s="178"/>
      <c r="CUR556" s="178"/>
      <c r="CUS556" s="178"/>
      <c r="CUT556" s="178"/>
      <c r="CUU556" s="178"/>
      <c r="CUV556" s="178"/>
      <c r="CUW556" s="178"/>
      <c r="CUX556" s="178"/>
      <c r="CUY556" s="178"/>
      <c r="CUZ556" s="178"/>
      <c r="CVA556" s="178"/>
      <c r="CVB556" s="178"/>
      <c r="CVC556" s="178"/>
      <c r="CVD556" s="178"/>
      <c r="CVE556" s="178"/>
      <c r="CVF556" s="178"/>
      <c r="CVG556" s="178"/>
      <c r="CVH556" s="178"/>
      <c r="CVI556" s="178"/>
      <c r="CVJ556" s="178"/>
      <c r="CVK556" s="178"/>
      <c r="CVL556" s="178"/>
      <c r="CVM556" s="178"/>
      <c r="CVN556" s="178"/>
      <c r="CVO556" s="178"/>
      <c r="CVP556" s="178"/>
      <c r="CVQ556" s="178"/>
      <c r="CVR556" s="178"/>
      <c r="CVS556" s="178"/>
      <c r="CVT556" s="178"/>
      <c r="CVU556" s="178"/>
      <c r="CVV556" s="178"/>
      <c r="CVW556" s="178"/>
      <c r="CVX556" s="178"/>
      <c r="CVY556" s="178"/>
      <c r="CVZ556" s="178"/>
      <c r="CWA556" s="178"/>
      <c r="CWB556" s="178"/>
      <c r="CWC556" s="178"/>
      <c r="CWD556" s="178"/>
      <c r="CWE556" s="178"/>
      <c r="CWF556" s="178"/>
      <c r="CWG556" s="178"/>
      <c r="CWH556" s="178"/>
      <c r="CWI556" s="178"/>
      <c r="CWJ556" s="178"/>
      <c r="CWK556" s="178"/>
      <c r="CWL556" s="178"/>
      <c r="CWM556" s="178"/>
      <c r="CWN556" s="178"/>
      <c r="CWO556" s="178"/>
      <c r="CWP556" s="178"/>
      <c r="CWQ556" s="178"/>
      <c r="CWR556" s="178"/>
      <c r="CWS556" s="178"/>
      <c r="CWT556" s="178"/>
      <c r="CWU556" s="178"/>
      <c r="CWV556" s="178"/>
      <c r="CWW556" s="178"/>
      <c r="CWX556" s="178"/>
      <c r="CWY556" s="178"/>
      <c r="CWZ556" s="178"/>
      <c r="CXA556" s="178"/>
      <c r="CXB556" s="178"/>
      <c r="CXC556" s="178"/>
      <c r="CXD556" s="178"/>
      <c r="CXE556" s="178"/>
      <c r="CXF556" s="178"/>
      <c r="CXG556" s="178"/>
      <c r="CXH556" s="178"/>
      <c r="CXI556" s="178"/>
      <c r="CXJ556" s="178"/>
      <c r="CXK556" s="178"/>
      <c r="CXL556" s="178"/>
      <c r="CXM556" s="178"/>
      <c r="CXN556" s="178"/>
      <c r="CXO556" s="178"/>
      <c r="CXP556" s="178"/>
      <c r="CXQ556" s="178"/>
      <c r="CXR556" s="178"/>
      <c r="CXS556" s="178"/>
      <c r="CXT556" s="178"/>
      <c r="CXU556" s="178"/>
      <c r="CXV556" s="178"/>
      <c r="CXW556" s="178"/>
      <c r="CXX556" s="178"/>
      <c r="CXY556" s="178"/>
      <c r="CXZ556" s="178"/>
      <c r="CYA556" s="178"/>
      <c r="CYB556" s="178"/>
      <c r="CYC556" s="178"/>
      <c r="CYD556" s="178"/>
      <c r="CYE556" s="178"/>
      <c r="CYF556" s="178"/>
      <c r="CYG556" s="178"/>
      <c r="CYH556" s="178"/>
      <c r="CYI556" s="178"/>
      <c r="CYJ556" s="178"/>
      <c r="CYK556" s="178"/>
      <c r="CYL556" s="178"/>
      <c r="CYM556" s="178"/>
      <c r="CYN556" s="178"/>
      <c r="CYO556" s="178"/>
      <c r="CYP556" s="178"/>
      <c r="CYQ556" s="178"/>
      <c r="CYR556" s="178"/>
      <c r="CYS556" s="178"/>
      <c r="CYT556" s="178"/>
      <c r="CYU556" s="178"/>
      <c r="CYV556" s="178"/>
      <c r="CYW556" s="178"/>
      <c r="CYX556" s="178"/>
      <c r="CYY556" s="178"/>
      <c r="CYZ556" s="178"/>
      <c r="CZA556" s="178"/>
      <c r="CZB556" s="178"/>
      <c r="CZC556" s="178"/>
      <c r="CZD556" s="178"/>
      <c r="CZE556" s="178"/>
      <c r="CZF556" s="178"/>
      <c r="CZG556" s="178"/>
      <c r="CZH556" s="178"/>
      <c r="CZI556" s="178"/>
      <c r="CZJ556" s="178"/>
      <c r="CZK556" s="178"/>
      <c r="CZL556" s="178"/>
      <c r="CZM556" s="178"/>
      <c r="CZN556" s="178"/>
      <c r="CZO556" s="178"/>
      <c r="CZP556" s="178"/>
      <c r="CZQ556" s="178"/>
      <c r="CZR556" s="178"/>
      <c r="CZS556" s="178"/>
      <c r="CZT556" s="178"/>
      <c r="CZU556" s="178"/>
      <c r="CZV556" s="178"/>
      <c r="CZW556" s="178"/>
      <c r="CZX556" s="178"/>
      <c r="CZY556" s="178"/>
      <c r="CZZ556" s="178"/>
      <c r="DAA556" s="178"/>
      <c r="DAB556" s="178"/>
      <c r="DAC556" s="178"/>
      <c r="DAD556" s="178"/>
      <c r="DAE556" s="178"/>
      <c r="DAF556" s="178"/>
      <c r="DAG556" s="178"/>
      <c r="DAH556" s="178"/>
      <c r="DAI556" s="178"/>
      <c r="DAJ556" s="178"/>
      <c r="DAK556" s="178"/>
      <c r="DAL556" s="178"/>
      <c r="DAM556" s="178"/>
      <c r="DAN556" s="178"/>
      <c r="DAO556" s="178"/>
      <c r="DAP556" s="178"/>
      <c r="DAQ556" s="178"/>
      <c r="DAR556" s="178"/>
      <c r="DAS556" s="178"/>
      <c r="DAT556" s="178"/>
      <c r="DAU556" s="178"/>
      <c r="DAV556" s="178"/>
      <c r="DAW556" s="178"/>
      <c r="DAX556" s="178"/>
      <c r="DAY556" s="178"/>
      <c r="DAZ556" s="178"/>
      <c r="DBA556" s="178"/>
      <c r="DBB556" s="178"/>
      <c r="DBC556" s="178"/>
      <c r="DBD556" s="178"/>
      <c r="DBE556" s="178"/>
      <c r="DBF556" s="178"/>
      <c r="DBG556" s="178"/>
      <c r="DBH556" s="178"/>
      <c r="DBI556" s="178"/>
      <c r="DBJ556" s="178"/>
      <c r="DBK556" s="178"/>
      <c r="DBL556" s="178"/>
      <c r="DBM556" s="178"/>
      <c r="DBN556" s="178"/>
      <c r="DBO556" s="178"/>
      <c r="DBP556" s="178"/>
      <c r="DBQ556" s="178"/>
      <c r="DBR556" s="178"/>
      <c r="DBS556" s="178"/>
      <c r="DBT556" s="178"/>
      <c r="DBU556" s="178"/>
      <c r="DBV556" s="178"/>
      <c r="DBW556" s="178"/>
      <c r="DBX556" s="178"/>
      <c r="DBY556" s="178"/>
      <c r="DBZ556" s="178"/>
      <c r="DCA556" s="178"/>
      <c r="DCB556" s="178"/>
      <c r="DCC556" s="178"/>
      <c r="DCD556" s="178"/>
      <c r="DCE556" s="178"/>
      <c r="DCF556" s="178"/>
      <c r="DCG556" s="178"/>
      <c r="DCH556" s="178"/>
      <c r="DCI556" s="178"/>
      <c r="DCJ556" s="178"/>
      <c r="DCK556" s="178"/>
      <c r="DCL556" s="178"/>
      <c r="DCM556" s="178"/>
      <c r="DCN556" s="178"/>
      <c r="DCO556" s="178"/>
      <c r="DCP556" s="178"/>
      <c r="DCQ556" s="178"/>
      <c r="DCR556" s="178"/>
      <c r="DCS556" s="178"/>
      <c r="DCT556" s="178"/>
      <c r="DCU556" s="178"/>
      <c r="DCV556" s="178"/>
      <c r="DCW556" s="178"/>
      <c r="DCX556" s="178"/>
      <c r="DCY556" s="178"/>
      <c r="DCZ556" s="178"/>
      <c r="DDA556" s="178"/>
      <c r="DDB556" s="178"/>
      <c r="DDC556" s="178"/>
      <c r="DDD556" s="178"/>
      <c r="DDE556" s="178"/>
      <c r="DDF556" s="178"/>
      <c r="DDG556" s="178"/>
      <c r="DDH556" s="178"/>
      <c r="DDI556" s="178"/>
      <c r="DDJ556" s="178"/>
      <c r="DDK556" s="178"/>
      <c r="DDL556" s="178"/>
      <c r="DDM556" s="178"/>
      <c r="DDN556" s="178"/>
      <c r="DDO556" s="178"/>
      <c r="DDP556" s="178"/>
      <c r="DDQ556" s="178"/>
      <c r="DDR556" s="178"/>
      <c r="DDS556" s="178"/>
      <c r="DDT556" s="178"/>
      <c r="DDU556" s="178"/>
      <c r="DDV556" s="178"/>
      <c r="DDW556" s="178"/>
      <c r="DDX556" s="178"/>
      <c r="DDY556" s="178"/>
      <c r="DDZ556" s="178"/>
      <c r="DEA556" s="178"/>
      <c r="DEB556" s="178"/>
      <c r="DEC556" s="178"/>
      <c r="DED556" s="178"/>
      <c r="DEE556" s="178"/>
      <c r="DEF556" s="178"/>
      <c r="DEG556" s="178"/>
      <c r="DEH556" s="178"/>
      <c r="DEI556" s="178"/>
      <c r="DEJ556" s="178"/>
      <c r="DEK556" s="178"/>
      <c r="DEL556" s="178"/>
      <c r="DEM556" s="178"/>
      <c r="DEN556" s="178"/>
      <c r="DEO556" s="178"/>
      <c r="DEP556" s="178"/>
      <c r="DEQ556" s="178"/>
      <c r="DER556" s="178"/>
      <c r="DES556" s="178"/>
      <c r="DET556" s="178"/>
      <c r="DEU556" s="178"/>
      <c r="DEV556" s="178"/>
      <c r="DEW556" s="178"/>
      <c r="DEX556" s="178"/>
      <c r="DEY556" s="178"/>
      <c r="DEZ556" s="178"/>
      <c r="DFA556" s="178"/>
      <c r="DFB556" s="178"/>
      <c r="DFC556" s="178"/>
      <c r="DFD556" s="178"/>
      <c r="DFE556" s="178"/>
      <c r="DFF556" s="178"/>
      <c r="DFG556" s="178"/>
      <c r="DFH556" s="178"/>
      <c r="DFI556" s="178"/>
      <c r="DFJ556" s="178"/>
      <c r="DFK556" s="178"/>
      <c r="DFL556" s="178"/>
      <c r="DFM556" s="178"/>
      <c r="DFN556" s="178"/>
      <c r="DFO556" s="178"/>
      <c r="DFP556" s="178"/>
      <c r="DFQ556" s="178"/>
      <c r="DFR556" s="178"/>
      <c r="DFS556" s="178"/>
      <c r="DFT556" s="178"/>
      <c r="DFU556" s="178"/>
      <c r="DFV556" s="178"/>
      <c r="DFW556" s="178"/>
      <c r="DFX556" s="178"/>
      <c r="DFY556" s="178"/>
      <c r="DFZ556" s="178"/>
      <c r="DGA556" s="178"/>
      <c r="DGB556" s="178"/>
      <c r="DGC556" s="178"/>
      <c r="DGD556" s="178"/>
      <c r="DGE556" s="178"/>
      <c r="DGF556" s="178"/>
      <c r="DGG556" s="178"/>
      <c r="DGH556" s="178"/>
      <c r="DGI556" s="178"/>
      <c r="DGJ556" s="178"/>
      <c r="DGK556" s="178"/>
      <c r="DGL556" s="178"/>
      <c r="DGM556" s="178"/>
      <c r="DGN556" s="178"/>
      <c r="DGO556" s="178"/>
      <c r="DGP556" s="178"/>
      <c r="DGQ556" s="178"/>
      <c r="DGR556" s="178"/>
      <c r="DGS556" s="178"/>
      <c r="DGT556" s="178"/>
      <c r="DGU556" s="178"/>
      <c r="DGV556" s="178"/>
      <c r="DGW556" s="178"/>
      <c r="DGX556" s="178"/>
      <c r="DGY556" s="178"/>
      <c r="DGZ556" s="178"/>
      <c r="DHA556" s="178"/>
      <c r="DHB556" s="178"/>
      <c r="DHC556" s="178"/>
      <c r="DHD556" s="178"/>
      <c r="DHE556" s="178"/>
      <c r="DHF556" s="178"/>
      <c r="DHG556" s="178"/>
      <c r="DHH556" s="178"/>
      <c r="DHI556" s="178"/>
      <c r="DHJ556" s="178"/>
      <c r="DHK556" s="178"/>
      <c r="DHL556" s="178"/>
      <c r="DHM556" s="178"/>
      <c r="DHN556" s="178"/>
      <c r="DHO556" s="178"/>
      <c r="DHP556" s="178"/>
      <c r="DHQ556" s="178"/>
      <c r="DHR556" s="178"/>
      <c r="DHS556" s="178"/>
      <c r="DHT556" s="178"/>
      <c r="DHU556" s="178"/>
      <c r="DHV556" s="178"/>
      <c r="DHW556" s="178"/>
      <c r="DHX556" s="178"/>
      <c r="DHY556" s="178"/>
      <c r="DHZ556" s="178"/>
      <c r="DIA556" s="178"/>
      <c r="DIB556" s="178"/>
      <c r="DIC556" s="178"/>
      <c r="DID556" s="178"/>
      <c r="DIE556" s="178"/>
      <c r="DIF556" s="178"/>
      <c r="DIG556" s="178"/>
      <c r="DIH556" s="178"/>
      <c r="DII556" s="178"/>
      <c r="DIJ556" s="178"/>
      <c r="DIK556" s="178"/>
      <c r="DIL556" s="178"/>
      <c r="DIM556" s="178"/>
      <c r="DIN556" s="178"/>
      <c r="DIO556" s="178"/>
      <c r="DIP556" s="178"/>
      <c r="DIQ556" s="178"/>
      <c r="DIR556" s="178"/>
      <c r="DIS556" s="178"/>
      <c r="DIT556" s="178"/>
      <c r="DIU556" s="178"/>
      <c r="DIV556" s="178"/>
      <c r="DIW556" s="178"/>
      <c r="DIX556" s="178"/>
      <c r="DIY556" s="178"/>
      <c r="DIZ556" s="178"/>
      <c r="DJA556" s="178"/>
      <c r="DJB556" s="178"/>
      <c r="DJC556" s="178"/>
      <c r="DJD556" s="178"/>
      <c r="DJE556" s="178"/>
      <c r="DJF556" s="178"/>
      <c r="DJG556" s="178"/>
      <c r="DJH556" s="178"/>
      <c r="DJI556" s="178"/>
      <c r="DJJ556" s="178"/>
      <c r="DJK556" s="178"/>
      <c r="DJL556" s="178"/>
      <c r="DJM556" s="178"/>
      <c r="DJN556" s="178"/>
      <c r="DJO556" s="178"/>
      <c r="DJP556" s="178"/>
      <c r="DJQ556" s="178"/>
      <c r="DJR556" s="178"/>
      <c r="DJS556" s="178"/>
      <c r="DJT556" s="178"/>
      <c r="DJU556" s="178"/>
      <c r="DJV556" s="178"/>
      <c r="DJW556" s="178"/>
      <c r="DJX556" s="178"/>
      <c r="DJY556" s="178"/>
      <c r="DJZ556" s="178"/>
      <c r="DKA556" s="178"/>
      <c r="DKB556" s="178"/>
      <c r="DKC556" s="178"/>
      <c r="DKD556" s="178"/>
      <c r="DKE556" s="178"/>
      <c r="DKF556" s="178"/>
      <c r="DKG556" s="178"/>
      <c r="DKH556" s="178"/>
      <c r="DKI556" s="178"/>
      <c r="DKJ556" s="178"/>
      <c r="DKK556" s="178"/>
      <c r="DKL556" s="178"/>
      <c r="DKM556" s="178"/>
      <c r="DKN556" s="178"/>
      <c r="DKO556" s="178"/>
      <c r="DKP556" s="178"/>
      <c r="DKQ556" s="178"/>
      <c r="DKR556" s="178"/>
      <c r="DKS556" s="178"/>
      <c r="DKT556" s="178"/>
      <c r="DKU556" s="178"/>
      <c r="DKV556" s="178"/>
      <c r="DKW556" s="178"/>
      <c r="DKX556" s="178"/>
      <c r="DKY556" s="178"/>
      <c r="DKZ556" s="178"/>
      <c r="DLA556" s="178"/>
      <c r="DLB556" s="178"/>
      <c r="DLC556" s="178"/>
      <c r="DLD556" s="178"/>
      <c r="DLE556" s="178"/>
      <c r="DLF556" s="178"/>
      <c r="DLG556" s="178"/>
      <c r="DLH556" s="178"/>
      <c r="DLI556" s="178"/>
      <c r="DLJ556" s="178"/>
      <c r="DLK556" s="178"/>
      <c r="DLL556" s="178"/>
      <c r="DLM556" s="178"/>
      <c r="DLN556" s="178"/>
      <c r="DLO556" s="178"/>
      <c r="DLP556" s="178"/>
      <c r="DLQ556" s="178"/>
      <c r="DLR556" s="178"/>
      <c r="DLS556" s="178"/>
      <c r="DLT556" s="178"/>
      <c r="DLU556" s="178"/>
      <c r="DLV556" s="178"/>
      <c r="DLW556" s="178"/>
      <c r="DLX556" s="178"/>
      <c r="DLY556" s="178"/>
      <c r="DLZ556" s="178"/>
      <c r="DMA556" s="178"/>
      <c r="DMB556" s="178"/>
      <c r="DMC556" s="178"/>
      <c r="DMD556" s="178"/>
      <c r="DME556" s="178"/>
      <c r="DMF556" s="178"/>
      <c r="DMG556" s="178"/>
      <c r="DMH556" s="178"/>
      <c r="DMI556" s="178"/>
      <c r="DMJ556" s="178"/>
      <c r="DMK556" s="178"/>
      <c r="DML556" s="178"/>
      <c r="DMM556" s="178"/>
      <c r="DMN556" s="178"/>
      <c r="DMO556" s="178"/>
      <c r="DMP556" s="178"/>
      <c r="DMQ556" s="178"/>
      <c r="DMR556" s="178"/>
      <c r="DMS556" s="178"/>
      <c r="DMT556" s="178"/>
      <c r="DMU556" s="178"/>
      <c r="DMV556" s="178"/>
      <c r="DMW556" s="178"/>
      <c r="DMX556" s="178"/>
      <c r="DMY556" s="178"/>
      <c r="DMZ556" s="178"/>
      <c r="DNA556" s="178"/>
      <c r="DNB556" s="178"/>
      <c r="DNC556" s="178"/>
      <c r="DND556" s="178"/>
      <c r="DNE556" s="178"/>
      <c r="DNF556" s="178"/>
      <c r="DNG556" s="178"/>
      <c r="DNH556" s="178"/>
      <c r="DNI556" s="178"/>
      <c r="DNJ556" s="178"/>
      <c r="DNK556" s="178"/>
      <c r="DNL556" s="178"/>
      <c r="DNM556" s="178"/>
      <c r="DNN556" s="178"/>
      <c r="DNO556" s="178"/>
      <c r="DNP556" s="178"/>
      <c r="DNQ556" s="178"/>
      <c r="DNR556" s="178"/>
      <c r="DNS556" s="178"/>
      <c r="DNT556" s="178"/>
      <c r="DNU556" s="178"/>
      <c r="DNV556" s="178"/>
      <c r="DNW556" s="178"/>
      <c r="DNX556" s="178"/>
      <c r="DNY556" s="178"/>
      <c r="DNZ556" s="178"/>
      <c r="DOA556" s="178"/>
      <c r="DOB556" s="178"/>
      <c r="DOC556" s="178"/>
      <c r="DOD556" s="178"/>
      <c r="DOE556" s="178"/>
      <c r="DOF556" s="178"/>
      <c r="DOG556" s="178"/>
      <c r="DOH556" s="178"/>
      <c r="DOI556" s="178"/>
      <c r="DOJ556" s="178"/>
      <c r="DOK556" s="178"/>
      <c r="DOL556" s="178"/>
      <c r="DOM556" s="178"/>
      <c r="DON556" s="178"/>
      <c r="DOO556" s="178"/>
      <c r="DOP556" s="178"/>
      <c r="DOQ556" s="178"/>
      <c r="DOR556" s="178"/>
      <c r="DOS556" s="178"/>
      <c r="DOT556" s="178"/>
      <c r="DOU556" s="178"/>
      <c r="DOV556" s="178"/>
      <c r="DOW556" s="178"/>
      <c r="DOX556" s="178"/>
      <c r="DOY556" s="178"/>
      <c r="DOZ556" s="178"/>
      <c r="DPA556" s="178"/>
      <c r="DPB556" s="178"/>
      <c r="DPC556" s="178"/>
      <c r="DPD556" s="178"/>
      <c r="DPE556" s="178"/>
      <c r="DPF556" s="178"/>
      <c r="DPG556" s="178"/>
      <c r="DPH556" s="178"/>
      <c r="DPI556" s="178"/>
      <c r="DPJ556" s="178"/>
      <c r="DPK556" s="178"/>
      <c r="DPL556" s="178"/>
      <c r="DPM556" s="178"/>
      <c r="DPN556" s="178"/>
      <c r="DPO556" s="178"/>
      <c r="DPP556" s="178"/>
      <c r="DPQ556" s="178"/>
      <c r="DPR556" s="178"/>
      <c r="DPS556" s="178"/>
      <c r="DPT556" s="178"/>
      <c r="DPU556" s="178"/>
      <c r="DPV556" s="178"/>
      <c r="DPW556" s="178"/>
      <c r="DPX556" s="178"/>
      <c r="DPY556" s="178"/>
      <c r="DPZ556" s="178"/>
      <c r="DQA556" s="178"/>
      <c r="DQB556" s="178"/>
      <c r="DQC556" s="178"/>
      <c r="DQD556" s="178"/>
      <c r="DQE556" s="178"/>
      <c r="DQF556" s="178"/>
      <c r="DQG556" s="178"/>
      <c r="DQH556" s="178"/>
      <c r="DQI556" s="178"/>
      <c r="DQJ556" s="178"/>
      <c r="DQK556" s="178"/>
      <c r="DQL556" s="178"/>
      <c r="DQM556" s="178"/>
      <c r="DQN556" s="178"/>
      <c r="DQO556" s="178"/>
      <c r="DQP556" s="178"/>
      <c r="DQQ556" s="178"/>
      <c r="DQR556" s="178"/>
      <c r="DQS556" s="178"/>
      <c r="DQT556" s="178"/>
      <c r="DQU556" s="178"/>
      <c r="DQV556" s="178"/>
      <c r="DQW556" s="178"/>
      <c r="DQX556" s="178"/>
      <c r="DQY556" s="178"/>
      <c r="DQZ556" s="178"/>
      <c r="DRA556" s="178"/>
      <c r="DRB556" s="178"/>
      <c r="DRC556" s="178"/>
      <c r="DRD556" s="178"/>
      <c r="DRE556" s="178"/>
      <c r="DRF556" s="178"/>
      <c r="DRG556" s="178"/>
      <c r="DRH556" s="178"/>
      <c r="DRI556" s="178"/>
      <c r="DRJ556" s="178"/>
      <c r="DRK556" s="178"/>
      <c r="DRL556" s="178"/>
      <c r="DRM556" s="178"/>
      <c r="DRN556" s="178"/>
      <c r="DRO556" s="178"/>
      <c r="DRP556" s="178"/>
      <c r="DRQ556" s="178"/>
      <c r="DRR556" s="178"/>
      <c r="DRS556" s="178"/>
      <c r="DRT556" s="178"/>
      <c r="DRU556" s="178"/>
      <c r="DRV556" s="178"/>
      <c r="DRW556" s="178"/>
      <c r="DRX556" s="178"/>
      <c r="DRY556" s="178"/>
      <c r="DRZ556" s="178"/>
      <c r="DSA556" s="178"/>
      <c r="DSB556" s="178"/>
      <c r="DSC556" s="178"/>
      <c r="DSD556" s="178"/>
      <c r="DSE556" s="178"/>
      <c r="DSF556" s="178"/>
      <c r="DSG556" s="178"/>
      <c r="DSH556" s="178"/>
      <c r="DSI556" s="178"/>
      <c r="DSJ556" s="178"/>
      <c r="DSK556" s="178"/>
      <c r="DSL556" s="178"/>
      <c r="DSM556" s="178"/>
      <c r="DSN556" s="178"/>
      <c r="DSO556" s="178"/>
      <c r="DSP556" s="178"/>
      <c r="DSQ556" s="178"/>
      <c r="DSR556" s="178"/>
      <c r="DSS556" s="178"/>
      <c r="DST556" s="178"/>
      <c r="DSU556" s="178"/>
      <c r="DSV556" s="178"/>
      <c r="DSW556" s="178"/>
      <c r="DSX556" s="178"/>
      <c r="DSY556" s="178"/>
      <c r="DSZ556" s="178"/>
      <c r="DTA556" s="178"/>
      <c r="DTB556" s="178"/>
      <c r="DTC556" s="178"/>
      <c r="DTD556" s="178"/>
      <c r="DTE556" s="178"/>
      <c r="DTF556" s="178"/>
      <c r="DTG556" s="178"/>
      <c r="DTH556" s="178"/>
      <c r="DTI556" s="178"/>
      <c r="DTJ556" s="178"/>
      <c r="DTK556" s="178"/>
      <c r="DTL556" s="178"/>
      <c r="DTM556" s="178"/>
      <c r="DTN556" s="178"/>
      <c r="DTO556" s="178"/>
      <c r="DTP556" s="178"/>
      <c r="DTQ556" s="178"/>
      <c r="DTR556" s="178"/>
      <c r="DTS556" s="178"/>
      <c r="DTT556" s="178"/>
      <c r="DTU556" s="178"/>
      <c r="DTV556" s="178"/>
      <c r="DTW556" s="178"/>
      <c r="DTX556" s="178"/>
      <c r="DTY556" s="178"/>
      <c r="DTZ556" s="178"/>
      <c r="DUA556" s="178"/>
      <c r="DUB556" s="178"/>
      <c r="DUC556" s="178"/>
      <c r="DUD556" s="178"/>
      <c r="DUE556" s="178"/>
      <c r="DUF556" s="178"/>
      <c r="DUG556" s="178"/>
      <c r="DUH556" s="178"/>
      <c r="DUI556" s="178"/>
      <c r="DUJ556" s="178"/>
      <c r="DUK556" s="178"/>
      <c r="DUL556" s="178"/>
      <c r="DUM556" s="178"/>
      <c r="DUN556" s="178"/>
      <c r="DUO556" s="178"/>
      <c r="DUP556" s="178"/>
      <c r="DUQ556" s="178"/>
      <c r="DUR556" s="178"/>
      <c r="DUS556" s="178"/>
      <c r="DUT556" s="178"/>
      <c r="DUU556" s="178"/>
      <c r="DUV556" s="178"/>
      <c r="DUW556" s="178"/>
      <c r="DUX556" s="178"/>
      <c r="DUY556" s="178"/>
      <c r="DUZ556" s="178"/>
      <c r="DVA556" s="178"/>
      <c r="DVB556" s="178"/>
      <c r="DVC556" s="178"/>
      <c r="DVD556" s="178"/>
      <c r="DVE556" s="178"/>
      <c r="DVF556" s="178"/>
      <c r="DVG556" s="178"/>
      <c r="DVH556" s="178"/>
      <c r="DVI556" s="178"/>
      <c r="DVJ556" s="178"/>
      <c r="DVK556" s="178"/>
      <c r="DVL556" s="178"/>
      <c r="DVM556" s="178"/>
      <c r="DVN556" s="178"/>
      <c r="DVO556" s="178"/>
      <c r="DVP556" s="178"/>
      <c r="DVQ556" s="178"/>
      <c r="DVR556" s="178"/>
      <c r="DVS556" s="178"/>
      <c r="DVT556" s="178"/>
      <c r="DVU556" s="178"/>
      <c r="DVV556" s="178"/>
      <c r="DVW556" s="178"/>
      <c r="DVX556" s="178"/>
      <c r="DVY556" s="178"/>
      <c r="DVZ556" s="178"/>
      <c r="DWA556" s="178"/>
      <c r="DWB556" s="178"/>
      <c r="DWC556" s="178"/>
      <c r="DWD556" s="178"/>
      <c r="DWE556" s="178"/>
      <c r="DWF556" s="178"/>
      <c r="DWG556" s="178"/>
      <c r="DWH556" s="178"/>
      <c r="DWI556" s="178"/>
      <c r="DWJ556" s="178"/>
      <c r="DWK556" s="178"/>
      <c r="DWL556" s="178"/>
      <c r="DWM556" s="178"/>
      <c r="DWN556" s="178"/>
      <c r="DWO556" s="178"/>
      <c r="DWP556" s="178"/>
      <c r="DWQ556" s="178"/>
      <c r="DWR556" s="178"/>
      <c r="DWS556" s="178"/>
      <c r="DWT556" s="178"/>
      <c r="DWU556" s="178"/>
      <c r="DWV556" s="178"/>
      <c r="DWW556" s="178"/>
      <c r="DWX556" s="178"/>
      <c r="DWY556" s="178"/>
      <c r="DWZ556" s="178"/>
      <c r="DXA556" s="178"/>
      <c r="DXB556" s="178"/>
      <c r="DXC556" s="178"/>
      <c r="DXD556" s="178"/>
      <c r="DXE556" s="178"/>
      <c r="DXF556" s="178"/>
      <c r="DXG556" s="178"/>
      <c r="DXH556" s="178"/>
      <c r="DXI556" s="178"/>
      <c r="DXJ556" s="178"/>
      <c r="DXK556" s="178"/>
      <c r="DXL556" s="178"/>
      <c r="DXM556" s="178"/>
      <c r="DXN556" s="178"/>
      <c r="DXO556" s="178"/>
      <c r="DXP556" s="178"/>
      <c r="DXQ556" s="178"/>
      <c r="DXR556" s="178"/>
      <c r="DXS556" s="178"/>
      <c r="DXT556" s="178"/>
      <c r="DXU556" s="178"/>
      <c r="DXV556" s="178"/>
      <c r="DXW556" s="178"/>
      <c r="DXX556" s="178"/>
      <c r="DXY556" s="178"/>
      <c r="DXZ556" s="178"/>
      <c r="DYA556" s="178"/>
      <c r="DYB556" s="178"/>
      <c r="DYC556" s="178"/>
      <c r="DYD556" s="178"/>
      <c r="DYE556" s="178"/>
      <c r="DYF556" s="178"/>
      <c r="DYG556" s="178"/>
      <c r="DYH556" s="178"/>
      <c r="DYI556" s="178"/>
      <c r="DYJ556" s="178"/>
      <c r="DYK556" s="178"/>
      <c r="DYL556" s="178"/>
      <c r="DYM556" s="178"/>
      <c r="DYN556" s="178"/>
      <c r="DYO556" s="178"/>
      <c r="DYP556" s="178"/>
      <c r="DYQ556" s="178"/>
      <c r="DYR556" s="178"/>
      <c r="DYS556" s="178"/>
      <c r="DYT556" s="178"/>
      <c r="DYU556" s="178"/>
      <c r="DYV556" s="178"/>
      <c r="DYW556" s="178"/>
      <c r="DYX556" s="178"/>
      <c r="DYY556" s="178"/>
      <c r="DYZ556" s="178"/>
      <c r="DZA556" s="178"/>
      <c r="DZB556" s="178"/>
      <c r="DZC556" s="178"/>
      <c r="DZD556" s="178"/>
      <c r="DZE556" s="178"/>
      <c r="DZF556" s="178"/>
      <c r="DZG556" s="178"/>
      <c r="DZH556" s="178"/>
      <c r="DZI556" s="178"/>
      <c r="DZJ556" s="178"/>
      <c r="DZK556" s="178"/>
      <c r="DZL556" s="178"/>
      <c r="DZM556" s="178"/>
      <c r="DZN556" s="178"/>
      <c r="DZO556" s="178"/>
      <c r="DZP556" s="178"/>
      <c r="DZQ556" s="178"/>
      <c r="DZR556" s="178"/>
      <c r="DZS556" s="178"/>
      <c r="DZT556" s="178"/>
      <c r="DZU556" s="178"/>
      <c r="DZV556" s="178"/>
      <c r="DZW556" s="178"/>
      <c r="DZX556" s="178"/>
      <c r="DZY556" s="178"/>
      <c r="DZZ556" s="178"/>
      <c r="EAA556" s="178"/>
      <c r="EAB556" s="178"/>
      <c r="EAC556" s="178"/>
      <c r="EAD556" s="178"/>
      <c r="EAE556" s="178"/>
      <c r="EAF556" s="178"/>
      <c r="EAG556" s="178"/>
      <c r="EAH556" s="178"/>
      <c r="EAI556" s="178"/>
      <c r="EAJ556" s="178"/>
      <c r="EAK556" s="178"/>
      <c r="EAL556" s="178"/>
      <c r="EAM556" s="178"/>
      <c r="EAN556" s="178"/>
      <c r="EAO556" s="178"/>
      <c r="EAP556" s="178"/>
      <c r="EAQ556" s="178"/>
      <c r="EAR556" s="178"/>
      <c r="EAS556" s="178"/>
      <c r="EAT556" s="178"/>
      <c r="EAU556" s="178"/>
      <c r="EAV556" s="178"/>
      <c r="EAW556" s="178"/>
      <c r="EAX556" s="178"/>
      <c r="EAY556" s="178"/>
      <c r="EAZ556" s="178"/>
      <c r="EBA556" s="178"/>
      <c r="EBB556" s="178"/>
      <c r="EBC556" s="178"/>
      <c r="EBD556" s="178"/>
      <c r="EBE556" s="178"/>
      <c r="EBF556" s="178"/>
      <c r="EBG556" s="178"/>
      <c r="EBH556" s="178"/>
      <c r="EBI556" s="178"/>
      <c r="EBJ556" s="178"/>
      <c r="EBK556" s="178"/>
      <c r="EBL556" s="178"/>
      <c r="EBM556" s="178"/>
      <c r="EBN556" s="178"/>
      <c r="EBO556" s="178"/>
      <c r="EBP556" s="178"/>
      <c r="EBQ556" s="178"/>
      <c r="EBR556" s="178"/>
      <c r="EBS556" s="178"/>
      <c r="EBT556" s="178"/>
      <c r="EBU556" s="178"/>
      <c r="EBV556" s="178"/>
      <c r="EBW556" s="178"/>
      <c r="EBX556" s="178"/>
      <c r="EBY556" s="178"/>
      <c r="EBZ556" s="178"/>
      <c r="ECA556" s="178"/>
      <c r="ECB556" s="178"/>
      <c r="ECC556" s="178"/>
      <c r="ECD556" s="178"/>
      <c r="ECE556" s="178"/>
      <c r="ECF556" s="178"/>
      <c r="ECG556" s="178"/>
      <c r="ECH556" s="178"/>
      <c r="ECI556" s="178"/>
      <c r="ECJ556" s="178"/>
      <c r="ECK556" s="178"/>
      <c r="ECL556" s="178"/>
      <c r="ECM556" s="178"/>
      <c r="ECN556" s="178"/>
      <c r="ECO556" s="178"/>
      <c r="ECP556" s="178"/>
      <c r="ECQ556" s="178"/>
      <c r="ECR556" s="178"/>
      <c r="ECS556" s="178"/>
      <c r="ECT556" s="178"/>
      <c r="ECU556" s="178"/>
      <c r="ECV556" s="178"/>
      <c r="ECW556" s="178"/>
      <c r="ECX556" s="178"/>
      <c r="ECY556" s="178"/>
      <c r="ECZ556" s="178"/>
      <c r="EDA556" s="178"/>
      <c r="EDB556" s="178"/>
      <c r="EDC556" s="178"/>
      <c r="EDD556" s="178"/>
      <c r="EDE556" s="178"/>
      <c r="EDF556" s="178"/>
      <c r="EDG556" s="178"/>
      <c r="EDH556" s="178"/>
      <c r="EDI556" s="178"/>
      <c r="EDJ556" s="178"/>
      <c r="EDK556" s="178"/>
      <c r="EDL556" s="178"/>
      <c r="EDM556" s="178"/>
      <c r="EDN556" s="178"/>
      <c r="EDO556" s="178"/>
      <c r="EDP556" s="178"/>
      <c r="EDQ556" s="178"/>
      <c r="EDR556" s="178"/>
      <c r="EDS556" s="178"/>
      <c r="EDT556" s="178"/>
      <c r="EDU556" s="178"/>
      <c r="EDV556" s="178"/>
      <c r="EDW556" s="178"/>
      <c r="EDX556" s="178"/>
      <c r="EDY556" s="178"/>
      <c r="EDZ556" s="178"/>
      <c r="EEA556" s="178"/>
      <c r="EEB556" s="178"/>
      <c r="EEC556" s="178"/>
      <c r="EED556" s="178"/>
      <c r="EEE556" s="178"/>
      <c r="EEF556" s="178"/>
      <c r="EEG556" s="178"/>
      <c r="EEH556" s="178"/>
      <c r="EEI556" s="178"/>
      <c r="EEJ556" s="178"/>
      <c r="EEK556" s="178"/>
      <c r="EEL556" s="178"/>
      <c r="EEM556" s="178"/>
      <c r="EEN556" s="178"/>
      <c r="EEO556" s="178"/>
      <c r="EEP556" s="178"/>
      <c r="EEQ556" s="178"/>
      <c r="EER556" s="178"/>
      <c r="EES556" s="178"/>
      <c r="EET556" s="178"/>
      <c r="EEU556" s="178"/>
      <c r="EEV556" s="178"/>
      <c r="EEW556" s="178"/>
      <c r="EEX556" s="178"/>
      <c r="EEY556" s="178"/>
      <c r="EEZ556" s="178"/>
      <c r="EFA556" s="178"/>
      <c r="EFB556" s="178"/>
      <c r="EFC556" s="178"/>
      <c r="EFD556" s="178"/>
      <c r="EFE556" s="178"/>
      <c r="EFF556" s="178"/>
      <c r="EFG556" s="178"/>
      <c r="EFH556" s="178"/>
      <c r="EFI556" s="178"/>
      <c r="EFJ556" s="178"/>
      <c r="EFK556" s="178"/>
      <c r="EFL556" s="178"/>
      <c r="EFM556" s="178"/>
      <c r="EFN556" s="178"/>
      <c r="EFO556" s="178"/>
      <c r="EFP556" s="178"/>
      <c r="EFQ556" s="178"/>
      <c r="EFR556" s="178"/>
      <c r="EFS556" s="178"/>
      <c r="EFT556" s="178"/>
      <c r="EFU556" s="178"/>
      <c r="EFV556" s="178"/>
      <c r="EFW556" s="178"/>
      <c r="EFX556" s="178"/>
      <c r="EFY556" s="178"/>
      <c r="EFZ556" s="178"/>
      <c r="EGA556" s="178"/>
      <c r="EGB556" s="178"/>
      <c r="EGC556" s="178"/>
      <c r="EGD556" s="178"/>
      <c r="EGE556" s="178"/>
      <c r="EGF556" s="178"/>
      <c r="EGG556" s="178"/>
      <c r="EGH556" s="178"/>
      <c r="EGI556" s="178"/>
      <c r="EGJ556" s="178"/>
      <c r="EGK556" s="178"/>
      <c r="EGL556" s="178"/>
      <c r="EGM556" s="178"/>
      <c r="EGN556" s="178"/>
      <c r="EGO556" s="178"/>
      <c r="EGP556" s="178"/>
      <c r="EGQ556" s="178"/>
      <c r="EGR556" s="178"/>
      <c r="EGS556" s="178"/>
      <c r="EGT556" s="178"/>
      <c r="EGU556" s="178"/>
      <c r="EGV556" s="178"/>
      <c r="EGW556" s="178"/>
      <c r="EGX556" s="178"/>
      <c r="EGY556" s="178"/>
      <c r="EGZ556" s="178"/>
      <c r="EHA556" s="178"/>
      <c r="EHB556" s="178"/>
      <c r="EHC556" s="178"/>
      <c r="EHD556" s="178"/>
      <c r="EHE556" s="178"/>
      <c r="EHF556" s="178"/>
      <c r="EHG556" s="178"/>
      <c r="EHH556" s="178"/>
      <c r="EHI556" s="178"/>
      <c r="EHJ556" s="178"/>
      <c r="EHK556" s="178"/>
      <c r="EHL556" s="178"/>
      <c r="EHM556" s="178"/>
      <c r="EHN556" s="178"/>
      <c r="EHO556" s="178"/>
      <c r="EHP556" s="178"/>
      <c r="EHQ556" s="178"/>
      <c r="EHR556" s="178"/>
      <c r="EHS556" s="178"/>
      <c r="EHT556" s="178"/>
      <c r="EHU556" s="178"/>
      <c r="EHV556" s="178"/>
      <c r="EHW556" s="178"/>
      <c r="EHX556" s="178"/>
      <c r="EHY556" s="178"/>
      <c r="EHZ556" s="178"/>
      <c r="EIA556" s="178"/>
      <c r="EIB556" s="178"/>
      <c r="EIC556" s="178"/>
      <c r="EID556" s="178"/>
      <c r="EIE556" s="178"/>
      <c r="EIF556" s="178"/>
      <c r="EIG556" s="178"/>
      <c r="EIH556" s="178"/>
      <c r="EII556" s="178"/>
      <c r="EIJ556" s="178"/>
      <c r="EIK556" s="178"/>
      <c r="EIL556" s="178"/>
      <c r="EIM556" s="178"/>
      <c r="EIN556" s="178"/>
      <c r="EIO556" s="178"/>
      <c r="EIP556" s="178"/>
      <c r="EIQ556" s="178"/>
      <c r="EIR556" s="178"/>
      <c r="EIS556" s="178"/>
      <c r="EIT556" s="178"/>
      <c r="EIU556" s="178"/>
      <c r="EIV556" s="178"/>
      <c r="EIW556" s="178"/>
      <c r="EIX556" s="178"/>
      <c r="EIY556" s="178"/>
      <c r="EIZ556" s="178"/>
      <c r="EJA556" s="178"/>
      <c r="EJB556" s="178"/>
      <c r="EJC556" s="178"/>
      <c r="EJD556" s="178"/>
      <c r="EJE556" s="178"/>
      <c r="EJF556" s="178"/>
      <c r="EJG556" s="178"/>
      <c r="EJH556" s="178"/>
      <c r="EJI556" s="178"/>
      <c r="EJJ556" s="178"/>
      <c r="EJK556" s="178"/>
      <c r="EJL556" s="178"/>
      <c r="EJM556" s="178"/>
      <c r="EJN556" s="178"/>
      <c r="EJO556" s="178"/>
      <c r="EJP556" s="178"/>
      <c r="EJQ556" s="178"/>
      <c r="EJR556" s="178"/>
      <c r="EJS556" s="178"/>
      <c r="EJT556" s="178"/>
      <c r="EJU556" s="178"/>
      <c r="EJV556" s="178"/>
      <c r="EJW556" s="178"/>
      <c r="EJX556" s="178"/>
      <c r="EJY556" s="178"/>
      <c r="EJZ556" s="178"/>
      <c r="EKA556" s="178"/>
      <c r="EKB556" s="178"/>
      <c r="EKC556" s="178"/>
      <c r="EKD556" s="178"/>
      <c r="EKE556" s="178"/>
      <c r="EKF556" s="178"/>
      <c r="EKG556" s="178"/>
      <c r="EKH556" s="178"/>
      <c r="EKI556" s="178"/>
      <c r="EKJ556" s="178"/>
      <c r="EKK556" s="178"/>
      <c r="EKL556" s="178"/>
      <c r="EKM556" s="178"/>
      <c r="EKN556" s="178"/>
      <c r="EKO556" s="178"/>
      <c r="EKP556" s="178"/>
      <c r="EKQ556" s="178"/>
      <c r="EKR556" s="178"/>
      <c r="EKS556" s="178"/>
      <c r="EKT556" s="178"/>
      <c r="EKU556" s="178"/>
      <c r="EKV556" s="178"/>
      <c r="EKW556" s="178"/>
      <c r="EKX556" s="178"/>
      <c r="EKY556" s="178"/>
      <c r="EKZ556" s="178"/>
      <c r="ELA556" s="178"/>
      <c r="ELB556" s="178"/>
      <c r="ELC556" s="178"/>
      <c r="ELD556" s="178"/>
      <c r="ELE556" s="178"/>
      <c r="ELF556" s="178"/>
      <c r="ELG556" s="178"/>
      <c r="ELH556" s="178"/>
      <c r="ELI556" s="178"/>
      <c r="ELJ556" s="178"/>
      <c r="ELK556" s="178"/>
      <c r="ELL556" s="178"/>
      <c r="ELM556" s="178"/>
      <c r="ELN556" s="178"/>
      <c r="ELO556" s="178"/>
      <c r="ELP556" s="178"/>
      <c r="ELQ556" s="178"/>
      <c r="ELR556" s="178"/>
      <c r="ELS556" s="178"/>
      <c r="ELT556" s="178"/>
      <c r="ELU556" s="178"/>
      <c r="ELV556" s="178"/>
      <c r="ELW556" s="178"/>
      <c r="ELX556" s="178"/>
      <c r="ELY556" s="178"/>
      <c r="ELZ556" s="178"/>
      <c r="EMA556" s="178"/>
      <c r="EMB556" s="178"/>
      <c r="EMC556" s="178"/>
      <c r="EMD556" s="178"/>
      <c r="EME556" s="178"/>
      <c r="EMF556" s="178"/>
      <c r="EMG556" s="178"/>
      <c r="EMH556" s="178"/>
      <c r="EMI556" s="178"/>
      <c r="EMJ556" s="178"/>
      <c r="EMK556" s="178"/>
      <c r="EML556" s="178"/>
      <c r="EMM556" s="178"/>
      <c r="EMN556" s="178"/>
      <c r="EMO556" s="178"/>
      <c r="EMP556" s="178"/>
      <c r="EMQ556" s="178"/>
      <c r="EMR556" s="178"/>
      <c r="EMS556" s="178"/>
      <c r="EMT556" s="178"/>
      <c r="EMU556" s="178"/>
      <c r="EMV556" s="178"/>
      <c r="EMW556" s="178"/>
      <c r="EMX556" s="178"/>
      <c r="EMY556" s="178"/>
      <c r="EMZ556" s="178"/>
      <c r="ENA556" s="178"/>
      <c r="ENB556" s="178"/>
      <c r="ENC556" s="178"/>
      <c r="END556" s="178"/>
      <c r="ENE556" s="178"/>
      <c r="ENF556" s="178"/>
      <c r="ENG556" s="178"/>
      <c r="ENH556" s="178"/>
      <c r="ENI556" s="178"/>
      <c r="ENJ556" s="178"/>
      <c r="ENK556" s="178"/>
      <c r="ENL556" s="178"/>
      <c r="ENM556" s="178"/>
      <c r="ENN556" s="178"/>
      <c r="ENO556" s="178"/>
      <c r="ENP556" s="178"/>
      <c r="ENQ556" s="178"/>
      <c r="ENR556" s="178"/>
      <c r="ENS556" s="178"/>
      <c r="ENT556" s="178"/>
      <c r="ENU556" s="178"/>
      <c r="ENV556" s="178"/>
      <c r="ENW556" s="178"/>
      <c r="ENX556" s="178"/>
      <c r="ENY556" s="178"/>
      <c r="ENZ556" s="178"/>
      <c r="EOA556" s="178"/>
      <c r="EOB556" s="178"/>
      <c r="EOC556" s="178"/>
      <c r="EOD556" s="178"/>
      <c r="EOE556" s="178"/>
      <c r="EOF556" s="178"/>
      <c r="EOG556" s="178"/>
      <c r="EOH556" s="178"/>
      <c r="EOI556" s="178"/>
      <c r="EOJ556" s="178"/>
      <c r="EOK556" s="178"/>
      <c r="EOL556" s="178"/>
      <c r="EOM556" s="178"/>
      <c r="EON556" s="178"/>
      <c r="EOO556" s="178"/>
      <c r="EOP556" s="178"/>
      <c r="EOQ556" s="178"/>
      <c r="EOR556" s="178"/>
      <c r="EOS556" s="178"/>
      <c r="EOT556" s="178"/>
      <c r="EOU556" s="178"/>
      <c r="EOV556" s="178"/>
      <c r="EOW556" s="178"/>
      <c r="EOX556" s="178"/>
      <c r="EOY556" s="178"/>
      <c r="EOZ556" s="178"/>
      <c r="EPA556" s="178"/>
      <c r="EPB556" s="178"/>
      <c r="EPC556" s="178"/>
      <c r="EPD556" s="178"/>
      <c r="EPE556" s="178"/>
      <c r="EPF556" s="178"/>
      <c r="EPG556" s="178"/>
      <c r="EPH556" s="178"/>
      <c r="EPI556" s="178"/>
      <c r="EPJ556" s="178"/>
      <c r="EPK556" s="178"/>
      <c r="EPL556" s="178"/>
      <c r="EPM556" s="178"/>
      <c r="EPN556" s="178"/>
      <c r="EPO556" s="178"/>
      <c r="EPP556" s="178"/>
      <c r="EPQ556" s="178"/>
      <c r="EPR556" s="178"/>
      <c r="EPS556" s="178"/>
      <c r="EPT556" s="178"/>
      <c r="EPU556" s="178"/>
      <c r="EPV556" s="178"/>
      <c r="EPW556" s="178"/>
      <c r="EPX556" s="178"/>
      <c r="EPY556" s="178"/>
      <c r="EPZ556" s="178"/>
      <c r="EQA556" s="178"/>
      <c r="EQB556" s="178"/>
      <c r="EQC556" s="178"/>
      <c r="EQD556" s="178"/>
      <c r="EQE556" s="178"/>
      <c r="EQF556" s="178"/>
      <c r="EQG556" s="178"/>
      <c r="EQH556" s="178"/>
      <c r="EQI556" s="178"/>
      <c r="EQJ556" s="178"/>
      <c r="EQK556" s="178"/>
      <c r="EQL556" s="178"/>
      <c r="EQM556" s="178"/>
      <c r="EQN556" s="178"/>
      <c r="EQO556" s="178"/>
      <c r="EQP556" s="178"/>
      <c r="EQQ556" s="178"/>
      <c r="EQR556" s="178"/>
      <c r="EQS556" s="178"/>
      <c r="EQT556" s="178"/>
      <c r="EQU556" s="178"/>
      <c r="EQV556" s="178"/>
      <c r="EQW556" s="178"/>
      <c r="EQX556" s="178"/>
      <c r="EQY556" s="178"/>
      <c r="EQZ556" s="178"/>
      <c r="ERA556" s="178"/>
      <c r="ERB556" s="178"/>
      <c r="ERC556" s="178"/>
      <c r="ERD556" s="178"/>
      <c r="ERE556" s="178"/>
      <c r="ERF556" s="178"/>
      <c r="ERG556" s="178"/>
      <c r="ERH556" s="178"/>
      <c r="ERI556" s="178"/>
      <c r="ERJ556" s="178"/>
      <c r="ERK556" s="178"/>
      <c r="ERL556" s="178"/>
      <c r="ERM556" s="178"/>
      <c r="ERN556" s="178"/>
      <c r="ERO556" s="178"/>
      <c r="ERP556" s="178"/>
      <c r="ERQ556" s="178"/>
      <c r="ERR556" s="178"/>
      <c r="ERS556" s="178"/>
      <c r="ERT556" s="178"/>
      <c r="ERU556" s="178"/>
      <c r="ERV556" s="178"/>
      <c r="ERW556" s="178"/>
      <c r="ERX556" s="178"/>
      <c r="ERY556" s="178"/>
      <c r="ERZ556" s="178"/>
      <c r="ESA556" s="178"/>
      <c r="ESB556" s="178"/>
      <c r="ESC556" s="178"/>
      <c r="ESD556" s="178"/>
      <c r="ESE556" s="178"/>
      <c r="ESF556" s="178"/>
      <c r="ESG556" s="178"/>
      <c r="ESH556" s="178"/>
      <c r="ESI556" s="178"/>
      <c r="ESJ556" s="178"/>
      <c r="ESK556" s="178"/>
      <c r="ESL556" s="178"/>
      <c r="ESM556" s="178"/>
      <c r="ESN556" s="178"/>
      <c r="ESO556" s="178"/>
      <c r="ESP556" s="178"/>
      <c r="ESQ556" s="178"/>
      <c r="ESR556" s="178"/>
      <c r="ESS556" s="178"/>
      <c r="EST556" s="178"/>
      <c r="ESU556" s="178"/>
      <c r="ESV556" s="178"/>
      <c r="ESW556" s="178"/>
      <c r="ESX556" s="178"/>
      <c r="ESY556" s="178"/>
      <c r="ESZ556" s="178"/>
      <c r="ETA556" s="178"/>
      <c r="ETB556" s="178"/>
      <c r="ETC556" s="178"/>
      <c r="ETD556" s="178"/>
      <c r="ETE556" s="178"/>
      <c r="ETF556" s="178"/>
      <c r="ETG556" s="178"/>
      <c r="ETH556" s="178"/>
      <c r="ETI556" s="178"/>
      <c r="ETJ556" s="178"/>
      <c r="ETK556" s="178"/>
      <c r="ETL556" s="178"/>
      <c r="ETM556" s="178"/>
      <c r="ETN556" s="178"/>
      <c r="ETO556" s="178"/>
      <c r="ETP556" s="178"/>
      <c r="ETQ556" s="178"/>
      <c r="ETR556" s="178"/>
      <c r="ETS556" s="178"/>
      <c r="ETT556" s="178"/>
      <c r="ETU556" s="178"/>
      <c r="ETV556" s="178"/>
      <c r="ETW556" s="178"/>
      <c r="ETX556" s="178"/>
      <c r="ETY556" s="178"/>
      <c r="ETZ556" s="178"/>
      <c r="EUA556" s="178"/>
      <c r="EUB556" s="178"/>
      <c r="EUC556" s="178"/>
      <c r="EUD556" s="178"/>
      <c r="EUE556" s="178"/>
      <c r="EUF556" s="178"/>
      <c r="EUG556" s="178"/>
      <c r="EUH556" s="178"/>
      <c r="EUI556" s="178"/>
      <c r="EUJ556" s="178"/>
      <c r="EUK556" s="178"/>
      <c r="EUL556" s="178"/>
      <c r="EUM556" s="178"/>
      <c r="EUN556" s="178"/>
      <c r="EUO556" s="178"/>
      <c r="EUP556" s="178"/>
      <c r="EUQ556" s="178"/>
      <c r="EUR556" s="178"/>
      <c r="EUS556" s="178"/>
      <c r="EUT556" s="178"/>
      <c r="EUU556" s="178"/>
      <c r="EUV556" s="178"/>
      <c r="EUW556" s="178"/>
      <c r="EUX556" s="178"/>
      <c r="EUY556" s="178"/>
      <c r="EUZ556" s="178"/>
      <c r="EVA556" s="178"/>
      <c r="EVB556" s="178"/>
      <c r="EVC556" s="178"/>
      <c r="EVD556" s="178"/>
      <c r="EVE556" s="178"/>
      <c r="EVF556" s="178"/>
      <c r="EVG556" s="178"/>
      <c r="EVH556" s="178"/>
      <c r="EVI556" s="178"/>
      <c r="EVJ556" s="178"/>
      <c r="EVK556" s="178"/>
      <c r="EVL556" s="178"/>
      <c r="EVM556" s="178"/>
      <c r="EVN556" s="178"/>
      <c r="EVO556" s="178"/>
      <c r="EVP556" s="178"/>
      <c r="EVQ556" s="178"/>
      <c r="EVR556" s="178"/>
      <c r="EVS556" s="178"/>
      <c r="EVT556" s="178"/>
      <c r="EVU556" s="178"/>
      <c r="EVV556" s="178"/>
      <c r="EVW556" s="178"/>
      <c r="EVX556" s="178"/>
      <c r="EVY556" s="178"/>
      <c r="EVZ556" s="178"/>
      <c r="EWA556" s="178"/>
      <c r="EWB556" s="178"/>
      <c r="EWC556" s="178"/>
      <c r="EWD556" s="178"/>
      <c r="EWE556" s="178"/>
      <c r="EWF556" s="178"/>
      <c r="EWG556" s="178"/>
      <c r="EWH556" s="178"/>
      <c r="EWI556" s="178"/>
      <c r="EWJ556" s="178"/>
      <c r="EWK556" s="178"/>
      <c r="EWL556" s="178"/>
      <c r="EWM556" s="178"/>
      <c r="EWN556" s="178"/>
      <c r="EWO556" s="178"/>
      <c r="EWP556" s="178"/>
      <c r="EWQ556" s="178"/>
      <c r="EWR556" s="178"/>
      <c r="EWS556" s="178"/>
      <c r="EWT556" s="178"/>
      <c r="EWU556" s="178"/>
      <c r="EWV556" s="178"/>
      <c r="EWW556" s="178"/>
      <c r="EWX556" s="178"/>
      <c r="EWY556" s="178"/>
      <c r="EWZ556" s="178"/>
      <c r="EXA556" s="178"/>
      <c r="EXB556" s="178"/>
      <c r="EXC556" s="178"/>
      <c r="EXD556" s="178"/>
      <c r="EXE556" s="178"/>
      <c r="EXF556" s="178"/>
      <c r="EXG556" s="178"/>
      <c r="EXH556" s="178"/>
      <c r="EXI556" s="178"/>
      <c r="EXJ556" s="178"/>
      <c r="EXK556" s="178"/>
      <c r="EXL556" s="178"/>
      <c r="EXM556" s="178"/>
      <c r="EXN556" s="178"/>
      <c r="EXO556" s="178"/>
      <c r="EXP556" s="178"/>
      <c r="EXQ556" s="178"/>
      <c r="EXR556" s="178"/>
      <c r="EXS556" s="178"/>
      <c r="EXT556" s="178"/>
      <c r="EXU556" s="178"/>
      <c r="EXV556" s="178"/>
      <c r="EXW556" s="178"/>
      <c r="EXX556" s="178"/>
      <c r="EXY556" s="178"/>
      <c r="EXZ556" s="178"/>
      <c r="EYA556" s="178"/>
      <c r="EYB556" s="178"/>
      <c r="EYC556" s="178"/>
      <c r="EYD556" s="178"/>
      <c r="EYE556" s="178"/>
      <c r="EYF556" s="178"/>
      <c r="EYG556" s="178"/>
      <c r="EYH556" s="178"/>
      <c r="EYI556" s="178"/>
      <c r="EYJ556" s="178"/>
      <c r="EYK556" s="178"/>
      <c r="EYL556" s="178"/>
      <c r="EYM556" s="178"/>
      <c r="EYN556" s="178"/>
      <c r="EYO556" s="178"/>
      <c r="EYP556" s="178"/>
      <c r="EYQ556" s="178"/>
      <c r="EYR556" s="178"/>
      <c r="EYS556" s="178"/>
      <c r="EYT556" s="178"/>
      <c r="EYU556" s="178"/>
      <c r="EYV556" s="178"/>
      <c r="EYW556" s="178"/>
      <c r="EYX556" s="178"/>
      <c r="EYY556" s="178"/>
      <c r="EYZ556" s="178"/>
      <c r="EZA556" s="178"/>
      <c r="EZB556" s="178"/>
      <c r="EZC556" s="178"/>
      <c r="EZD556" s="178"/>
      <c r="EZE556" s="178"/>
      <c r="EZF556" s="178"/>
      <c r="EZG556" s="178"/>
      <c r="EZH556" s="178"/>
      <c r="EZI556" s="178"/>
      <c r="EZJ556" s="178"/>
      <c r="EZK556" s="178"/>
      <c r="EZL556" s="178"/>
      <c r="EZM556" s="178"/>
      <c r="EZN556" s="178"/>
      <c r="EZO556" s="178"/>
      <c r="EZP556" s="178"/>
      <c r="EZQ556" s="178"/>
      <c r="EZR556" s="178"/>
      <c r="EZS556" s="178"/>
      <c r="EZT556" s="178"/>
      <c r="EZU556" s="178"/>
      <c r="EZV556" s="178"/>
      <c r="EZW556" s="178"/>
      <c r="EZX556" s="178"/>
      <c r="EZY556" s="178"/>
      <c r="EZZ556" s="178"/>
      <c r="FAA556" s="178"/>
      <c r="FAB556" s="178"/>
      <c r="FAC556" s="178"/>
      <c r="FAD556" s="178"/>
      <c r="FAE556" s="178"/>
      <c r="FAF556" s="178"/>
      <c r="FAG556" s="178"/>
      <c r="FAH556" s="178"/>
      <c r="FAI556" s="178"/>
      <c r="FAJ556" s="178"/>
      <c r="FAK556" s="178"/>
      <c r="FAL556" s="178"/>
      <c r="FAM556" s="178"/>
      <c r="FAN556" s="178"/>
      <c r="FAO556" s="178"/>
      <c r="FAP556" s="178"/>
      <c r="FAQ556" s="178"/>
      <c r="FAR556" s="178"/>
      <c r="FAS556" s="178"/>
      <c r="FAT556" s="178"/>
      <c r="FAU556" s="178"/>
      <c r="FAV556" s="178"/>
      <c r="FAW556" s="178"/>
      <c r="FAX556" s="178"/>
      <c r="FAY556" s="178"/>
      <c r="FAZ556" s="178"/>
      <c r="FBA556" s="178"/>
      <c r="FBB556" s="178"/>
      <c r="FBC556" s="178"/>
      <c r="FBD556" s="178"/>
      <c r="FBE556" s="178"/>
      <c r="FBF556" s="178"/>
      <c r="FBG556" s="178"/>
      <c r="FBH556" s="178"/>
      <c r="FBI556" s="178"/>
      <c r="FBJ556" s="178"/>
      <c r="FBK556" s="178"/>
      <c r="FBL556" s="178"/>
      <c r="FBM556" s="178"/>
      <c r="FBN556" s="178"/>
      <c r="FBO556" s="178"/>
      <c r="FBP556" s="178"/>
      <c r="FBQ556" s="178"/>
      <c r="FBR556" s="178"/>
      <c r="FBS556" s="178"/>
      <c r="FBT556" s="178"/>
      <c r="FBU556" s="178"/>
      <c r="FBV556" s="178"/>
      <c r="FBW556" s="178"/>
      <c r="FBX556" s="178"/>
      <c r="FBY556" s="178"/>
      <c r="FBZ556" s="178"/>
      <c r="FCA556" s="178"/>
      <c r="FCB556" s="178"/>
      <c r="FCC556" s="178"/>
      <c r="FCD556" s="178"/>
      <c r="FCE556" s="178"/>
      <c r="FCF556" s="178"/>
      <c r="FCG556" s="178"/>
      <c r="FCH556" s="178"/>
      <c r="FCI556" s="178"/>
      <c r="FCJ556" s="178"/>
      <c r="FCK556" s="178"/>
      <c r="FCL556" s="178"/>
      <c r="FCM556" s="178"/>
      <c r="FCN556" s="178"/>
      <c r="FCO556" s="178"/>
      <c r="FCP556" s="178"/>
      <c r="FCQ556" s="178"/>
      <c r="FCR556" s="178"/>
      <c r="FCS556" s="178"/>
      <c r="FCT556" s="178"/>
      <c r="FCU556" s="178"/>
      <c r="FCV556" s="178"/>
      <c r="FCW556" s="178"/>
      <c r="FCX556" s="178"/>
      <c r="FCY556" s="178"/>
      <c r="FCZ556" s="178"/>
      <c r="FDA556" s="178"/>
      <c r="FDB556" s="178"/>
      <c r="FDC556" s="178"/>
      <c r="FDD556" s="178"/>
      <c r="FDE556" s="178"/>
      <c r="FDF556" s="178"/>
      <c r="FDG556" s="178"/>
      <c r="FDH556" s="178"/>
      <c r="FDI556" s="178"/>
      <c r="FDJ556" s="178"/>
      <c r="FDK556" s="178"/>
      <c r="FDL556" s="178"/>
      <c r="FDM556" s="178"/>
      <c r="FDN556" s="178"/>
      <c r="FDO556" s="178"/>
      <c r="FDP556" s="178"/>
      <c r="FDQ556" s="178"/>
      <c r="FDR556" s="178"/>
      <c r="FDS556" s="178"/>
      <c r="FDT556" s="178"/>
      <c r="FDU556" s="178"/>
      <c r="FDV556" s="178"/>
      <c r="FDW556" s="178"/>
      <c r="FDX556" s="178"/>
      <c r="FDY556" s="178"/>
      <c r="FDZ556" s="178"/>
      <c r="FEA556" s="178"/>
      <c r="FEB556" s="178"/>
      <c r="FEC556" s="178"/>
      <c r="FED556" s="178"/>
      <c r="FEE556" s="178"/>
      <c r="FEF556" s="178"/>
      <c r="FEG556" s="178"/>
      <c r="FEH556" s="178"/>
      <c r="FEI556" s="178"/>
      <c r="FEJ556" s="178"/>
      <c r="FEK556" s="178"/>
      <c r="FEL556" s="178"/>
      <c r="FEM556" s="178"/>
      <c r="FEN556" s="178"/>
      <c r="FEO556" s="178"/>
      <c r="FEP556" s="178"/>
      <c r="FEQ556" s="178"/>
      <c r="FER556" s="178"/>
      <c r="FES556" s="178"/>
      <c r="FET556" s="178"/>
      <c r="FEU556" s="178"/>
      <c r="FEV556" s="178"/>
      <c r="FEW556" s="178"/>
      <c r="FEX556" s="178"/>
      <c r="FEY556" s="178"/>
      <c r="FEZ556" s="178"/>
      <c r="FFA556" s="178"/>
      <c r="FFB556" s="178"/>
      <c r="FFC556" s="178"/>
      <c r="FFD556" s="178"/>
      <c r="FFE556" s="178"/>
      <c r="FFF556" s="178"/>
      <c r="FFG556" s="178"/>
      <c r="FFH556" s="178"/>
      <c r="FFI556" s="178"/>
      <c r="FFJ556" s="178"/>
      <c r="FFK556" s="178"/>
      <c r="FFL556" s="178"/>
      <c r="FFM556" s="178"/>
      <c r="FFN556" s="178"/>
      <c r="FFO556" s="178"/>
      <c r="FFP556" s="178"/>
      <c r="FFQ556" s="178"/>
      <c r="FFR556" s="178"/>
      <c r="FFS556" s="178"/>
      <c r="FFT556" s="178"/>
      <c r="FFU556" s="178"/>
      <c r="FFV556" s="178"/>
      <c r="FFW556" s="178"/>
      <c r="FFX556" s="178"/>
      <c r="FFY556" s="178"/>
      <c r="FFZ556" s="178"/>
      <c r="FGA556" s="178"/>
      <c r="FGB556" s="178"/>
      <c r="FGC556" s="178"/>
      <c r="FGD556" s="178"/>
      <c r="FGE556" s="178"/>
      <c r="FGF556" s="178"/>
      <c r="FGG556" s="178"/>
      <c r="FGH556" s="178"/>
      <c r="FGI556" s="178"/>
      <c r="FGJ556" s="178"/>
      <c r="FGK556" s="178"/>
      <c r="FGL556" s="178"/>
      <c r="FGM556" s="178"/>
      <c r="FGN556" s="178"/>
      <c r="FGO556" s="178"/>
      <c r="FGP556" s="178"/>
      <c r="FGQ556" s="178"/>
      <c r="FGR556" s="178"/>
      <c r="FGS556" s="178"/>
      <c r="FGT556" s="178"/>
      <c r="FGU556" s="178"/>
      <c r="FGV556" s="178"/>
      <c r="FGW556" s="178"/>
      <c r="FGX556" s="178"/>
      <c r="FGY556" s="178"/>
      <c r="FGZ556" s="178"/>
      <c r="FHA556" s="178"/>
      <c r="FHB556" s="178"/>
      <c r="FHC556" s="178"/>
      <c r="FHD556" s="178"/>
      <c r="FHE556" s="178"/>
      <c r="FHF556" s="178"/>
      <c r="FHG556" s="178"/>
      <c r="FHH556" s="178"/>
      <c r="FHI556" s="178"/>
      <c r="FHJ556" s="178"/>
      <c r="FHK556" s="178"/>
      <c r="FHL556" s="178"/>
      <c r="FHM556" s="178"/>
      <c r="FHN556" s="178"/>
      <c r="FHO556" s="178"/>
      <c r="FHP556" s="178"/>
      <c r="FHQ556" s="178"/>
      <c r="FHR556" s="178"/>
      <c r="FHS556" s="178"/>
      <c r="FHT556" s="178"/>
      <c r="FHU556" s="178"/>
      <c r="FHV556" s="178"/>
      <c r="FHW556" s="178"/>
      <c r="FHX556" s="178"/>
      <c r="FHY556" s="178"/>
      <c r="FHZ556" s="178"/>
      <c r="FIA556" s="178"/>
      <c r="FIB556" s="178"/>
      <c r="FIC556" s="178"/>
      <c r="FID556" s="178"/>
      <c r="FIE556" s="178"/>
      <c r="FIF556" s="178"/>
      <c r="FIG556" s="178"/>
      <c r="FIH556" s="178"/>
      <c r="FII556" s="178"/>
      <c r="FIJ556" s="178"/>
      <c r="FIK556" s="178"/>
      <c r="FIL556" s="178"/>
      <c r="FIM556" s="178"/>
      <c r="FIN556" s="178"/>
      <c r="FIO556" s="178"/>
      <c r="FIP556" s="178"/>
      <c r="FIQ556" s="178"/>
      <c r="FIR556" s="178"/>
      <c r="FIS556" s="178"/>
      <c r="FIT556" s="178"/>
      <c r="FIU556" s="178"/>
      <c r="FIV556" s="178"/>
      <c r="FIW556" s="178"/>
      <c r="FIX556" s="178"/>
      <c r="FIY556" s="178"/>
      <c r="FIZ556" s="178"/>
      <c r="FJA556" s="178"/>
      <c r="FJB556" s="178"/>
      <c r="FJC556" s="178"/>
      <c r="FJD556" s="178"/>
      <c r="FJE556" s="178"/>
      <c r="FJF556" s="178"/>
      <c r="FJG556" s="178"/>
      <c r="FJH556" s="178"/>
      <c r="FJI556" s="178"/>
      <c r="FJJ556" s="178"/>
      <c r="FJK556" s="178"/>
      <c r="FJL556" s="178"/>
      <c r="FJM556" s="178"/>
      <c r="FJN556" s="178"/>
      <c r="FJO556" s="178"/>
      <c r="FJP556" s="178"/>
      <c r="FJQ556" s="178"/>
      <c r="FJR556" s="178"/>
      <c r="FJS556" s="178"/>
      <c r="FJT556" s="178"/>
      <c r="FJU556" s="178"/>
      <c r="FJV556" s="178"/>
      <c r="FJW556" s="178"/>
      <c r="FJX556" s="178"/>
      <c r="FJY556" s="178"/>
      <c r="FJZ556" s="178"/>
      <c r="FKA556" s="178"/>
      <c r="FKB556" s="178"/>
      <c r="FKC556" s="178"/>
      <c r="FKD556" s="178"/>
      <c r="FKE556" s="178"/>
      <c r="FKF556" s="178"/>
      <c r="FKG556" s="178"/>
      <c r="FKH556" s="178"/>
      <c r="FKI556" s="178"/>
      <c r="FKJ556" s="178"/>
      <c r="FKK556" s="178"/>
      <c r="FKL556" s="178"/>
      <c r="FKM556" s="178"/>
      <c r="FKN556" s="178"/>
      <c r="FKO556" s="178"/>
      <c r="FKP556" s="178"/>
      <c r="FKQ556" s="178"/>
      <c r="FKR556" s="178"/>
      <c r="FKS556" s="178"/>
      <c r="FKT556" s="178"/>
      <c r="FKU556" s="178"/>
      <c r="FKV556" s="178"/>
      <c r="FKW556" s="178"/>
      <c r="FKX556" s="178"/>
      <c r="FKY556" s="178"/>
      <c r="FKZ556" s="178"/>
      <c r="FLA556" s="178"/>
      <c r="FLB556" s="178"/>
      <c r="FLC556" s="178"/>
      <c r="FLD556" s="178"/>
      <c r="FLE556" s="178"/>
      <c r="FLF556" s="178"/>
      <c r="FLG556" s="178"/>
      <c r="FLH556" s="178"/>
      <c r="FLI556" s="178"/>
      <c r="FLJ556" s="178"/>
      <c r="FLK556" s="178"/>
      <c r="FLL556" s="178"/>
      <c r="FLM556" s="178"/>
      <c r="FLN556" s="178"/>
      <c r="FLO556" s="178"/>
      <c r="FLP556" s="178"/>
      <c r="FLQ556" s="178"/>
      <c r="FLR556" s="178"/>
      <c r="FLS556" s="178"/>
      <c r="FLT556" s="178"/>
      <c r="FLU556" s="178"/>
      <c r="FLV556" s="178"/>
      <c r="FLW556" s="178"/>
      <c r="FLX556" s="178"/>
      <c r="FLY556" s="178"/>
      <c r="FLZ556" s="178"/>
      <c r="FMA556" s="178"/>
      <c r="FMB556" s="178"/>
      <c r="FMC556" s="178"/>
      <c r="FMD556" s="178"/>
      <c r="FME556" s="178"/>
      <c r="FMF556" s="178"/>
      <c r="FMG556" s="178"/>
      <c r="FMH556" s="178"/>
      <c r="FMI556" s="178"/>
      <c r="FMJ556" s="178"/>
      <c r="FMK556" s="178"/>
      <c r="FML556" s="178"/>
      <c r="FMM556" s="178"/>
      <c r="FMN556" s="178"/>
      <c r="FMO556" s="178"/>
      <c r="FMP556" s="178"/>
      <c r="FMQ556" s="178"/>
      <c r="FMR556" s="178"/>
      <c r="FMS556" s="178"/>
      <c r="FMT556" s="178"/>
      <c r="FMU556" s="178"/>
      <c r="FMV556" s="178"/>
      <c r="FMW556" s="178"/>
      <c r="FMX556" s="178"/>
      <c r="FMY556" s="178"/>
      <c r="FMZ556" s="178"/>
      <c r="FNA556" s="178"/>
      <c r="FNB556" s="178"/>
      <c r="FNC556" s="178"/>
      <c r="FND556" s="178"/>
      <c r="FNE556" s="178"/>
      <c r="FNF556" s="178"/>
      <c r="FNG556" s="178"/>
      <c r="FNH556" s="178"/>
      <c r="FNI556" s="178"/>
      <c r="FNJ556" s="178"/>
      <c r="FNK556" s="178"/>
      <c r="FNL556" s="178"/>
      <c r="FNM556" s="178"/>
      <c r="FNN556" s="178"/>
      <c r="FNO556" s="178"/>
      <c r="FNP556" s="178"/>
      <c r="FNQ556" s="178"/>
      <c r="FNR556" s="178"/>
      <c r="FNS556" s="178"/>
      <c r="FNT556" s="178"/>
      <c r="FNU556" s="178"/>
      <c r="FNV556" s="178"/>
      <c r="FNW556" s="178"/>
      <c r="FNX556" s="178"/>
      <c r="FNY556" s="178"/>
      <c r="FNZ556" s="178"/>
      <c r="FOA556" s="178"/>
      <c r="FOB556" s="178"/>
      <c r="FOC556" s="178"/>
      <c r="FOD556" s="178"/>
      <c r="FOE556" s="178"/>
      <c r="FOF556" s="178"/>
      <c r="FOG556" s="178"/>
      <c r="FOH556" s="178"/>
      <c r="FOI556" s="178"/>
      <c r="FOJ556" s="178"/>
      <c r="FOK556" s="178"/>
      <c r="FOL556" s="178"/>
      <c r="FOM556" s="178"/>
      <c r="FON556" s="178"/>
      <c r="FOO556" s="178"/>
      <c r="FOP556" s="178"/>
      <c r="FOQ556" s="178"/>
      <c r="FOR556" s="178"/>
      <c r="FOS556" s="178"/>
      <c r="FOT556" s="178"/>
      <c r="FOU556" s="178"/>
      <c r="FOV556" s="178"/>
      <c r="FOW556" s="178"/>
      <c r="FOX556" s="178"/>
      <c r="FOY556" s="178"/>
      <c r="FOZ556" s="178"/>
      <c r="FPA556" s="178"/>
      <c r="FPB556" s="178"/>
      <c r="FPC556" s="178"/>
      <c r="FPD556" s="178"/>
      <c r="FPE556" s="178"/>
      <c r="FPF556" s="178"/>
      <c r="FPG556" s="178"/>
      <c r="FPH556" s="178"/>
      <c r="FPI556" s="178"/>
      <c r="FPJ556" s="178"/>
      <c r="FPK556" s="178"/>
      <c r="FPL556" s="178"/>
      <c r="FPM556" s="178"/>
      <c r="FPN556" s="178"/>
      <c r="FPO556" s="178"/>
      <c r="FPP556" s="178"/>
      <c r="FPQ556" s="178"/>
      <c r="FPR556" s="178"/>
      <c r="FPS556" s="178"/>
      <c r="FPT556" s="178"/>
      <c r="FPU556" s="178"/>
      <c r="FPV556" s="178"/>
      <c r="FPW556" s="178"/>
      <c r="FPX556" s="178"/>
      <c r="FPY556" s="178"/>
      <c r="FPZ556" s="178"/>
      <c r="FQA556" s="178"/>
      <c r="FQB556" s="178"/>
      <c r="FQC556" s="178"/>
      <c r="FQD556" s="178"/>
      <c r="FQE556" s="178"/>
      <c r="FQF556" s="178"/>
      <c r="FQG556" s="178"/>
      <c r="FQH556" s="178"/>
      <c r="FQI556" s="178"/>
      <c r="FQJ556" s="178"/>
      <c r="FQK556" s="178"/>
      <c r="FQL556" s="178"/>
      <c r="FQM556" s="178"/>
      <c r="FQN556" s="178"/>
      <c r="FQO556" s="178"/>
      <c r="FQP556" s="178"/>
      <c r="FQQ556" s="178"/>
      <c r="FQR556" s="178"/>
      <c r="FQS556" s="178"/>
      <c r="FQT556" s="178"/>
      <c r="FQU556" s="178"/>
      <c r="FQV556" s="178"/>
      <c r="FQW556" s="178"/>
      <c r="FQX556" s="178"/>
      <c r="FQY556" s="178"/>
      <c r="FQZ556" s="178"/>
      <c r="FRA556" s="178"/>
      <c r="FRB556" s="178"/>
      <c r="FRC556" s="178"/>
      <c r="FRD556" s="178"/>
      <c r="FRE556" s="178"/>
      <c r="FRF556" s="178"/>
      <c r="FRG556" s="178"/>
      <c r="FRH556" s="178"/>
      <c r="FRI556" s="178"/>
      <c r="FRJ556" s="178"/>
      <c r="FRK556" s="178"/>
      <c r="FRL556" s="178"/>
      <c r="FRM556" s="178"/>
      <c r="FRN556" s="178"/>
      <c r="FRO556" s="178"/>
      <c r="FRP556" s="178"/>
      <c r="FRQ556" s="178"/>
      <c r="FRR556" s="178"/>
      <c r="FRS556" s="178"/>
      <c r="FRT556" s="178"/>
      <c r="FRU556" s="178"/>
      <c r="FRV556" s="178"/>
      <c r="FRW556" s="178"/>
      <c r="FRX556" s="178"/>
      <c r="FRY556" s="178"/>
      <c r="FRZ556" s="178"/>
      <c r="FSA556" s="178"/>
      <c r="FSB556" s="178"/>
      <c r="FSC556" s="178"/>
      <c r="FSD556" s="178"/>
      <c r="FSE556" s="178"/>
      <c r="FSF556" s="178"/>
      <c r="FSG556" s="178"/>
      <c r="FSH556" s="178"/>
      <c r="FSI556" s="178"/>
      <c r="FSJ556" s="178"/>
      <c r="FSK556" s="178"/>
      <c r="FSL556" s="178"/>
      <c r="FSM556" s="178"/>
      <c r="FSN556" s="178"/>
      <c r="FSO556" s="178"/>
      <c r="FSP556" s="178"/>
      <c r="FSQ556" s="178"/>
      <c r="FSR556" s="178"/>
      <c r="FSS556" s="178"/>
      <c r="FST556" s="178"/>
      <c r="FSU556" s="178"/>
      <c r="FSV556" s="178"/>
      <c r="FSW556" s="178"/>
      <c r="FSX556" s="178"/>
      <c r="FSY556" s="178"/>
      <c r="FSZ556" s="178"/>
      <c r="FTA556" s="178"/>
      <c r="FTB556" s="178"/>
      <c r="FTC556" s="178"/>
      <c r="FTD556" s="178"/>
      <c r="FTE556" s="178"/>
      <c r="FTF556" s="178"/>
      <c r="FTG556" s="178"/>
      <c r="FTH556" s="178"/>
      <c r="FTI556" s="178"/>
      <c r="FTJ556" s="178"/>
      <c r="FTK556" s="178"/>
      <c r="FTL556" s="178"/>
      <c r="FTM556" s="178"/>
      <c r="FTN556" s="178"/>
      <c r="FTO556" s="178"/>
      <c r="FTP556" s="178"/>
      <c r="FTQ556" s="178"/>
      <c r="FTR556" s="178"/>
      <c r="FTS556" s="178"/>
      <c r="FTT556" s="178"/>
      <c r="FTU556" s="178"/>
      <c r="FTV556" s="178"/>
      <c r="FTW556" s="178"/>
      <c r="FTX556" s="178"/>
      <c r="FTY556" s="178"/>
      <c r="FTZ556" s="178"/>
      <c r="FUA556" s="178"/>
      <c r="FUB556" s="178"/>
      <c r="FUC556" s="178"/>
      <c r="FUD556" s="178"/>
      <c r="FUE556" s="178"/>
      <c r="FUF556" s="178"/>
      <c r="FUG556" s="178"/>
      <c r="FUH556" s="178"/>
      <c r="FUI556" s="178"/>
      <c r="FUJ556" s="178"/>
      <c r="FUK556" s="178"/>
      <c r="FUL556" s="178"/>
      <c r="FUM556" s="178"/>
      <c r="FUN556" s="178"/>
      <c r="FUO556" s="178"/>
      <c r="FUP556" s="178"/>
      <c r="FUQ556" s="178"/>
      <c r="FUR556" s="178"/>
      <c r="FUS556" s="178"/>
      <c r="FUT556" s="178"/>
      <c r="FUU556" s="178"/>
      <c r="FUV556" s="178"/>
      <c r="FUW556" s="178"/>
      <c r="FUX556" s="178"/>
      <c r="FUY556" s="178"/>
      <c r="FUZ556" s="178"/>
      <c r="FVA556" s="178"/>
      <c r="FVB556" s="178"/>
      <c r="FVC556" s="178"/>
      <c r="FVD556" s="178"/>
      <c r="FVE556" s="178"/>
      <c r="FVF556" s="178"/>
      <c r="FVG556" s="178"/>
      <c r="FVH556" s="178"/>
      <c r="FVI556" s="178"/>
      <c r="FVJ556" s="178"/>
      <c r="FVK556" s="178"/>
      <c r="FVL556" s="178"/>
      <c r="FVM556" s="178"/>
      <c r="FVN556" s="178"/>
      <c r="FVO556" s="178"/>
      <c r="FVP556" s="178"/>
      <c r="FVQ556" s="178"/>
      <c r="FVR556" s="178"/>
      <c r="FVS556" s="178"/>
      <c r="FVT556" s="178"/>
      <c r="FVU556" s="178"/>
      <c r="FVV556" s="178"/>
      <c r="FVW556" s="178"/>
      <c r="FVX556" s="178"/>
      <c r="FVY556" s="178"/>
      <c r="FVZ556" s="178"/>
      <c r="FWA556" s="178"/>
      <c r="FWB556" s="178"/>
      <c r="FWC556" s="178"/>
      <c r="FWD556" s="178"/>
      <c r="FWE556" s="178"/>
      <c r="FWF556" s="178"/>
      <c r="FWG556" s="178"/>
      <c r="FWH556" s="178"/>
      <c r="FWI556" s="178"/>
      <c r="FWJ556" s="178"/>
      <c r="FWK556" s="178"/>
      <c r="FWL556" s="178"/>
      <c r="FWM556" s="178"/>
      <c r="FWN556" s="178"/>
      <c r="FWO556" s="178"/>
      <c r="FWP556" s="178"/>
      <c r="FWQ556" s="178"/>
      <c r="FWR556" s="178"/>
      <c r="FWS556" s="178"/>
      <c r="FWT556" s="178"/>
      <c r="FWU556" s="178"/>
      <c r="FWV556" s="178"/>
      <c r="FWW556" s="178"/>
      <c r="FWX556" s="178"/>
      <c r="FWY556" s="178"/>
      <c r="FWZ556" s="178"/>
      <c r="FXA556" s="178"/>
      <c r="FXB556" s="178"/>
      <c r="FXC556" s="178"/>
      <c r="FXD556" s="178"/>
      <c r="FXE556" s="178"/>
      <c r="FXF556" s="178"/>
      <c r="FXG556" s="178"/>
      <c r="FXH556" s="178"/>
      <c r="FXI556" s="178"/>
      <c r="FXJ556" s="178"/>
      <c r="FXK556" s="178"/>
      <c r="FXL556" s="178"/>
      <c r="FXM556" s="178"/>
      <c r="FXN556" s="178"/>
      <c r="FXO556" s="178"/>
      <c r="FXP556" s="178"/>
      <c r="FXQ556" s="178"/>
      <c r="FXR556" s="178"/>
      <c r="FXS556" s="178"/>
      <c r="FXT556" s="178"/>
      <c r="FXU556" s="178"/>
      <c r="FXV556" s="178"/>
      <c r="FXW556" s="178"/>
      <c r="FXX556" s="178"/>
      <c r="FXY556" s="178"/>
      <c r="FXZ556" s="178"/>
      <c r="FYA556" s="178"/>
      <c r="FYB556" s="178"/>
      <c r="FYC556" s="178"/>
      <c r="FYD556" s="178"/>
      <c r="FYE556" s="178"/>
      <c r="FYF556" s="178"/>
      <c r="FYG556" s="178"/>
      <c r="FYH556" s="178"/>
      <c r="FYI556" s="178"/>
      <c r="FYJ556" s="178"/>
      <c r="FYK556" s="178"/>
      <c r="FYL556" s="178"/>
      <c r="FYM556" s="178"/>
      <c r="FYN556" s="178"/>
      <c r="FYO556" s="178"/>
      <c r="FYP556" s="178"/>
      <c r="FYQ556" s="178"/>
      <c r="FYR556" s="178"/>
      <c r="FYS556" s="178"/>
      <c r="FYT556" s="178"/>
      <c r="FYU556" s="178"/>
      <c r="FYV556" s="178"/>
      <c r="FYW556" s="178"/>
      <c r="FYX556" s="178"/>
      <c r="FYY556" s="178"/>
      <c r="FYZ556" s="178"/>
      <c r="FZA556" s="178"/>
      <c r="FZB556" s="178"/>
      <c r="FZC556" s="178"/>
      <c r="FZD556" s="178"/>
      <c r="FZE556" s="178"/>
      <c r="FZF556" s="178"/>
      <c r="FZG556" s="178"/>
      <c r="FZH556" s="178"/>
      <c r="FZI556" s="178"/>
      <c r="FZJ556" s="178"/>
      <c r="FZK556" s="178"/>
      <c r="FZL556" s="178"/>
      <c r="FZM556" s="178"/>
      <c r="FZN556" s="178"/>
      <c r="FZO556" s="178"/>
      <c r="FZP556" s="178"/>
      <c r="FZQ556" s="178"/>
      <c r="FZR556" s="178"/>
      <c r="FZS556" s="178"/>
      <c r="FZT556" s="178"/>
      <c r="FZU556" s="178"/>
      <c r="FZV556" s="178"/>
      <c r="FZW556" s="178"/>
      <c r="FZX556" s="178"/>
      <c r="FZY556" s="178"/>
      <c r="FZZ556" s="178"/>
      <c r="GAA556" s="178"/>
      <c r="GAB556" s="178"/>
      <c r="GAC556" s="178"/>
      <c r="GAD556" s="178"/>
      <c r="GAE556" s="178"/>
      <c r="GAF556" s="178"/>
      <c r="GAG556" s="178"/>
      <c r="GAH556" s="178"/>
      <c r="GAI556" s="178"/>
      <c r="GAJ556" s="178"/>
      <c r="GAK556" s="178"/>
      <c r="GAL556" s="178"/>
      <c r="GAM556" s="178"/>
      <c r="GAN556" s="178"/>
      <c r="GAO556" s="178"/>
      <c r="GAP556" s="178"/>
      <c r="GAQ556" s="178"/>
      <c r="GAR556" s="178"/>
      <c r="GAS556" s="178"/>
      <c r="GAT556" s="178"/>
      <c r="GAU556" s="178"/>
      <c r="GAV556" s="178"/>
      <c r="GAW556" s="178"/>
      <c r="GAX556" s="178"/>
      <c r="GAY556" s="178"/>
      <c r="GAZ556" s="178"/>
      <c r="GBA556" s="178"/>
      <c r="GBB556" s="178"/>
      <c r="GBC556" s="178"/>
      <c r="GBD556" s="178"/>
      <c r="GBE556" s="178"/>
      <c r="GBF556" s="178"/>
      <c r="GBG556" s="178"/>
      <c r="GBH556" s="178"/>
      <c r="GBI556" s="178"/>
      <c r="GBJ556" s="178"/>
      <c r="GBK556" s="178"/>
      <c r="GBL556" s="178"/>
      <c r="GBM556" s="178"/>
      <c r="GBN556" s="178"/>
      <c r="GBO556" s="178"/>
      <c r="GBP556" s="178"/>
      <c r="GBQ556" s="178"/>
      <c r="GBR556" s="178"/>
      <c r="GBS556" s="178"/>
      <c r="GBT556" s="178"/>
      <c r="GBU556" s="178"/>
      <c r="GBV556" s="178"/>
      <c r="GBW556" s="178"/>
      <c r="GBX556" s="178"/>
      <c r="GBY556" s="178"/>
      <c r="GBZ556" s="178"/>
      <c r="GCA556" s="178"/>
      <c r="GCB556" s="178"/>
      <c r="GCC556" s="178"/>
      <c r="GCD556" s="178"/>
      <c r="GCE556" s="178"/>
      <c r="GCF556" s="178"/>
      <c r="GCG556" s="178"/>
      <c r="GCH556" s="178"/>
      <c r="GCI556" s="178"/>
      <c r="GCJ556" s="178"/>
      <c r="GCK556" s="178"/>
      <c r="GCL556" s="178"/>
      <c r="GCM556" s="178"/>
      <c r="GCN556" s="178"/>
      <c r="GCO556" s="178"/>
      <c r="GCP556" s="178"/>
      <c r="GCQ556" s="178"/>
      <c r="GCR556" s="178"/>
      <c r="GCS556" s="178"/>
      <c r="GCT556" s="178"/>
      <c r="GCU556" s="178"/>
      <c r="GCV556" s="178"/>
      <c r="GCW556" s="178"/>
      <c r="GCX556" s="178"/>
      <c r="GCY556" s="178"/>
      <c r="GCZ556" s="178"/>
      <c r="GDA556" s="178"/>
      <c r="GDB556" s="178"/>
      <c r="GDC556" s="178"/>
      <c r="GDD556" s="178"/>
      <c r="GDE556" s="178"/>
      <c r="GDF556" s="178"/>
      <c r="GDG556" s="178"/>
      <c r="GDH556" s="178"/>
      <c r="GDI556" s="178"/>
      <c r="GDJ556" s="178"/>
      <c r="GDK556" s="178"/>
      <c r="GDL556" s="178"/>
      <c r="GDM556" s="178"/>
      <c r="GDN556" s="178"/>
      <c r="GDO556" s="178"/>
      <c r="GDP556" s="178"/>
      <c r="GDQ556" s="178"/>
      <c r="GDR556" s="178"/>
      <c r="GDS556" s="178"/>
      <c r="GDT556" s="178"/>
      <c r="GDU556" s="178"/>
      <c r="GDV556" s="178"/>
      <c r="GDW556" s="178"/>
      <c r="GDX556" s="178"/>
      <c r="GDY556" s="178"/>
      <c r="GDZ556" s="178"/>
      <c r="GEA556" s="178"/>
      <c r="GEB556" s="178"/>
      <c r="GEC556" s="178"/>
      <c r="GED556" s="178"/>
      <c r="GEE556" s="178"/>
      <c r="GEF556" s="178"/>
      <c r="GEG556" s="178"/>
      <c r="GEH556" s="178"/>
      <c r="GEI556" s="178"/>
      <c r="GEJ556" s="178"/>
      <c r="GEK556" s="178"/>
      <c r="GEL556" s="178"/>
      <c r="GEM556" s="178"/>
      <c r="GEN556" s="178"/>
      <c r="GEO556" s="178"/>
      <c r="GEP556" s="178"/>
      <c r="GEQ556" s="178"/>
      <c r="GER556" s="178"/>
      <c r="GES556" s="178"/>
      <c r="GET556" s="178"/>
      <c r="GEU556" s="178"/>
      <c r="GEV556" s="178"/>
      <c r="GEW556" s="178"/>
      <c r="GEX556" s="178"/>
      <c r="GEY556" s="178"/>
      <c r="GEZ556" s="178"/>
      <c r="GFA556" s="178"/>
      <c r="GFB556" s="178"/>
      <c r="GFC556" s="178"/>
      <c r="GFD556" s="178"/>
      <c r="GFE556" s="178"/>
      <c r="GFF556" s="178"/>
      <c r="GFG556" s="178"/>
      <c r="GFH556" s="178"/>
      <c r="GFI556" s="178"/>
      <c r="GFJ556" s="178"/>
      <c r="GFK556" s="178"/>
      <c r="GFL556" s="178"/>
      <c r="GFM556" s="178"/>
      <c r="GFN556" s="178"/>
      <c r="GFO556" s="178"/>
      <c r="GFP556" s="178"/>
      <c r="GFQ556" s="178"/>
      <c r="GFR556" s="178"/>
      <c r="GFS556" s="178"/>
      <c r="GFT556" s="178"/>
      <c r="GFU556" s="178"/>
      <c r="GFV556" s="178"/>
      <c r="GFW556" s="178"/>
      <c r="GFX556" s="178"/>
      <c r="GFY556" s="178"/>
      <c r="GFZ556" s="178"/>
      <c r="GGA556" s="178"/>
      <c r="GGB556" s="178"/>
      <c r="GGC556" s="178"/>
      <c r="GGD556" s="178"/>
      <c r="GGE556" s="178"/>
      <c r="GGF556" s="178"/>
      <c r="GGG556" s="178"/>
      <c r="GGH556" s="178"/>
      <c r="GGI556" s="178"/>
      <c r="GGJ556" s="178"/>
      <c r="GGK556" s="178"/>
      <c r="GGL556" s="178"/>
      <c r="GGM556" s="178"/>
      <c r="GGN556" s="178"/>
      <c r="GGO556" s="178"/>
      <c r="GGP556" s="178"/>
      <c r="GGQ556" s="178"/>
      <c r="GGR556" s="178"/>
      <c r="GGS556" s="178"/>
      <c r="GGT556" s="178"/>
      <c r="GGU556" s="178"/>
      <c r="GGV556" s="178"/>
      <c r="GGW556" s="178"/>
      <c r="GGX556" s="178"/>
      <c r="GGY556" s="178"/>
      <c r="GGZ556" s="178"/>
      <c r="GHA556" s="178"/>
      <c r="GHB556" s="178"/>
      <c r="GHC556" s="178"/>
      <c r="GHD556" s="178"/>
      <c r="GHE556" s="178"/>
      <c r="GHF556" s="178"/>
      <c r="GHG556" s="178"/>
      <c r="GHH556" s="178"/>
      <c r="GHI556" s="178"/>
      <c r="GHJ556" s="178"/>
      <c r="GHK556" s="178"/>
      <c r="GHL556" s="178"/>
      <c r="GHM556" s="178"/>
      <c r="GHN556" s="178"/>
      <c r="GHO556" s="178"/>
      <c r="GHP556" s="178"/>
      <c r="GHQ556" s="178"/>
      <c r="GHR556" s="178"/>
      <c r="GHS556" s="178"/>
      <c r="GHT556" s="178"/>
      <c r="GHU556" s="178"/>
      <c r="GHV556" s="178"/>
      <c r="GHW556" s="178"/>
      <c r="GHX556" s="178"/>
      <c r="GHY556" s="178"/>
      <c r="GHZ556" s="178"/>
      <c r="GIA556" s="178"/>
      <c r="GIB556" s="178"/>
      <c r="GIC556" s="178"/>
      <c r="GID556" s="178"/>
      <c r="GIE556" s="178"/>
      <c r="GIF556" s="178"/>
      <c r="GIG556" s="178"/>
      <c r="GIH556" s="178"/>
      <c r="GII556" s="178"/>
      <c r="GIJ556" s="178"/>
      <c r="GIK556" s="178"/>
      <c r="GIL556" s="178"/>
      <c r="GIM556" s="178"/>
      <c r="GIN556" s="178"/>
      <c r="GIO556" s="178"/>
      <c r="GIP556" s="178"/>
      <c r="GIQ556" s="178"/>
      <c r="GIR556" s="178"/>
      <c r="GIS556" s="178"/>
      <c r="GIT556" s="178"/>
      <c r="GIU556" s="178"/>
      <c r="GIV556" s="178"/>
      <c r="GIW556" s="178"/>
      <c r="GIX556" s="178"/>
      <c r="GIY556" s="178"/>
      <c r="GIZ556" s="178"/>
      <c r="GJA556" s="178"/>
      <c r="GJB556" s="178"/>
      <c r="GJC556" s="178"/>
      <c r="GJD556" s="178"/>
      <c r="GJE556" s="178"/>
      <c r="GJF556" s="178"/>
      <c r="GJG556" s="178"/>
      <c r="GJH556" s="178"/>
      <c r="GJI556" s="178"/>
      <c r="GJJ556" s="178"/>
      <c r="GJK556" s="178"/>
      <c r="GJL556" s="178"/>
      <c r="GJM556" s="178"/>
      <c r="GJN556" s="178"/>
      <c r="GJO556" s="178"/>
      <c r="GJP556" s="178"/>
      <c r="GJQ556" s="178"/>
      <c r="GJR556" s="178"/>
      <c r="GJS556" s="178"/>
      <c r="GJT556" s="178"/>
      <c r="GJU556" s="178"/>
      <c r="GJV556" s="178"/>
      <c r="GJW556" s="178"/>
      <c r="GJX556" s="178"/>
      <c r="GJY556" s="178"/>
      <c r="GJZ556" s="178"/>
      <c r="GKA556" s="178"/>
      <c r="GKB556" s="178"/>
      <c r="GKC556" s="178"/>
      <c r="GKD556" s="178"/>
      <c r="GKE556" s="178"/>
      <c r="GKF556" s="178"/>
      <c r="GKG556" s="178"/>
      <c r="GKH556" s="178"/>
      <c r="GKI556" s="178"/>
      <c r="GKJ556" s="178"/>
      <c r="GKK556" s="178"/>
      <c r="GKL556" s="178"/>
      <c r="GKM556" s="178"/>
      <c r="GKN556" s="178"/>
      <c r="GKO556" s="178"/>
      <c r="GKP556" s="178"/>
      <c r="GKQ556" s="178"/>
      <c r="GKR556" s="178"/>
      <c r="GKS556" s="178"/>
      <c r="GKT556" s="178"/>
      <c r="GKU556" s="178"/>
      <c r="GKV556" s="178"/>
      <c r="GKW556" s="178"/>
      <c r="GKX556" s="178"/>
      <c r="GKY556" s="178"/>
      <c r="GKZ556" s="178"/>
      <c r="GLA556" s="178"/>
      <c r="GLB556" s="178"/>
      <c r="GLC556" s="178"/>
      <c r="GLD556" s="178"/>
      <c r="GLE556" s="178"/>
      <c r="GLF556" s="178"/>
      <c r="GLG556" s="178"/>
      <c r="GLH556" s="178"/>
      <c r="GLI556" s="178"/>
      <c r="GLJ556" s="178"/>
      <c r="GLK556" s="178"/>
      <c r="GLL556" s="178"/>
      <c r="GLM556" s="178"/>
      <c r="GLN556" s="178"/>
      <c r="GLO556" s="178"/>
      <c r="GLP556" s="178"/>
      <c r="GLQ556" s="178"/>
      <c r="GLR556" s="178"/>
      <c r="GLS556" s="178"/>
      <c r="GLT556" s="178"/>
      <c r="GLU556" s="178"/>
      <c r="GLV556" s="178"/>
      <c r="GLW556" s="178"/>
      <c r="GLX556" s="178"/>
      <c r="GLY556" s="178"/>
      <c r="GLZ556" s="178"/>
      <c r="GMA556" s="178"/>
      <c r="GMB556" s="178"/>
      <c r="GMC556" s="178"/>
      <c r="GMD556" s="178"/>
      <c r="GME556" s="178"/>
      <c r="GMF556" s="178"/>
      <c r="GMG556" s="178"/>
      <c r="GMH556" s="178"/>
      <c r="GMI556" s="178"/>
      <c r="GMJ556" s="178"/>
      <c r="GMK556" s="178"/>
      <c r="GML556" s="178"/>
      <c r="GMM556" s="178"/>
      <c r="GMN556" s="178"/>
      <c r="GMO556" s="178"/>
      <c r="GMP556" s="178"/>
      <c r="GMQ556" s="178"/>
      <c r="GMR556" s="178"/>
      <c r="GMS556" s="178"/>
      <c r="GMT556" s="178"/>
      <c r="GMU556" s="178"/>
      <c r="GMV556" s="178"/>
      <c r="GMW556" s="178"/>
      <c r="GMX556" s="178"/>
      <c r="GMY556" s="178"/>
      <c r="GMZ556" s="178"/>
      <c r="GNA556" s="178"/>
      <c r="GNB556" s="178"/>
      <c r="GNC556" s="178"/>
      <c r="GND556" s="178"/>
      <c r="GNE556" s="178"/>
      <c r="GNF556" s="178"/>
      <c r="GNG556" s="178"/>
      <c r="GNH556" s="178"/>
      <c r="GNI556" s="178"/>
      <c r="GNJ556" s="178"/>
      <c r="GNK556" s="178"/>
      <c r="GNL556" s="178"/>
      <c r="GNM556" s="178"/>
      <c r="GNN556" s="178"/>
      <c r="GNO556" s="178"/>
      <c r="GNP556" s="178"/>
      <c r="GNQ556" s="178"/>
      <c r="GNR556" s="178"/>
      <c r="GNS556" s="178"/>
      <c r="GNT556" s="178"/>
      <c r="GNU556" s="178"/>
      <c r="GNV556" s="178"/>
      <c r="GNW556" s="178"/>
      <c r="GNX556" s="178"/>
      <c r="GNY556" s="178"/>
      <c r="GNZ556" s="178"/>
      <c r="GOA556" s="178"/>
      <c r="GOB556" s="178"/>
      <c r="GOC556" s="178"/>
      <c r="GOD556" s="178"/>
      <c r="GOE556" s="178"/>
      <c r="GOF556" s="178"/>
      <c r="GOG556" s="178"/>
      <c r="GOH556" s="178"/>
      <c r="GOI556" s="178"/>
      <c r="GOJ556" s="178"/>
      <c r="GOK556" s="178"/>
      <c r="GOL556" s="178"/>
      <c r="GOM556" s="178"/>
      <c r="GON556" s="178"/>
      <c r="GOO556" s="178"/>
      <c r="GOP556" s="178"/>
      <c r="GOQ556" s="178"/>
      <c r="GOR556" s="178"/>
      <c r="GOS556" s="178"/>
      <c r="GOT556" s="178"/>
      <c r="GOU556" s="178"/>
      <c r="GOV556" s="178"/>
      <c r="GOW556" s="178"/>
      <c r="GOX556" s="178"/>
      <c r="GOY556" s="178"/>
      <c r="GOZ556" s="178"/>
      <c r="GPA556" s="178"/>
      <c r="GPB556" s="178"/>
      <c r="GPC556" s="178"/>
      <c r="GPD556" s="178"/>
      <c r="GPE556" s="178"/>
      <c r="GPF556" s="178"/>
      <c r="GPG556" s="178"/>
      <c r="GPH556" s="178"/>
      <c r="GPI556" s="178"/>
      <c r="GPJ556" s="178"/>
      <c r="GPK556" s="178"/>
      <c r="GPL556" s="178"/>
      <c r="GPM556" s="178"/>
      <c r="GPN556" s="178"/>
      <c r="GPO556" s="178"/>
      <c r="GPP556" s="178"/>
      <c r="GPQ556" s="178"/>
      <c r="GPR556" s="178"/>
      <c r="GPS556" s="178"/>
      <c r="GPT556" s="178"/>
      <c r="GPU556" s="178"/>
      <c r="GPV556" s="178"/>
      <c r="GPW556" s="178"/>
      <c r="GPX556" s="178"/>
      <c r="GPY556" s="178"/>
      <c r="GPZ556" s="178"/>
      <c r="GQA556" s="178"/>
      <c r="GQB556" s="178"/>
      <c r="GQC556" s="178"/>
      <c r="GQD556" s="178"/>
      <c r="GQE556" s="178"/>
      <c r="GQF556" s="178"/>
      <c r="GQG556" s="178"/>
      <c r="GQH556" s="178"/>
      <c r="GQI556" s="178"/>
      <c r="GQJ556" s="178"/>
      <c r="GQK556" s="178"/>
      <c r="GQL556" s="178"/>
      <c r="GQM556" s="178"/>
      <c r="GQN556" s="178"/>
      <c r="GQO556" s="178"/>
      <c r="GQP556" s="178"/>
      <c r="GQQ556" s="178"/>
      <c r="GQR556" s="178"/>
      <c r="GQS556" s="178"/>
      <c r="GQT556" s="178"/>
      <c r="GQU556" s="178"/>
      <c r="GQV556" s="178"/>
      <c r="GQW556" s="178"/>
      <c r="GQX556" s="178"/>
      <c r="GQY556" s="178"/>
      <c r="GQZ556" s="178"/>
      <c r="GRA556" s="178"/>
      <c r="GRB556" s="178"/>
      <c r="GRC556" s="178"/>
      <c r="GRD556" s="178"/>
      <c r="GRE556" s="178"/>
      <c r="GRF556" s="178"/>
      <c r="GRG556" s="178"/>
      <c r="GRH556" s="178"/>
      <c r="GRI556" s="178"/>
      <c r="GRJ556" s="178"/>
      <c r="GRK556" s="178"/>
      <c r="GRL556" s="178"/>
      <c r="GRM556" s="178"/>
      <c r="GRN556" s="178"/>
      <c r="GRO556" s="178"/>
      <c r="GRP556" s="178"/>
      <c r="GRQ556" s="178"/>
      <c r="GRR556" s="178"/>
      <c r="GRS556" s="178"/>
      <c r="GRT556" s="178"/>
      <c r="GRU556" s="178"/>
      <c r="GRV556" s="178"/>
      <c r="GRW556" s="178"/>
      <c r="GRX556" s="178"/>
      <c r="GRY556" s="178"/>
      <c r="GRZ556" s="178"/>
      <c r="GSA556" s="178"/>
      <c r="GSB556" s="178"/>
      <c r="GSC556" s="178"/>
      <c r="GSD556" s="178"/>
      <c r="GSE556" s="178"/>
      <c r="GSF556" s="178"/>
      <c r="GSG556" s="178"/>
      <c r="GSH556" s="178"/>
      <c r="GSI556" s="178"/>
      <c r="GSJ556" s="178"/>
      <c r="GSK556" s="178"/>
      <c r="GSL556" s="178"/>
      <c r="GSM556" s="178"/>
      <c r="GSN556" s="178"/>
      <c r="GSO556" s="178"/>
      <c r="GSP556" s="178"/>
      <c r="GSQ556" s="178"/>
      <c r="GSR556" s="178"/>
      <c r="GSS556" s="178"/>
      <c r="GST556" s="178"/>
      <c r="GSU556" s="178"/>
      <c r="GSV556" s="178"/>
      <c r="GSW556" s="178"/>
      <c r="GSX556" s="178"/>
      <c r="GSY556" s="178"/>
      <c r="GSZ556" s="178"/>
      <c r="GTA556" s="178"/>
      <c r="GTB556" s="178"/>
      <c r="GTC556" s="178"/>
      <c r="GTD556" s="178"/>
      <c r="GTE556" s="178"/>
      <c r="GTF556" s="178"/>
      <c r="GTG556" s="178"/>
      <c r="GTH556" s="178"/>
      <c r="GTI556" s="178"/>
      <c r="GTJ556" s="178"/>
      <c r="GTK556" s="178"/>
      <c r="GTL556" s="178"/>
      <c r="GTM556" s="178"/>
      <c r="GTN556" s="178"/>
      <c r="GTO556" s="178"/>
      <c r="GTP556" s="178"/>
      <c r="GTQ556" s="178"/>
      <c r="GTR556" s="178"/>
      <c r="GTS556" s="178"/>
      <c r="GTT556" s="178"/>
      <c r="GTU556" s="178"/>
      <c r="GTV556" s="178"/>
      <c r="GTW556" s="178"/>
      <c r="GTX556" s="178"/>
      <c r="GTY556" s="178"/>
      <c r="GTZ556" s="178"/>
      <c r="GUA556" s="178"/>
      <c r="GUB556" s="178"/>
      <c r="GUC556" s="178"/>
      <c r="GUD556" s="178"/>
      <c r="GUE556" s="178"/>
      <c r="GUF556" s="178"/>
      <c r="GUG556" s="178"/>
      <c r="GUH556" s="178"/>
      <c r="GUI556" s="178"/>
      <c r="GUJ556" s="178"/>
      <c r="GUK556" s="178"/>
      <c r="GUL556" s="178"/>
      <c r="GUM556" s="178"/>
      <c r="GUN556" s="178"/>
      <c r="GUO556" s="178"/>
      <c r="GUP556" s="178"/>
      <c r="GUQ556" s="178"/>
      <c r="GUR556" s="178"/>
      <c r="GUS556" s="178"/>
      <c r="GUT556" s="178"/>
      <c r="GUU556" s="178"/>
      <c r="GUV556" s="178"/>
      <c r="GUW556" s="178"/>
      <c r="GUX556" s="178"/>
      <c r="GUY556" s="178"/>
      <c r="GUZ556" s="178"/>
      <c r="GVA556" s="178"/>
      <c r="GVB556" s="178"/>
      <c r="GVC556" s="178"/>
      <c r="GVD556" s="178"/>
      <c r="GVE556" s="178"/>
      <c r="GVF556" s="178"/>
      <c r="GVG556" s="178"/>
      <c r="GVH556" s="178"/>
      <c r="GVI556" s="178"/>
      <c r="GVJ556" s="178"/>
      <c r="GVK556" s="178"/>
      <c r="GVL556" s="178"/>
      <c r="GVM556" s="178"/>
      <c r="GVN556" s="178"/>
      <c r="GVO556" s="178"/>
      <c r="GVP556" s="178"/>
      <c r="GVQ556" s="178"/>
      <c r="GVR556" s="178"/>
      <c r="GVS556" s="178"/>
      <c r="GVT556" s="178"/>
      <c r="GVU556" s="178"/>
      <c r="GVV556" s="178"/>
      <c r="GVW556" s="178"/>
      <c r="GVX556" s="178"/>
      <c r="GVY556" s="178"/>
      <c r="GVZ556" s="178"/>
      <c r="GWA556" s="178"/>
      <c r="GWB556" s="178"/>
      <c r="GWC556" s="178"/>
      <c r="GWD556" s="178"/>
      <c r="GWE556" s="178"/>
      <c r="GWF556" s="178"/>
      <c r="GWG556" s="178"/>
      <c r="GWH556" s="178"/>
      <c r="GWI556" s="178"/>
      <c r="GWJ556" s="178"/>
      <c r="GWK556" s="178"/>
      <c r="GWL556" s="178"/>
      <c r="GWM556" s="178"/>
      <c r="GWN556" s="178"/>
      <c r="GWO556" s="178"/>
      <c r="GWP556" s="178"/>
      <c r="GWQ556" s="178"/>
      <c r="GWR556" s="178"/>
      <c r="GWS556" s="178"/>
      <c r="GWT556" s="178"/>
      <c r="GWU556" s="178"/>
      <c r="GWV556" s="178"/>
      <c r="GWW556" s="178"/>
      <c r="GWX556" s="178"/>
      <c r="GWY556" s="178"/>
      <c r="GWZ556" s="178"/>
      <c r="GXA556" s="178"/>
      <c r="GXB556" s="178"/>
      <c r="GXC556" s="178"/>
      <c r="GXD556" s="178"/>
      <c r="GXE556" s="178"/>
      <c r="GXF556" s="178"/>
      <c r="GXG556" s="178"/>
      <c r="GXH556" s="178"/>
      <c r="GXI556" s="178"/>
      <c r="GXJ556" s="178"/>
      <c r="GXK556" s="178"/>
      <c r="GXL556" s="178"/>
      <c r="GXM556" s="178"/>
      <c r="GXN556" s="178"/>
      <c r="GXO556" s="178"/>
      <c r="GXP556" s="178"/>
      <c r="GXQ556" s="178"/>
      <c r="GXR556" s="178"/>
      <c r="GXS556" s="178"/>
      <c r="GXT556" s="178"/>
      <c r="GXU556" s="178"/>
      <c r="GXV556" s="178"/>
      <c r="GXW556" s="178"/>
      <c r="GXX556" s="178"/>
      <c r="GXY556" s="178"/>
      <c r="GXZ556" s="178"/>
      <c r="GYA556" s="178"/>
      <c r="GYB556" s="178"/>
      <c r="GYC556" s="178"/>
      <c r="GYD556" s="178"/>
      <c r="GYE556" s="178"/>
      <c r="GYF556" s="178"/>
      <c r="GYG556" s="178"/>
      <c r="GYH556" s="178"/>
      <c r="GYI556" s="178"/>
      <c r="GYJ556" s="178"/>
      <c r="GYK556" s="178"/>
      <c r="GYL556" s="178"/>
      <c r="GYM556" s="178"/>
      <c r="GYN556" s="178"/>
      <c r="GYO556" s="178"/>
      <c r="GYP556" s="178"/>
      <c r="GYQ556" s="178"/>
      <c r="GYR556" s="178"/>
      <c r="GYS556" s="178"/>
      <c r="GYT556" s="178"/>
      <c r="GYU556" s="178"/>
      <c r="GYV556" s="178"/>
      <c r="GYW556" s="178"/>
      <c r="GYX556" s="178"/>
      <c r="GYY556" s="178"/>
      <c r="GYZ556" s="178"/>
      <c r="GZA556" s="178"/>
      <c r="GZB556" s="178"/>
      <c r="GZC556" s="178"/>
      <c r="GZD556" s="178"/>
      <c r="GZE556" s="178"/>
      <c r="GZF556" s="178"/>
      <c r="GZG556" s="178"/>
      <c r="GZH556" s="178"/>
      <c r="GZI556" s="178"/>
      <c r="GZJ556" s="178"/>
      <c r="GZK556" s="178"/>
      <c r="GZL556" s="178"/>
      <c r="GZM556" s="178"/>
      <c r="GZN556" s="178"/>
      <c r="GZO556" s="178"/>
      <c r="GZP556" s="178"/>
      <c r="GZQ556" s="178"/>
      <c r="GZR556" s="178"/>
      <c r="GZS556" s="178"/>
      <c r="GZT556" s="178"/>
      <c r="GZU556" s="178"/>
      <c r="GZV556" s="178"/>
      <c r="GZW556" s="178"/>
      <c r="GZX556" s="178"/>
      <c r="GZY556" s="178"/>
      <c r="GZZ556" s="178"/>
      <c r="HAA556" s="178"/>
      <c r="HAB556" s="178"/>
      <c r="HAC556" s="178"/>
      <c r="HAD556" s="178"/>
      <c r="HAE556" s="178"/>
      <c r="HAF556" s="178"/>
      <c r="HAG556" s="178"/>
      <c r="HAH556" s="178"/>
      <c r="HAI556" s="178"/>
      <c r="HAJ556" s="178"/>
      <c r="HAK556" s="178"/>
      <c r="HAL556" s="178"/>
      <c r="HAM556" s="178"/>
      <c r="HAN556" s="178"/>
      <c r="HAO556" s="178"/>
      <c r="HAP556" s="178"/>
      <c r="HAQ556" s="178"/>
      <c r="HAR556" s="178"/>
      <c r="HAS556" s="178"/>
      <c r="HAT556" s="178"/>
      <c r="HAU556" s="178"/>
      <c r="HAV556" s="178"/>
      <c r="HAW556" s="178"/>
      <c r="HAX556" s="178"/>
      <c r="HAY556" s="178"/>
      <c r="HAZ556" s="178"/>
      <c r="HBA556" s="178"/>
      <c r="HBB556" s="178"/>
      <c r="HBC556" s="178"/>
      <c r="HBD556" s="178"/>
      <c r="HBE556" s="178"/>
      <c r="HBF556" s="178"/>
      <c r="HBG556" s="178"/>
      <c r="HBH556" s="178"/>
      <c r="HBI556" s="178"/>
      <c r="HBJ556" s="178"/>
      <c r="HBK556" s="178"/>
      <c r="HBL556" s="178"/>
      <c r="HBM556" s="178"/>
      <c r="HBN556" s="178"/>
      <c r="HBO556" s="178"/>
      <c r="HBP556" s="178"/>
      <c r="HBQ556" s="178"/>
      <c r="HBR556" s="178"/>
      <c r="HBS556" s="178"/>
      <c r="HBT556" s="178"/>
      <c r="HBU556" s="178"/>
      <c r="HBV556" s="178"/>
      <c r="HBW556" s="178"/>
      <c r="HBX556" s="178"/>
      <c r="HBY556" s="178"/>
      <c r="HBZ556" s="178"/>
      <c r="HCA556" s="178"/>
      <c r="HCB556" s="178"/>
      <c r="HCC556" s="178"/>
      <c r="HCD556" s="178"/>
      <c r="HCE556" s="178"/>
      <c r="HCF556" s="178"/>
      <c r="HCG556" s="178"/>
      <c r="HCH556" s="178"/>
      <c r="HCI556" s="178"/>
      <c r="HCJ556" s="178"/>
      <c r="HCK556" s="178"/>
      <c r="HCL556" s="178"/>
      <c r="HCM556" s="178"/>
      <c r="HCN556" s="178"/>
      <c r="HCO556" s="178"/>
      <c r="HCP556" s="178"/>
      <c r="HCQ556" s="178"/>
      <c r="HCR556" s="178"/>
      <c r="HCS556" s="178"/>
      <c r="HCT556" s="178"/>
      <c r="HCU556" s="178"/>
      <c r="HCV556" s="178"/>
      <c r="HCW556" s="178"/>
      <c r="HCX556" s="178"/>
      <c r="HCY556" s="178"/>
      <c r="HCZ556" s="178"/>
      <c r="HDA556" s="178"/>
      <c r="HDB556" s="178"/>
      <c r="HDC556" s="178"/>
      <c r="HDD556" s="178"/>
      <c r="HDE556" s="178"/>
      <c r="HDF556" s="178"/>
      <c r="HDG556" s="178"/>
      <c r="HDH556" s="178"/>
      <c r="HDI556" s="178"/>
      <c r="HDJ556" s="178"/>
      <c r="HDK556" s="178"/>
      <c r="HDL556" s="178"/>
      <c r="HDM556" s="178"/>
      <c r="HDN556" s="178"/>
      <c r="HDO556" s="178"/>
      <c r="HDP556" s="178"/>
      <c r="HDQ556" s="178"/>
      <c r="HDR556" s="178"/>
      <c r="HDS556" s="178"/>
      <c r="HDT556" s="178"/>
      <c r="HDU556" s="178"/>
      <c r="HDV556" s="178"/>
      <c r="HDW556" s="178"/>
      <c r="HDX556" s="178"/>
      <c r="HDY556" s="178"/>
      <c r="HDZ556" s="178"/>
      <c r="HEA556" s="178"/>
      <c r="HEB556" s="178"/>
      <c r="HEC556" s="178"/>
      <c r="HED556" s="178"/>
      <c r="HEE556" s="178"/>
      <c r="HEF556" s="178"/>
      <c r="HEG556" s="178"/>
      <c r="HEH556" s="178"/>
      <c r="HEI556" s="178"/>
      <c r="HEJ556" s="178"/>
      <c r="HEK556" s="178"/>
      <c r="HEL556" s="178"/>
      <c r="HEM556" s="178"/>
      <c r="HEN556" s="178"/>
      <c r="HEO556" s="178"/>
      <c r="HEP556" s="178"/>
      <c r="HEQ556" s="178"/>
      <c r="HER556" s="178"/>
      <c r="HES556" s="178"/>
      <c r="HET556" s="178"/>
      <c r="HEU556" s="178"/>
      <c r="HEV556" s="178"/>
      <c r="HEW556" s="178"/>
      <c r="HEX556" s="178"/>
      <c r="HEY556" s="178"/>
      <c r="HEZ556" s="178"/>
      <c r="HFA556" s="178"/>
      <c r="HFB556" s="178"/>
      <c r="HFC556" s="178"/>
      <c r="HFD556" s="178"/>
      <c r="HFE556" s="178"/>
      <c r="HFF556" s="178"/>
      <c r="HFG556" s="178"/>
      <c r="HFH556" s="178"/>
      <c r="HFI556" s="178"/>
      <c r="HFJ556" s="178"/>
      <c r="HFK556" s="178"/>
      <c r="HFL556" s="178"/>
      <c r="HFM556" s="178"/>
      <c r="HFN556" s="178"/>
      <c r="HFO556" s="178"/>
      <c r="HFP556" s="178"/>
      <c r="HFQ556" s="178"/>
      <c r="HFR556" s="178"/>
      <c r="HFS556" s="178"/>
      <c r="HFT556" s="178"/>
      <c r="HFU556" s="178"/>
      <c r="HFV556" s="178"/>
      <c r="HFW556" s="178"/>
      <c r="HFX556" s="178"/>
      <c r="HFY556" s="178"/>
      <c r="HFZ556" s="178"/>
      <c r="HGA556" s="178"/>
      <c r="HGB556" s="178"/>
      <c r="HGC556" s="178"/>
      <c r="HGD556" s="178"/>
      <c r="HGE556" s="178"/>
      <c r="HGF556" s="178"/>
      <c r="HGG556" s="178"/>
      <c r="HGH556" s="178"/>
      <c r="HGI556" s="178"/>
      <c r="HGJ556" s="178"/>
      <c r="HGK556" s="178"/>
      <c r="HGL556" s="178"/>
      <c r="HGM556" s="178"/>
      <c r="HGN556" s="178"/>
      <c r="HGO556" s="178"/>
      <c r="HGP556" s="178"/>
      <c r="HGQ556" s="178"/>
      <c r="HGR556" s="178"/>
      <c r="HGS556" s="178"/>
      <c r="HGT556" s="178"/>
      <c r="HGU556" s="178"/>
      <c r="HGV556" s="178"/>
      <c r="HGW556" s="178"/>
      <c r="HGX556" s="178"/>
      <c r="HGY556" s="178"/>
      <c r="HGZ556" s="178"/>
      <c r="HHA556" s="178"/>
      <c r="HHB556" s="178"/>
      <c r="HHC556" s="178"/>
      <c r="HHD556" s="178"/>
      <c r="HHE556" s="178"/>
      <c r="HHF556" s="178"/>
      <c r="HHG556" s="178"/>
      <c r="HHH556" s="178"/>
      <c r="HHI556" s="178"/>
      <c r="HHJ556" s="178"/>
      <c r="HHK556" s="178"/>
      <c r="HHL556" s="178"/>
      <c r="HHM556" s="178"/>
      <c r="HHN556" s="178"/>
      <c r="HHO556" s="178"/>
      <c r="HHP556" s="178"/>
      <c r="HHQ556" s="178"/>
      <c r="HHR556" s="178"/>
      <c r="HHS556" s="178"/>
      <c r="HHT556" s="178"/>
      <c r="HHU556" s="178"/>
      <c r="HHV556" s="178"/>
      <c r="HHW556" s="178"/>
      <c r="HHX556" s="178"/>
      <c r="HHY556" s="178"/>
      <c r="HHZ556" s="178"/>
      <c r="HIA556" s="178"/>
      <c r="HIB556" s="178"/>
      <c r="HIC556" s="178"/>
      <c r="HID556" s="178"/>
      <c r="HIE556" s="178"/>
      <c r="HIF556" s="178"/>
      <c r="HIG556" s="178"/>
      <c r="HIH556" s="178"/>
      <c r="HII556" s="178"/>
      <c r="HIJ556" s="178"/>
      <c r="HIK556" s="178"/>
      <c r="HIL556" s="178"/>
      <c r="HIM556" s="178"/>
      <c r="HIN556" s="178"/>
      <c r="HIO556" s="178"/>
      <c r="HIP556" s="178"/>
      <c r="HIQ556" s="178"/>
      <c r="HIR556" s="178"/>
      <c r="HIS556" s="178"/>
      <c r="HIT556" s="178"/>
      <c r="HIU556" s="178"/>
      <c r="HIV556" s="178"/>
      <c r="HIW556" s="178"/>
      <c r="HIX556" s="178"/>
      <c r="HIY556" s="178"/>
      <c r="HIZ556" s="178"/>
      <c r="HJA556" s="178"/>
      <c r="HJB556" s="178"/>
      <c r="HJC556" s="178"/>
      <c r="HJD556" s="178"/>
      <c r="HJE556" s="178"/>
      <c r="HJF556" s="178"/>
      <c r="HJG556" s="178"/>
      <c r="HJH556" s="178"/>
      <c r="HJI556" s="178"/>
      <c r="HJJ556" s="178"/>
      <c r="HJK556" s="178"/>
      <c r="HJL556" s="178"/>
      <c r="HJM556" s="178"/>
      <c r="HJN556" s="178"/>
      <c r="HJO556" s="178"/>
      <c r="HJP556" s="178"/>
      <c r="HJQ556" s="178"/>
      <c r="HJR556" s="178"/>
      <c r="HJS556" s="178"/>
      <c r="HJT556" s="178"/>
      <c r="HJU556" s="178"/>
      <c r="HJV556" s="178"/>
      <c r="HJW556" s="178"/>
      <c r="HJX556" s="178"/>
      <c r="HJY556" s="178"/>
      <c r="HJZ556" s="178"/>
      <c r="HKA556" s="178"/>
      <c r="HKB556" s="178"/>
      <c r="HKC556" s="178"/>
      <c r="HKD556" s="178"/>
      <c r="HKE556" s="178"/>
      <c r="HKF556" s="178"/>
      <c r="HKG556" s="178"/>
      <c r="HKH556" s="178"/>
      <c r="HKI556" s="178"/>
      <c r="HKJ556" s="178"/>
      <c r="HKK556" s="178"/>
      <c r="HKL556" s="178"/>
      <c r="HKM556" s="178"/>
      <c r="HKN556" s="178"/>
      <c r="HKO556" s="178"/>
      <c r="HKP556" s="178"/>
      <c r="HKQ556" s="178"/>
      <c r="HKR556" s="178"/>
      <c r="HKS556" s="178"/>
      <c r="HKT556" s="178"/>
      <c r="HKU556" s="178"/>
      <c r="HKV556" s="178"/>
      <c r="HKW556" s="178"/>
      <c r="HKX556" s="178"/>
      <c r="HKY556" s="178"/>
      <c r="HKZ556" s="178"/>
      <c r="HLA556" s="178"/>
      <c r="HLB556" s="178"/>
      <c r="HLC556" s="178"/>
      <c r="HLD556" s="178"/>
      <c r="HLE556" s="178"/>
      <c r="HLF556" s="178"/>
      <c r="HLG556" s="178"/>
      <c r="HLH556" s="178"/>
      <c r="HLI556" s="178"/>
      <c r="HLJ556" s="178"/>
      <c r="HLK556" s="178"/>
      <c r="HLL556" s="178"/>
      <c r="HLM556" s="178"/>
      <c r="HLN556" s="178"/>
      <c r="HLO556" s="178"/>
      <c r="HLP556" s="178"/>
      <c r="HLQ556" s="178"/>
      <c r="HLR556" s="178"/>
      <c r="HLS556" s="178"/>
      <c r="HLT556" s="178"/>
      <c r="HLU556" s="178"/>
      <c r="HLV556" s="178"/>
      <c r="HLW556" s="178"/>
      <c r="HLX556" s="178"/>
      <c r="HLY556" s="178"/>
      <c r="HLZ556" s="178"/>
      <c r="HMA556" s="178"/>
      <c r="HMB556" s="178"/>
      <c r="HMC556" s="178"/>
      <c r="HMD556" s="178"/>
      <c r="HME556" s="178"/>
      <c r="HMF556" s="178"/>
      <c r="HMG556" s="178"/>
      <c r="HMH556" s="178"/>
      <c r="HMI556" s="178"/>
      <c r="HMJ556" s="178"/>
      <c r="HMK556" s="178"/>
      <c r="HML556" s="178"/>
      <c r="HMM556" s="178"/>
      <c r="HMN556" s="178"/>
      <c r="HMO556" s="178"/>
      <c r="HMP556" s="178"/>
      <c r="HMQ556" s="178"/>
      <c r="HMR556" s="178"/>
      <c r="HMS556" s="178"/>
      <c r="HMT556" s="178"/>
      <c r="HMU556" s="178"/>
      <c r="HMV556" s="178"/>
      <c r="HMW556" s="178"/>
      <c r="HMX556" s="178"/>
      <c r="HMY556" s="178"/>
      <c r="HMZ556" s="178"/>
      <c r="HNA556" s="178"/>
      <c r="HNB556" s="178"/>
      <c r="HNC556" s="178"/>
      <c r="HND556" s="178"/>
      <c r="HNE556" s="178"/>
      <c r="HNF556" s="178"/>
      <c r="HNG556" s="178"/>
      <c r="HNH556" s="178"/>
      <c r="HNI556" s="178"/>
      <c r="HNJ556" s="178"/>
      <c r="HNK556" s="178"/>
      <c r="HNL556" s="178"/>
      <c r="HNM556" s="178"/>
      <c r="HNN556" s="178"/>
      <c r="HNO556" s="178"/>
      <c r="HNP556" s="178"/>
      <c r="HNQ556" s="178"/>
      <c r="HNR556" s="178"/>
      <c r="HNS556" s="178"/>
      <c r="HNT556" s="178"/>
      <c r="HNU556" s="178"/>
      <c r="HNV556" s="178"/>
      <c r="HNW556" s="178"/>
      <c r="HNX556" s="178"/>
      <c r="HNY556" s="178"/>
      <c r="HNZ556" s="178"/>
      <c r="HOA556" s="178"/>
      <c r="HOB556" s="178"/>
      <c r="HOC556" s="178"/>
      <c r="HOD556" s="178"/>
      <c r="HOE556" s="178"/>
      <c r="HOF556" s="178"/>
      <c r="HOG556" s="178"/>
      <c r="HOH556" s="178"/>
      <c r="HOI556" s="178"/>
      <c r="HOJ556" s="178"/>
      <c r="HOK556" s="178"/>
      <c r="HOL556" s="178"/>
      <c r="HOM556" s="178"/>
      <c r="HON556" s="178"/>
      <c r="HOO556" s="178"/>
      <c r="HOP556" s="178"/>
      <c r="HOQ556" s="178"/>
      <c r="HOR556" s="178"/>
      <c r="HOS556" s="178"/>
      <c r="HOT556" s="178"/>
      <c r="HOU556" s="178"/>
      <c r="HOV556" s="178"/>
      <c r="HOW556" s="178"/>
      <c r="HOX556" s="178"/>
      <c r="HOY556" s="178"/>
      <c r="HOZ556" s="178"/>
      <c r="HPA556" s="178"/>
      <c r="HPB556" s="178"/>
      <c r="HPC556" s="178"/>
      <c r="HPD556" s="178"/>
      <c r="HPE556" s="178"/>
      <c r="HPF556" s="178"/>
      <c r="HPG556" s="178"/>
      <c r="HPH556" s="178"/>
      <c r="HPI556" s="178"/>
      <c r="HPJ556" s="178"/>
      <c r="HPK556" s="178"/>
      <c r="HPL556" s="178"/>
      <c r="HPM556" s="178"/>
      <c r="HPN556" s="178"/>
      <c r="HPO556" s="178"/>
      <c r="HPP556" s="178"/>
      <c r="HPQ556" s="178"/>
      <c r="HPR556" s="178"/>
      <c r="HPS556" s="178"/>
      <c r="HPT556" s="178"/>
      <c r="HPU556" s="178"/>
      <c r="HPV556" s="178"/>
      <c r="HPW556" s="178"/>
      <c r="HPX556" s="178"/>
      <c r="HPY556" s="178"/>
      <c r="HPZ556" s="178"/>
      <c r="HQA556" s="178"/>
      <c r="HQB556" s="178"/>
      <c r="HQC556" s="178"/>
      <c r="HQD556" s="178"/>
      <c r="HQE556" s="178"/>
      <c r="HQF556" s="178"/>
      <c r="HQG556" s="178"/>
      <c r="HQH556" s="178"/>
      <c r="HQI556" s="178"/>
      <c r="HQJ556" s="178"/>
      <c r="HQK556" s="178"/>
      <c r="HQL556" s="178"/>
      <c r="HQM556" s="178"/>
      <c r="HQN556" s="178"/>
      <c r="HQO556" s="178"/>
      <c r="HQP556" s="178"/>
      <c r="HQQ556" s="178"/>
      <c r="HQR556" s="178"/>
      <c r="HQS556" s="178"/>
      <c r="HQT556" s="178"/>
      <c r="HQU556" s="178"/>
      <c r="HQV556" s="178"/>
      <c r="HQW556" s="178"/>
      <c r="HQX556" s="178"/>
      <c r="HQY556" s="178"/>
      <c r="HQZ556" s="178"/>
      <c r="HRA556" s="178"/>
      <c r="HRB556" s="178"/>
      <c r="HRC556" s="178"/>
      <c r="HRD556" s="178"/>
      <c r="HRE556" s="178"/>
      <c r="HRF556" s="178"/>
      <c r="HRG556" s="178"/>
      <c r="HRH556" s="178"/>
      <c r="HRI556" s="178"/>
      <c r="HRJ556" s="178"/>
      <c r="HRK556" s="178"/>
      <c r="HRL556" s="178"/>
      <c r="HRM556" s="178"/>
      <c r="HRN556" s="178"/>
      <c r="HRO556" s="178"/>
      <c r="HRP556" s="178"/>
      <c r="HRQ556" s="178"/>
      <c r="HRR556" s="178"/>
      <c r="HRS556" s="178"/>
      <c r="HRT556" s="178"/>
      <c r="HRU556" s="178"/>
      <c r="HRV556" s="178"/>
      <c r="HRW556" s="178"/>
      <c r="HRX556" s="178"/>
      <c r="HRY556" s="178"/>
      <c r="HRZ556" s="178"/>
      <c r="HSA556" s="178"/>
      <c r="HSB556" s="178"/>
      <c r="HSC556" s="178"/>
      <c r="HSD556" s="178"/>
      <c r="HSE556" s="178"/>
      <c r="HSF556" s="178"/>
      <c r="HSG556" s="178"/>
      <c r="HSH556" s="178"/>
      <c r="HSI556" s="178"/>
      <c r="HSJ556" s="178"/>
      <c r="HSK556" s="178"/>
      <c r="HSL556" s="178"/>
      <c r="HSM556" s="178"/>
      <c r="HSN556" s="178"/>
      <c r="HSO556" s="178"/>
      <c r="HSP556" s="178"/>
      <c r="HSQ556" s="178"/>
      <c r="HSR556" s="178"/>
      <c r="HSS556" s="178"/>
      <c r="HST556" s="178"/>
      <c r="HSU556" s="178"/>
      <c r="HSV556" s="178"/>
      <c r="HSW556" s="178"/>
      <c r="HSX556" s="178"/>
      <c r="HSY556" s="178"/>
      <c r="HSZ556" s="178"/>
      <c r="HTA556" s="178"/>
      <c r="HTB556" s="178"/>
      <c r="HTC556" s="178"/>
      <c r="HTD556" s="178"/>
      <c r="HTE556" s="178"/>
      <c r="HTF556" s="178"/>
      <c r="HTG556" s="178"/>
      <c r="HTH556" s="178"/>
      <c r="HTI556" s="178"/>
      <c r="HTJ556" s="178"/>
      <c r="HTK556" s="178"/>
      <c r="HTL556" s="178"/>
      <c r="HTM556" s="178"/>
      <c r="HTN556" s="178"/>
      <c r="HTO556" s="178"/>
      <c r="HTP556" s="178"/>
      <c r="HTQ556" s="178"/>
      <c r="HTR556" s="178"/>
      <c r="HTS556" s="178"/>
      <c r="HTT556" s="178"/>
      <c r="HTU556" s="178"/>
      <c r="HTV556" s="178"/>
      <c r="HTW556" s="178"/>
      <c r="HTX556" s="178"/>
      <c r="HTY556" s="178"/>
      <c r="HTZ556" s="178"/>
      <c r="HUA556" s="178"/>
      <c r="HUB556" s="178"/>
      <c r="HUC556" s="178"/>
      <c r="HUD556" s="178"/>
      <c r="HUE556" s="178"/>
      <c r="HUF556" s="178"/>
      <c r="HUG556" s="178"/>
      <c r="HUH556" s="178"/>
      <c r="HUI556" s="178"/>
      <c r="HUJ556" s="178"/>
      <c r="HUK556" s="178"/>
      <c r="HUL556" s="178"/>
      <c r="HUM556" s="178"/>
      <c r="HUN556" s="178"/>
      <c r="HUO556" s="178"/>
      <c r="HUP556" s="178"/>
      <c r="HUQ556" s="178"/>
      <c r="HUR556" s="178"/>
      <c r="HUS556" s="178"/>
      <c r="HUT556" s="178"/>
      <c r="HUU556" s="178"/>
      <c r="HUV556" s="178"/>
      <c r="HUW556" s="178"/>
      <c r="HUX556" s="178"/>
      <c r="HUY556" s="178"/>
      <c r="HUZ556" s="178"/>
      <c r="HVA556" s="178"/>
      <c r="HVB556" s="178"/>
      <c r="HVC556" s="178"/>
      <c r="HVD556" s="178"/>
      <c r="HVE556" s="178"/>
      <c r="HVF556" s="178"/>
      <c r="HVG556" s="178"/>
      <c r="HVH556" s="178"/>
      <c r="HVI556" s="178"/>
      <c r="HVJ556" s="178"/>
      <c r="HVK556" s="178"/>
      <c r="HVL556" s="178"/>
      <c r="HVM556" s="178"/>
      <c r="HVN556" s="178"/>
      <c r="HVO556" s="178"/>
      <c r="HVP556" s="178"/>
      <c r="HVQ556" s="178"/>
      <c r="HVR556" s="178"/>
      <c r="HVS556" s="178"/>
      <c r="HVT556" s="178"/>
      <c r="HVU556" s="178"/>
      <c r="HVV556" s="178"/>
      <c r="HVW556" s="178"/>
      <c r="HVX556" s="178"/>
      <c r="HVY556" s="178"/>
      <c r="HVZ556" s="178"/>
      <c r="HWA556" s="178"/>
      <c r="HWB556" s="178"/>
      <c r="HWC556" s="178"/>
      <c r="HWD556" s="178"/>
      <c r="HWE556" s="178"/>
      <c r="HWF556" s="178"/>
      <c r="HWG556" s="178"/>
      <c r="HWH556" s="178"/>
      <c r="HWI556" s="178"/>
      <c r="HWJ556" s="178"/>
      <c r="HWK556" s="178"/>
      <c r="HWL556" s="178"/>
      <c r="HWM556" s="178"/>
      <c r="HWN556" s="178"/>
      <c r="HWO556" s="178"/>
      <c r="HWP556" s="178"/>
      <c r="HWQ556" s="178"/>
      <c r="HWR556" s="178"/>
      <c r="HWS556" s="178"/>
      <c r="HWT556" s="178"/>
      <c r="HWU556" s="178"/>
      <c r="HWV556" s="178"/>
      <c r="HWW556" s="178"/>
      <c r="HWX556" s="178"/>
      <c r="HWY556" s="178"/>
      <c r="HWZ556" s="178"/>
      <c r="HXA556" s="178"/>
      <c r="HXB556" s="178"/>
      <c r="HXC556" s="178"/>
      <c r="HXD556" s="178"/>
      <c r="HXE556" s="178"/>
      <c r="HXF556" s="178"/>
      <c r="HXG556" s="178"/>
      <c r="HXH556" s="178"/>
      <c r="HXI556" s="178"/>
      <c r="HXJ556" s="178"/>
      <c r="HXK556" s="178"/>
      <c r="HXL556" s="178"/>
      <c r="HXM556" s="178"/>
      <c r="HXN556" s="178"/>
      <c r="HXO556" s="178"/>
      <c r="HXP556" s="178"/>
      <c r="HXQ556" s="178"/>
      <c r="HXR556" s="178"/>
      <c r="HXS556" s="178"/>
      <c r="HXT556" s="178"/>
      <c r="HXU556" s="178"/>
      <c r="HXV556" s="178"/>
      <c r="HXW556" s="178"/>
      <c r="HXX556" s="178"/>
      <c r="HXY556" s="178"/>
      <c r="HXZ556" s="178"/>
      <c r="HYA556" s="178"/>
      <c r="HYB556" s="178"/>
      <c r="HYC556" s="178"/>
      <c r="HYD556" s="178"/>
      <c r="HYE556" s="178"/>
      <c r="HYF556" s="178"/>
      <c r="HYG556" s="178"/>
      <c r="HYH556" s="178"/>
      <c r="HYI556" s="178"/>
      <c r="HYJ556" s="178"/>
      <c r="HYK556" s="178"/>
      <c r="HYL556" s="178"/>
      <c r="HYM556" s="178"/>
      <c r="HYN556" s="178"/>
      <c r="HYO556" s="178"/>
      <c r="HYP556" s="178"/>
      <c r="HYQ556" s="178"/>
      <c r="HYR556" s="178"/>
      <c r="HYS556" s="178"/>
      <c r="HYT556" s="178"/>
      <c r="HYU556" s="178"/>
      <c r="HYV556" s="178"/>
      <c r="HYW556" s="178"/>
      <c r="HYX556" s="178"/>
      <c r="HYY556" s="178"/>
      <c r="HYZ556" s="178"/>
      <c r="HZA556" s="178"/>
      <c r="HZB556" s="178"/>
      <c r="HZC556" s="178"/>
      <c r="HZD556" s="178"/>
      <c r="HZE556" s="178"/>
      <c r="HZF556" s="178"/>
      <c r="HZG556" s="178"/>
      <c r="HZH556" s="178"/>
      <c r="HZI556" s="178"/>
      <c r="HZJ556" s="178"/>
      <c r="HZK556" s="178"/>
      <c r="HZL556" s="178"/>
      <c r="HZM556" s="178"/>
      <c r="HZN556" s="178"/>
      <c r="HZO556" s="178"/>
      <c r="HZP556" s="178"/>
      <c r="HZQ556" s="178"/>
      <c r="HZR556" s="178"/>
      <c r="HZS556" s="178"/>
      <c r="HZT556" s="178"/>
      <c r="HZU556" s="178"/>
      <c r="HZV556" s="178"/>
      <c r="HZW556" s="178"/>
      <c r="HZX556" s="178"/>
      <c r="HZY556" s="178"/>
      <c r="HZZ556" s="178"/>
      <c r="IAA556" s="178"/>
      <c r="IAB556" s="178"/>
      <c r="IAC556" s="178"/>
      <c r="IAD556" s="178"/>
      <c r="IAE556" s="178"/>
      <c r="IAF556" s="178"/>
      <c r="IAG556" s="178"/>
      <c r="IAH556" s="178"/>
      <c r="IAI556" s="178"/>
      <c r="IAJ556" s="178"/>
      <c r="IAK556" s="178"/>
      <c r="IAL556" s="178"/>
      <c r="IAM556" s="178"/>
      <c r="IAN556" s="178"/>
      <c r="IAO556" s="178"/>
      <c r="IAP556" s="178"/>
      <c r="IAQ556" s="178"/>
      <c r="IAR556" s="178"/>
      <c r="IAS556" s="178"/>
      <c r="IAT556" s="178"/>
      <c r="IAU556" s="178"/>
      <c r="IAV556" s="178"/>
      <c r="IAW556" s="178"/>
      <c r="IAX556" s="178"/>
      <c r="IAY556" s="178"/>
      <c r="IAZ556" s="178"/>
      <c r="IBA556" s="178"/>
      <c r="IBB556" s="178"/>
      <c r="IBC556" s="178"/>
      <c r="IBD556" s="178"/>
      <c r="IBE556" s="178"/>
      <c r="IBF556" s="178"/>
      <c r="IBG556" s="178"/>
      <c r="IBH556" s="178"/>
      <c r="IBI556" s="178"/>
      <c r="IBJ556" s="178"/>
      <c r="IBK556" s="178"/>
      <c r="IBL556" s="178"/>
      <c r="IBM556" s="178"/>
      <c r="IBN556" s="178"/>
      <c r="IBO556" s="178"/>
      <c r="IBP556" s="178"/>
      <c r="IBQ556" s="178"/>
      <c r="IBR556" s="178"/>
      <c r="IBS556" s="178"/>
      <c r="IBT556" s="178"/>
      <c r="IBU556" s="178"/>
      <c r="IBV556" s="178"/>
      <c r="IBW556" s="178"/>
      <c r="IBX556" s="178"/>
      <c r="IBY556" s="178"/>
      <c r="IBZ556" s="178"/>
      <c r="ICA556" s="178"/>
      <c r="ICB556" s="178"/>
      <c r="ICC556" s="178"/>
      <c r="ICD556" s="178"/>
      <c r="ICE556" s="178"/>
      <c r="ICF556" s="178"/>
      <c r="ICG556" s="178"/>
      <c r="ICH556" s="178"/>
      <c r="ICI556" s="178"/>
      <c r="ICJ556" s="178"/>
      <c r="ICK556" s="178"/>
      <c r="ICL556" s="178"/>
      <c r="ICM556" s="178"/>
      <c r="ICN556" s="178"/>
      <c r="ICO556" s="178"/>
      <c r="ICP556" s="178"/>
      <c r="ICQ556" s="178"/>
      <c r="ICR556" s="178"/>
      <c r="ICS556" s="178"/>
      <c r="ICT556" s="178"/>
      <c r="ICU556" s="178"/>
      <c r="ICV556" s="178"/>
      <c r="ICW556" s="178"/>
      <c r="ICX556" s="178"/>
      <c r="ICY556" s="178"/>
      <c r="ICZ556" s="178"/>
      <c r="IDA556" s="178"/>
      <c r="IDB556" s="178"/>
      <c r="IDC556" s="178"/>
      <c r="IDD556" s="178"/>
      <c r="IDE556" s="178"/>
      <c r="IDF556" s="178"/>
      <c r="IDG556" s="178"/>
      <c r="IDH556" s="178"/>
      <c r="IDI556" s="178"/>
      <c r="IDJ556" s="178"/>
      <c r="IDK556" s="178"/>
      <c r="IDL556" s="178"/>
      <c r="IDM556" s="178"/>
      <c r="IDN556" s="178"/>
      <c r="IDO556" s="178"/>
      <c r="IDP556" s="178"/>
      <c r="IDQ556" s="178"/>
      <c r="IDR556" s="178"/>
      <c r="IDS556" s="178"/>
      <c r="IDT556" s="178"/>
      <c r="IDU556" s="178"/>
      <c r="IDV556" s="178"/>
      <c r="IDW556" s="178"/>
      <c r="IDX556" s="178"/>
      <c r="IDY556" s="178"/>
      <c r="IDZ556" s="178"/>
      <c r="IEA556" s="178"/>
      <c r="IEB556" s="178"/>
      <c r="IEC556" s="178"/>
      <c r="IED556" s="178"/>
      <c r="IEE556" s="178"/>
      <c r="IEF556" s="178"/>
      <c r="IEG556" s="178"/>
      <c r="IEH556" s="178"/>
      <c r="IEI556" s="178"/>
      <c r="IEJ556" s="178"/>
      <c r="IEK556" s="178"/>
      <c r="IEL556" s="178"/>
      <c r="IEM556" s="178"/>
      <c r="IEN556" s="178"/>
      <c r="IEO556" s="178"/>
      <c r="IEP556" s="178"/>
      <c r="IEQ556" s="178"/>
      <c r="IER556" s="178"/>
      <c r="IES556" s="178"/>
      <c r="IET556" s="178"/>
      <c r="IEU556" s="178"/>
      <c r="IEV556" s="178"/>
      <c r="IEW556" s="178"/>
      <c r="IEX556" s="178"/>
      <c r="IEY556" s="178"/>
      <c r="IEZ556" s="178"/>
      <c r="IFA556" s="178"/>
      <c r="IFB556" s="178"/>
      <c r="IFC556" s="178"/>
      <c r="IFD556" s="178"/>
      <c r="IFE556" s="178"/>
      <c r="IFF556" s="178"/>
      <c r="IFG556" s="178"/>
      <c r="IFH556" s="178"/>
      <c r="IFI556" s="178"/>
      <c r="IFJ556" s="178"/>
      <c r="IFK556" s="178"/>
      <c r="IFL556" s="178"/>
      <c r="IFM556" s="178"/>
      <c r="IFN556" s="178"/>
      <c r="IFO556" s="178"/>
      <c r="IFP556" s="178"/>
      <c r="IFQ556" s="178"/>
      <c r="IFR556" s="178"/>
      <c r="IFS556" s="178"/>
      <c r="IFT556" s="178"/>
      <c r="IFU556" s="178"/>
      <c r="IFV556" s="178"/>
      <c r="IFW556" s="178"/>
      <c r="IFX556" s="178"/>
      <c r="IFY556" s="178"/>
      <c r="IFZ556" s="178"/>
      <c r="IGA556" s="178"/>
      <c r="IGB556" s="178"/>
      <c r="IGC556" s="178"/>
      <c r="IGD556" s="178"/>
      <c r="IGE556" s="178"/>
      <c r="IGF556" s="178"/>
      <c r="IGG556" s="178"/>
      <c r="IGH556" s="178"/>
      <c r="IGI556" s="178"/>
      <c r="IGJ556" s="178"/>
      <c r="IGK556" s="178"/>
      <c r="IGL556" s="178"/>
      <c r="IGM556" s="178"/>
      <c r="IGN556" s="178"/>
      <c r="IGO556" s="178"/>
      <c r="IGP556" s="178"/>
      <c r="IGQ556" s="178"/>
      <c r="IGR556" s="178"/>
      <c r="IGS556" s="178"/>
      <c r="IGT556" s="178"/>
      <c r="IGU556" s="178"/>
      <c r="IGV556" s="178"/>
      <c r="IGW556" s="178"/>
      <c r="IGX556" s="178"/>
      <c r="IGY556" s="178"/>
      <c r="IGZ556" s="178"/>
      <c r="IHA556" s="178"/>
      <c r="IHB556" s="178"/>
      <c r="IHC556" s="178"/>
      <c r="IHD556" s="178"/>
      <c r="IHE556" s="178"/>
      <c r="IHF556" s="178"/>
      <c r="IHG556" s="178"/>
      <c r="IHH556" s="178"/>
      <c r="IHI556" s="178"/>
      <c r="IHJ556" s="178"/>
      <c r="IHK556" s="178"/>
      <c r="IHL556" s="178"/>
      <c r="IHM556" s="178"/>
      <c r="IHN556" s="178"/>
      <c r="IHO556" s="178"/>
      <c r="IHP556" s="178"/>
      <c r="IHQ556" s="178"/>
      <c r="IHR556" s="178"/>
      <c r="IHS556" s="178"/>
      <c r="IHT556" s="178"/>
      <c r="IHU556" s="178"/>
      <c r="IHV556" s="178"/>
      <c r="IHW556" s="178"/>
      <c r="IHX556" s="178"/>
      <c r="IHY556" s="178"/>
      <c r="IHZ556" s="178"/>
      <c r="IIA556" s="178"/>
      <c r="IIB556" s="178"/>
      <c r="IIC556" s="178"/>
      <c r="IID556" s="178"/>
      <c r="IIE556" s="178"/>
      <c r="IIF556" s="178"/>
      <c r="IIG556" s="178"/>
      <c r="IIH556" s="178"/>
      <c r="III556" s="178"/>
      <c r="IIJ556" s="178"/>
      <c r="IIK556" s="178"/>
      <c r="IIL556" s="178"/>
      <c r="IIM556" s="178"/>
      <c r="IIN556" s="178"/>
      <c r="IIO556" s="178"/>
      <c r="IIP556" s="178"/>
      <c r="IIQ556" s="178"/>
      <c r="IIR556" s="178"/>
      <c r="IIS556" s="178"/>
      <c r="IIT556" s="178"/>
      <c r="IIU556" s="178"/>
      <c r="IIV556" s="178"/>
      <c r="IIW556" s="178"/>
      <c r="IIX556" s="178"/>
      <c r="IIY556" s="178"/>
      <c r="IIZ556" s="178"/>
      <c r="IJA556" s="178"/>
      <c r="IJB556" s="178"/>
      <c r="IJC556" s="178"/>
      <c r="IJD556" s="178"/>
      <c r="IJE556" s="178"/>
      <c r="IJF556" s="178"/>
      <c r="IJG556" s="178"/>
      <c r="IJH556" s="178"/>
      <c r="IJI556" s="178"/>
      <c r="IJJ556" s="178"/>
      <c r="IJK556" s="178"/>
      <c r="IJL556" s="178"/>
      <c r="IJM556" s="178"/>
      <c r="IJN556" s="178"/>
      <c r="IJO556" s="178"/>
      <c r="IJP556" s="178"/>
      <c r="IJQ556" s="178"/>
      <c r="IJR556" s="178"/>
      <c r="IJS556" s="178"/>
      <c r="IJT556" s="178"/>
      <c r="IJU556" s="178"/>
      <c r="IJV556" s="178"/>
      <c r="IJW556" s="178"/>
      <c r="IJX556" s="178"/>
      <c r="IJY556" s="178"/>
      <c r="IJZ556" s="178"/>
      <c r="IKA556" s="178"/>
      <c r="IKB556" s="178"/>
      <c r="IKC556" s="178"/>
      <c r="IKD556" s="178"/>
      <c r="IKE556" s="178"/>
      <c r="IKF556" s="178"/>
      <c r="IKG556" s="178"/>
      <c r="IKH556" s="178"/>
      <c r="IKI556" s="178"/>
      <c r="IKJ556" s="178"/>
      <c r="IKK556" s="178"/>
      <c r="IKL556" s="178"/>
      <c r="IKM556" s="178"/>
      <c r="IKN556" s="178"/>
      <c r="IKO556" s="178"/>
      <c r="IKP556" s="178"/>
      <c r="IKQ556" s="178"/>
      <c r="IKR556" s="178"/>
      <c r="IKS556" s="178"/>
      <c r="IKT556" s="178"/>
      <c r="IKU556" s="178"/>
      <c r="IKV556" s="178"/>
      <c r="IKW556" s="178"/>
      <c r="IKX556" s="178"/>
      <c r="IKY556" s="178"/>
      <c r="IKZ556" s="178"/>
      <c r="ILA556" s="178"/>
      <c r="ILB556" s="178"/>
      <c r="ILC556" s="178"/>
      <c r="ILD556" s="178"/>
      <c r="ILE556" s="178"/>
      <c r="ILF556" s="178"/>
      <c r="ILG556" s="178"/>
      <c r="ILH556" s="178"/>
      <c r="ILI556" s="178"/>
      <c r="ILJ556" s="178"/>
      <c r="ILK556" s="178"/>
      <c r="ILL556" s="178"/>
      <c r="ILM556" s="178"/>
      <c r="ILN556" s="178"/>
      <c r="ILO556" s="178"/>
      <c r="ILP556" s="178"/>
      <c r="ILQ556" s="178"/>
      <c r="ILR556" s="178"/>
      <c r="ILS556" s="178"/>
      <c r="ILT556" s="178"/>
      <c r="ILU556" s="178"/>
      <c r="ILV556" s="178"/>
      <c r="ILW556" s="178"/>
      <c r="ILX556" s="178"/>
      <c r="ILY556" s="178"/>
      <c r="ILZ556" s="178"/>
      <c r="IMA556" s="178"/>
      <c r="IMB556" s="178"/>
      <c r="IMC556" s="178"/>
      <c r="IMD556" s="178"/>
      <c r="IME556" s="178"/>
      <c r="IMF556" s="178"/>
      <c r="IMG556" s="178"/>
      <c r="IMH556" s="178"/>
      <c r="IMI556" s="178"/>
      <c r="IMJ556" s="178"/>
      <c r="IMK556" s="178"/>
      <c r="IML556" s="178"/>
      <c r="IMM556" s="178"/>
      <c r="IMN556" s="178"/>
      <c r="IMO556" s="178"/>
      <c r="IMP556" s="178"/>
      <c r="IMQ556" s="178"/>
      <c r="IMR556" s="178"/>
      <c r="IMS556" s="178"/>
      <c r="IMT556" s="178"/>
      <c r="IMU556" s="178"/>
      <c r="IMV556" s="178"/>
      <c r="IMW556" s="178"/>
      <c r="IMX556" s="178"/>
      <c r="IMY556" s="178"/>
      <c r="IMZ556" s="178"/>
      <c r="INA556" s="178"/>
      <c r="INB556" s="178"/>
      <c r="INC556" s="178"/>
      <c r="IND556" s="178"/>
      <c r="INE556" s="178"/>
      <c r="INF556" s="178"/>
      <c r="ING556" s="178"/>
      <c r="INH556" s="178"/>
      <c r="INI556" s="178"/>
      <c r="INJ556" s="178"/>
      <c r="INK556" s="178"/>
      <c r="INL556" s="178"/>
      <c r="INM556" s="178"/>
      <c r="INN556" s="178"/>
      <c r="INO556" s="178"/>
      <c r="INP556" s="178"/>
      <c r="INQ556" s="178"/>
      <c r="INR556" s="178"/>
      <c r="INS556" s="178"/>
      <c r="INT556" s="178"/>
      <c r="INU556" s="178"/>
      <c r="INV556" s="178"/>
      <c r="INW556" s="178"/>
      <c r="INX556" s="178"/>
      <c r="INY556" s="178"/>
      <c r="INZ556" s="178"/>
      <c r="IOA556" s="178"/>
      <c r="IOB556" s="178"/>
      <c r="IOC556" s="178"/>
      <c r="IOD556" s="178"/>
      <c r="IOE556" s="178"/>
      <c r="IOF556" s="178"/>
      <c r="IOG556" s="178"/>
      <c r="IOH556" s="178"/>
      <c r="IOI556" s="178"/>
      <c r="IOJ556" s="178"/>
      <c r="IOK556" s="178"/>
      <c r="IOL556" s="178"/>
      <c r="IOM556" s="178"/>
      <c r="ION556" s="178"/>
      <c r="IOO556" s="178"/>
      <c r="IOP556" s="178"/>
      <c r="IOQ556" s="178"/>
      <c r="IOR556" s="178"/>
      <c r="IOS556" s="178"/>
      <c r="IOT556" s="178"/>
      <c r="IOU556" s="178"/>
      <c r="IOV556" s="178"/>
      <c r="IOW556" s="178"/>
      <c r="IOX556" s="178"/>
      <c r="IOY556" s="178"/>
      <c r="IOZ556" s="178"/>
      <c r="IPA556" s="178"/>
      <c r="IPB556" s="178"/>
      <c r="IPC556" s="178"/>
      <c r="IPD556" s="178"/>
      <c r="IPE556" s="178"/>
      <c r="IPF556" s="178"/>
      <c r="IPG556" s="178"/>
      <c r="IPH556" s="178"/>
      <c r="IPI556" s="178"/>
      <c r="IPJ556" s="178"/>
      <c r="IPK556" s="178"/>
      <c r="IPL556" s="178"/>
      <c r="IPM556" s="178"/>
      <c r="IPN556" s="178"/>
      <c r="IPO556" s="178"/>
      <c r="IPP556" s="178"/>
      <c r="IPQ556" s="178"/>
      <c r="IPR556" s="178"/>
      <c r="IPS556" s="178"/>
      <c r="IPT556" s="178"/>
      <c r="IPU556" s="178"/>
      <c r="IPV556" s="178"/>
      <c r="IPW556" s="178"/>
      <c r="IPX556" s="178"/>
      <c r="IPY556" s="178"/>
      <c r="IPZ556" s="178"/>
      <c r="IQA556" s="178"/>
      <c r="IQB556" s="178"/>
      <c r="IQC556" s="178"/>
      <c r="IQD556" s="178"/>
      <c r="IQE556" s="178"/>
      <c r="IQF556" s="178"/>
      <c r="IQG556" s="178"/>
      <c r="IQH556" s="178"/>
      <c r="IQI556" s="178"/>
      <c r="IQJ556" s="178"/>
      <c r="IQK556" s="178"/>
      <c r="IQL556" s="178"/>
      <c r="IQM556" s="178"/>
      <c r="IQN556" s="178"/>
      <c r="IQO556" s="178"/>
      <c r="IQP556" s="178"/>
      <c r="IQQ556" s="178"/>
      <c r="IQR556" s="178"/>
      <c r="IQS556" s="178"/>
      <c r="IQT556" s="178"/>
      <c r="IQU556" s="178"/>
      <c r="IQV556" s="178"/>
      <c r="IQW556" s="178"/>
      <c r="IQX556" s="178"/>
      <c r="IQY556" s="178"/>
      <c r="IQZ556" s="178"/>
      <c r="IRA556" s="178"/>
      <c r="IRB556" s="178"/>
      <c r="IRC556" s="178"/>
      <c r="IRD556" s="178"/>
      <c r="IRE556" s="178"/>
      <c r="IRF556" s="178"/>
      <c r="IRG556" s="178"/>
      <c r="IRH556" s="178"/>
      <c r="IRI556" s="178"/>
      <c r="IRJ556" s="178"/>
      <c r="IRK556" s="178"/>
      <c r="IRL556" s="178"/>
      <c r="IRM556" s="178"/>
      <c r="IRN556" s="178"/>
      <c r="IRO556" s="178"/>
      <c r="IRP556" s="178"/>
      <c r="IRQ556" s="178"/>
      <c r="IRR556" s="178"/>
      <c r="IRS556" s="178"/>
      <c r="IRT556" s="178"/>
      <c r="IRU556" s="178"/>
      <c r="IRV556" s="178"/>
      <c r="IRW556" s="178"/>
      <c r="IRX556" s="178"/>
      <c r="IRY556" s="178"/>
      <c r="IRZ556" s="178"/>
      <c r="ISA556" s="178"/>
      <c r="ISB556" s="178"/>
      <c r="ISC556" s="178"/>
      <c r="ISD556" s="178"/>
      <c r="ISE556" s="178"/>
      <c r="ISF556" s="178"/>
      <c r="ISG556" s="178"/>
      <c r="ISH556" s="178"/>
      <c r="ISI556" s="178"/>
      <c r="ISJ556" s="178"/>
      <c r="ISK556" s="178"/>
      <c r="ISL556" s="178"/>
      <c r="ISM556" s="178"/>
      <c r="ISN556" s="178"/>
      <c r="ISO556" s="178"/>
      <c r="ISP556" s="178"/>
      <c r="ISQ556" s="178"/>
      <c r="ISR556" s="178"/>
      <c r="ISS556" s="178"/>
      <c r="IST556" s="178"/>
      <c r="ISU556" s="178"/>
      <c r="ISV556" s="178"/>
      <c r="ISW556" s="178"/>
      <c r="ISX556" s="178"/>
      <c r="ISY556" s="178"/>
      <c r="ISZ556" s="178"/>
      <c r="ITA556" s="178"/>
      <c r="ITB556" s="178"/>
      <c r="ITC556" s="178"/>
      <c r="ITD556" s="178"/>
      <c r="ITE556" s="178"/>
      <c r="ITF556" s="178"/>
      <c r="ITG556" s="178"/>
      <c r="ITH556" s="178"/>
      <c r="ITI556" s="178"/>
      <c r="ITJ556" s="178"/>
      <c r="ITK556" s="178"/>
      <c r="ITL556" s="178"/>
      <c r="ITM556" s="178"/>
      <c r="ITN556" s="178"/>
      <c r="ITO556" s="178"/>
      <c r="ITP556" s="178"/>
      <c r="ITQ556" s="178"/>
      <c r="ITR556" s="178"/>
      <c r="ITS556" s="178"/>
      <c r="ITT556" s="178"/>
      <c r="ITU556" s="178"/>
      <c r="ITV556" s="178"/>
      <c r="ITW556" s="178"/>
      <c r="ITX556" s="178"/>
      <c r="ITY556" s="178"/>
      <c r="ITZ556" s="178"/>
      <c r="IUA556" s="178"/>
      <c r="IUB556" s="178"/>
      <c r="IUC556" s="178"/>
      <c r="IUD556" s="178"/>
      <c r="IUE556" s="178"/>
      <c r="IUF556" s="178"/>
      <c r="IUG556" s="178"/>
      <c r="IUH556" s="178"/>
      <c r="IUI556" s="178"/>
      <c r="IUJ556" s="178"/>
      <c r="IUK556" s="178"/>
      <c r="IUL556" s="178"/>
      <c r="IUM556" s="178"/>
      <c r="IUN556" s="178"/>
      <c r="IUO556" s="178"/>
      <c r="IUP556" s="178"/>
      <c r="IUQ556" s="178"/>
      <c r="IUR556" s="178"/>
      <c r="IUS556" s="178"/>
      <c r="IUT556" s="178"/>
      <c r="IUU556" s="178"/>
      <c r="IUV556" s="178"/>
      <c r="IUW556" s="178"/>
      <c r="IUX556" s="178"/>
      <c r="IUY556" s="178"/>
      <c r="IUZ556" s="178"/>
      <c r="IVA556" s="178"/>
      <c r="IVB556" s="178"/>
      <c r="IVC556" s="178"/>
      <c r="IVD556" s="178"/>
      <c r="IVE556" s="178"/>
      <c r="IVF556" s="178"/>
      <c r="IVG556" s="178"/>
      <c r="IVH556" s="178"/>
      <c r="IVI556" s="178"/>
      <c r="IVJ556" s="178"/>
      <c r="IVK556" s="178"/>
      <c r="IVL556" s="178"/>
      <c r="IVM556" s="178"/>
      <c r="IVN556" s="178"/>
      <c r="IVO556" s="178"/>
      <c r="IVP556" s="178"/>
      <c r="IVQ556" s="178"/>
      <c r="IVR556" s="178"/>
      <c r="IVS556" s="178"/>
      <c r="IVT556" s="178"/>
      <c r="IVU556" s="178"/>
      <c r="IVV556" s="178"/>
      <c r="IVW556" s="178"/>
      <c r="IVX556" s="178"/>
      <c r="IVY556" s="178"/>
      <c r="IVZ556" s="178"/>
      <c r="IWA556" s="178"/>
      <c r="IWB556" s="178"/>
      <c r="IWC556" s="178"/>
      <c r="IWD556" s="178"/>
      <c r="IWE556" s="178"/>
      <c r="IWF556" s="178"/>
      <c r="IWG556" s="178"/>
      <c r="IWH556" s="178"/>
      <c r="IWI556" s="178"/>
      <c r="IWJ556" s="178"/>
      <c r="IWK556" s="178"/>
      <c r="IWL556" s="178"/>
      <c r="IWM556" s="178"/>
      <c r="IWN556" s="178"/>
      <c r="IWO556" s="178"/>
      <c r="IWP556" s="178"/>
      <c r="IWQ556" s="178"/>
      <c r="IWR556" s="178"/>
      <c r="IWS556" s="178"/>
      <c r="IWT556" s="178"/>
      <c r="IWU556" s="178"/>
      <c r="IWV556" s="178"/>
      <c r="IWW556" s="178"/>
      <c r="IWX556" s="178"/>
      <c r="IWY556" s="178"/>
      <c r="IWZ556" s="178"/>
      <c r="IXA556" s="178"/>
      <c r="IXB556" s="178"/>
      <c r="IXC556" s="178"/>
      <c r="IXD556" s="178"/>
      <c r="IXE556" s="178"/>
      <c r="IXF556" s="178"/>
      <c r="IXG556" s="178"/>
      <c r="IXH556" s="178"/>
      <c r="IXI556" s="178"/>
      <c r="IXJ556" s="178"/>
      <c r="IXK556" s="178"/>
      <c r="IXL556" s="178"/>
      <c r="IXM556" s="178"/>
      <c r="IXN556" s="178"/>
      <c r="IXO556" s="178"/>
      <c r="IXP556" s="178"/>
      <c r="IXQ556" s="178"/>
      <c r="IXR556" s="178"/>
      <c r="IXS556" s="178"/>
      <c r="IXT556" s="178"/>
      <c r="IXU556" s="178"/>
      <c r="IXV556" s="178"/>
      <c r="IXW556" s="178"/>
      <c r="IXX556" s="178"/>
      <c r="IXY556" s="178"/>
      <c r="IXZ556" s="178"/>
      <c r="IYA556" s="178"/>
      <c r="IYB556" s="178"/>
      <c r="IYC556" s="178"/>
      <c r="IYD556" s="178"/>
      <c r="IYE556" s="178"/>
      <c r="IYF556" s="178"/>
      <c r="IYG556" s="178"/>
      <c r="IYH556" s="178"/>
      <c r="IYI556" s="178"/>
      <c r="IYJ556" s="178"/>
      <c r="IYK556" s="178"/>
      <c r="IYL556" s="178"/>
      <c r="IYM556" s="178"/>
      <c r="IYN556" s="178"/>
      <c r="IYO556" s="178"/>
      <c r="IYP556" s="178"/>
      <c r="IYQ556" s="178"/>
      <c r="IYR556" s="178"/>
      <c r="IYS556" s="178"/>
      <c r="IYT556" s="178"/>
      <c r="IYU556" s="178"/>
      <c r="IYV556" s="178"/>
      <c r="IYW556" s="178"/>
      <c r="IYX556" s="178"/>
      <c r="IYY556" s="178"/>
      <c r="IYZ556" s="178"/>
      <c r="IZA556" s="178"/>
      <c r="IZB556" s="178"/>
      <c r="IZC556" s="178"/>
      <c r="IZD556" s="178"/>
      <c r="IZE556" s="178"/>
      <c r="IZF556" s="178"/>
      <c r="IZG556" s="178"/>
      <c r="IZH556" s="178"/>
      <c r="IZI556" s="178"/>
      <c r="IZJ556" s="178"/>
      <c r="IZK556" s="178"/>
      <c r="IZL556" s="178"/>
      <c r="IZM556" s="178"/>
      <c r="IZN556" s="178"/>
      <c r="IZO556" s="178"/>
      <c r="IZP556" s="178"/>
      <c r="IZQ556" s="178"/>
      <c r="IZR556" s="178"/>
      <c r="IZS556" s="178"/>
      <c r="IZT556" s="178"/>
      <c r="IZU556" s="178"/>
      <c r="IZV556" s="178"/>
      <c r="IZW556" s="178"/>
      <c r="IZX556" s="178"/>
      <c r="IZY556" s="178"/>
      <c r="IZZ556" s="178"/>
      <c r="JAA556" s="178"/>
      <c r="JAB556" s="178"/>
      <c r="JAC556" s="178"/>
      <c r="JAD556" s="178"/>
      <c r="JAE556" s="178"/>
      <c r="JAF556" s="178"/>
      <c r="JAG556" s="178"/>
      <c r="JAH556" s="178"/>
      <c r="JAI556" s="178"/>
      <c r="JAJ556" s="178"/>
      <c r="JAK556" s="178"/>
      <c r="JAL556" s="178"/>
      <c r="JAM556" s="178"/>
      <c r="JAN556" s="178"/>
      <c r="JAO556" s="178"/>
      <c r="JAP556" s="178"/>
      <c r="JAQ556" s="178"/>
      <c r="JAR556" s="178"/>
      <c r="JAS556" s="178"/>
      <c r="JAT556" s="178"/>
      <c r="JAU556" s="178"/>
      <c r="JAV556" s="178"/>
      <c r="JAW556" s="178"/>
      <c r="JAX556" s="178"/>
      <c r="JAY556" s="178"/>
      <c r="JAZ556" s="178"/>
      <c r="JBA556" s="178"/>
      <c r="JBB556" s="178"/>
      <c r="JBC556" s="178"/>
      <c r="JBD556" s="178"/>
      <c r="JBE556" s="178"/>
      <c r="JBF556" s="178"/>
      <c r="JBG556" s="178"/>
      <c r="JBH556" s="178"/>
      <c r="JBI556" s="178"/>
      <c r="JBJ556" s="178"/>
      <c r="JBK556" s="178"/>
      <c r="JBL556" s="178"/>
      <c r="JBM556" s="178"/>
      <c r="JBN556" s="178"/>
      <c r="JBO556" s="178"/>
      <c r="JBP556" s="178"/>
      <c r="JBQ556" s="178"/>
      <c r="JBR556" s="178"/>
      <c r="JBS556" s="178"/>
      <c r="JBT556" s="178"/>
      <c r="JBU556" s="178"/>
      <c r="JBV556" s="178"/>
      <c r="JBW556" s="178"/>
      <c r="JBX556" s="178"/>
      <c r="JBY556" s="178"/>
      <c r="JBZ556" s="178"/>
      <c r="JCA556" s="178"/>
      <c r="JCB556" s="178"/>
      <c r="JCC556" s="178"/>
      <c r="JCD556" s="178"/>
      <c r="JCE556" s="178"/>
      <c r="JCF556" s="178"/>
      <c r="JCG556" s="178"/>
      <c r="JCH556" s="178"/>
      <c r="JCI556" s="178"/>
      <c r="JCJ556" s="178"/>
      <c r="JCK556" s="178"/>
      <c r="JCL556" s="178"/>
      <c r="JCM556" s="178"/>
      <c r="JCN556" s="178"/>
      <c r="JCO556" s="178"/>
      <c r="JCP556" s="178"/>
      <c r="JCQ556" s="178"/>
      <c r="JCR556" s="178"/>
      <c r="JCS556" s="178"/>
      <c r="JCT556" s="178"/>
      <c r="JCU556" s="178"/>
      <c r="JCV556" s="178"/>
      <c r="JCW556" s="178"/>
      <c r="JCX556" s="178"/>
      <c r="JCY556" s="178"/>
      <c r="JCZ556" s="178"/>
      <c r="JDA556" s="178"/>
      <c r="JDB556" s="178"/>
      <c r="JDC556" s="178"/>
      <c r="JDD556" s="178"/>
      <c r="JDE556" s="178"/>
      <c r="JDF556" s="178"/>
      <c r="JDG556" s="178"/>
      <c r="JDH556" s="178"/>
      <c r="JDI556" s="178"/>
      <c r="JDJ556" s="178"/>
      <c r="JDK556" s="178"/>
      <c r="JDL556" s="178"/>
      <c r="JDM556" s="178"/>
      <c r="JDN556" s="178"/>
      <c r="JDO556" s="178"/>
      <c r="JDP556" s="178"/>
      <c r="JDQ556" s="178"/>
      <c r="JDR556" s="178"/>
      <c r="JDS556" s="178"/>
      <c r="JDT556" s="178"/>
      <c r="JDU556" s="178"/>
      <c r="JDV556" s="178"/>
      <c r="JDW556" s="178"/>
      <c r="JDX556" s="178"/>
      <c r="JDY556" s="178"/>
      <c r="JDZ556" s="178"/>
      <c r="JEA556" s="178"/>
      <c r="JEB556" s="178"/>
      <c r="JEC556" s="178"/>
      <c r="JED556" s="178"/>
      <c r="JEE556" s="178"/>
      <c r="JEF556" s="178"/>
      <c r="JEG556" s="178"/>
      <c r="JEH556" s="178"/>
      <c r="JEI556" s="178"/>
      <c r="JEJ556" s="178"/>
      <c r="JEK556" s="178"/>
      <c r="JEL556" s="178"/>
      <c r="JEM556" s="178"/>
      <c r="JEN556" s="178"/>
      <c r="JEO556" s="178"/>
      <c r="JEP556" s="178"/>
      <c r="JEQ556" s="178"/>
      <c r="JER556" s="178"/>
      <c r="JES556" s="178"/>
      <c r="JET556" s="178"/>
      <c r="JEU556" s="178"/>
      <c r="JEV556" s="178"/>
      <c r="JEW556" s="178"/>
      <c r="JEX556" s="178"/>
      <c r="JEY556" s="178"/>
      <c r="JEZ556" s="178"/>
      <c r="JFA556" s="178"/>
      <c r="JFB556" s="178"/>
      <c r="JFC556" s="178"/>
      <c r="JFD556" s="178"/>
      <c r="JFE556" s="178"/>
      <c r="JFF556" s="178"/>
      <c r="JFG556" s="178"/>
      <c r="JFH556" s="178"/>
      <c r="JFI556" s="178"/>
      <c r="JFJ556" s="178"/>
      <c r="JFK556" s="178"/>
      <c r="JFL556" s="178"/>
      <c r="JFM556" s="178"/>
      <c r="JFN556" s="178"/>
      <c r="JFO556" s="178"/>
      <c r="JFP556" s="178"/>
      <c r="JFQ556" s="178"/>
      <c r="JFR556" s="178"/>
      <c r="JFS556" s="178"/>
      <c r="JFT556" s="178"/>
      <c r="JFU556" s="178"/>
      <c r="JFV556" s="178"/>
      <c r="JFW556" s="178"/>
      <c r="JFX556" s="178"/>
      <c r="JFY556" s="178"/>
      <c r="JFZ556" s="178"/>
      <c r="JGA556" s="178"/>
      <c r="JGB556" s="178"/>
      <c r="JGC556" s="178"/>
      <c r="JGD556" s="178"/>
      <c r="JGE556" s="178"/>
      <c r="JGF556" s="178"/>
      <c r="JGG556" s="178"/>
      <c r="JGH556" s="178"/>
      <c r="JGI556" s="178"/>
      <c r="JGJ556" s="178"/>
      <c r="JGK556" s="178"/>
      <c r="JGL556" s="178"/>
      <c r="JGM556" s="178"/>
      <c r="JGN556" s="178"/>
      <c r="JGO556" s="178"/>
      <c r="JGP556" s="178"/>
      <c r="JGQ556" s="178"/>
      <c r="JGR556" s="178"/>
      <c r="JGS556" s="178"/>
      <c r="JGT556" s="178"/>
      <c r="JGU556" s="178"/>
      <c r="JGV556" s="178"/>
      <c r="JGW556" s="178"/>
      <c r="JGX556" s="178"/>
      <c r="JGY556" s="178"/>
      <c r="JGZ556" s="178"/>
      <c r="JHA556" s="178"/>
      <c r="JHB556" s="178"/>
      <c r="JHC556" s="178"/>
      <c r="JHD556" s="178"/>
      <c r="JHE556" s="178"/>
      <c r="JHF556" s="178"/>
      <c r="JHG556" s="178"/>
      <c r="JHH556" s="178"/>
      <c r="JHI556" s="178"/>
      <c r="JHJ556" s="178"/>
      <c r="JHK556" s="178"/>
      <c r="JHL556" s="178"/>
      <c r="JHM556" s="178"/>
      <c r="JHN556" s="178"/>
      <c r="JHO556" s="178"/>
      <c r="JHP556" s="178"/>
      <c r="JHQ556" s="178"/>
      <c r="JHR556" s="178"/>
      <c r="JHS556" s="178"/>
      <c r="JHT556" s="178"/>
      <c r="JHU556" s="178"/>
      <c r="JHV556" s="178"/>
      <c r="JHW556" s="178"/>
      <c r="JHX556" s="178"/>
      <c r="JHY556" s="178"/>
      <c r="JHZ556" s="178"/>
      <c r="JIA556" s="178"/>
      <c r="JIB556" s="178"/>
      <c r="JIC556" s="178"/>
      <c r="JID556" s="178"/>
      <c r="JIE556" s="178"/>
      <c r="JIF556" s="178"/>
      <c r="JIG556" s="178"/>
      <c r="JIH556" s="178"/>
      <c r="JII556" s="178"/>
      <c r="JIJ556" s="178"/>
      <c r="JIK556" s="178"/>
      <c r="JIL556" s="178"/>
      <c r="JIM556" s="178"/>
      <c r="JIN556" s="178"/>
      <c r="JIO556" s="178"/>
      <c r="JIP556" s="178"/>
      <c r="JIQ556" s="178"/>
      <c r="JIR556" s="178"/>
      <c r="JIS556" s="178"/>
      <c r="JIT556" s="178"/>
      <c r="JIU556" s="178"/>
      <c r="JIV556" s="178"/>
      <c r="JIW556" s="178"/>
      <c r="JIX556" s="178"/>
      <c r="JIY556" s="178"/>
      <c r="JIZ556" s="178"/>
      <c r="JJA556" s="178"/>
      <c r="JJB556" s="178"/>
      <c r="JJC556" s="178"/>
      <c r="JJD556" s="178"/>
      <c r="JJE556" s="178"/>
      <c r="JJF556" s="178"/>
      <c r="JJG556" s="178"/>
      <c r="JJH556" s="178"/>
      <c r="JJI556" s="178"/>
      <c r="JJJ556" s="178"/>
      <c r="JJK556" s="178"/>
      <c r="JJL556" s="178"/>
      <c r="JJM556" s="178"/>
      <c r="JJN556" s="178"/>
      <c r="JJO556" s="178"/>
      <c r="JJP556" s="178"/>
      <c r="JJQ556" s="178"/>
      <c r="JJR556" s="178"/>
      <c r="JJS556" s="178"/>
      <c r="JJT556" s="178"/>
      <c r="JJU556" s="178"/>
      <c r="JJV556" s="178"/>
      <c r="JJW556" s="178"/>
      <c r="JJX556" s="178"/>
      <c r="JJY556" s="178"/>
      <c r="JJZ556" s="178"/>
      <c r="JKA556" s="178"/>
      <c r="JKB556" s="178"/>
      <c r="JKC556" s="178"/>
      <c r="JKD556" s="178"/>
      <c r="JKE556" s="178"/>
      <c r="JKF556" s="178"/>
      <c r="JKG556" s="178"/>
      <c r="JKH556" s="178"/>
      <c r="JKI556" s="178"/>
      <c r="JKJ556" s="178"/>
      <c r="JKK556" s="178"/>
      <c r="JKL556" s="178"/>
      <c r="JKM556" s="178"/>
      <c r="JKN556" s="178"/>
      <c r="JKO556" s="178"/>
      <c r="JKP556" s="178"/>
      <c r="JKQ556" s="178"/>
      <c r="JKR556" s="178"/>
      <c r="JKS556" s="178"/>
      <c r="JKT556" s="178"/>
      <c r="JKU556" s="178"/>
      <c r="JKV556" s="178"/>
      <c r="JKW556" s="178"/>
      <c r="JKX556" s="178"/>
      <c r="JKY556" s="178"/>
      <c r="JKZ556" s="178"/>
      <c r="JLA556" s="178"/>
      <c r="JLB556" s="178"/>
      <c r="JLC556" s="178"/>
      <c r="JLD556" s="178"/>
      <c r="JLE556" s="178"/>
      <c r="JLF556" s="178"/>
      <c r="JLG556" s="178"/>
      <c r="JLH556" s="178"/>
      <c r="JLI556" s="178"/>
      <c r="JLJ556" s="178"/>
      <c r="JLK556" s="178"/>
      <c r="JLL556" s="178"/>
      <c r="JLM556" s="178"/>
      <c r="JLN556" s="178"/>
      <c r="JLO556" s="178"/>
      <c r="JLP556" s="178"/>
      <c r="JLQ556" s="178"/>
      <c r="JLR556" s="178"/>
      <c r="JLS556" s="178"/>
      <c r="JLT556" s="178"/>
      <c r="JLU556" s="178"/>
      <c r="JLV556" s="178"/>
      <c r="JLW556" s="178"/>
      <c r="JLX556" s="178"/>
      <c r="JLY556" s="178"/>
      <c r="JLZ556" s="178"/>
      <c r="JMA556" s="178"/>
      <c r="JMB556" s="178"/>
      <c r="JMC556" s="178"/>
      <c r="JMD556" s="178"/>
      <c r="JME556" s="178"/>
      <c r="JMF556" s="178"/>
      <c r="JMG556" s="178"/>
      <c r="JMH556" s="178"/>
      <c r="JMI556" s="178"/>
      <c r="JMJ556" s="178"/>
      <c r="JMK556" s="178"/>
      <c r="JML556" s="178"/>
      <c r="JMM556" s="178"/>
      <c r="JMN556" s="178"/>
      <c r="JMO556" s="178"/>
      <c r="JMP556" s="178"/>
      <c r="JMQ556" s="178"/>
      <c r="JMR556" s="178"/>
      <c r="JMS556" s="178"/>
      <c r="JMT556" s="178"/>
      <c r="JMU556" s="178"/>
      <c r="JMV556" s="178"/>
      <c r="JMW556" s="178"/>
      <c r="JMX556" s="178"/>
      <c r="JMY556" s="178"/>
      <c r="JMZ556" s="178"/>
      <c r="JNA556" s="178"/>
      <c r="JNB556" s="178"/>
      <c r="JNC556" s="178"/>
      <c r="JND556" s="178"/>
      <c r="JNE556" s="178"/>
      <c r="JNF556" s="178"/>
      <c r="JNG556" s="178"/>
      <c r="JNH556" s="178"/>
      <c r="JNI556" s="178"/>
      <c r="JNJ556" s="178"/>
      <c r="JNK556" s="178"/>
      <c r="JNL556" s="178"/>
      <c r="JNM556" s="178"/>
      <c r="JNN556" s="178"/>
      <c r="JNO556" s="178"/>
      <c r="JNP556" s="178"/>
      <c r="JNQ556" s="178"/>
      <c r="JNR556" s="178"/>
      <c r="JNS556" s="178"/>
      <c r="JNT556" s="178"/>
      <c r="JNU556" s="178"/>
      <c r="JNV556" s="178"/>
      <c r="JNW556" s="178"/>
      <c r="JNX556" s="178"/>
      <c r="JNY556" s="178"/>
      <c r="JNZ556" s="178"/>
      <c r="JOA556" s="178"/>
      <c r="JOB556" s="178"/>
      <c r="JOC556" s="178"/>
      <c r="JOD556" s="178"/>
      <c r="JOE556" s="178"/>
      <c r="JOF556" s="178"/>
      <c r="JOG556" s="178"/>
      <c r="JOH556" s="178"/>
      <c r="JOI556" s="178"/>
      <c r="JOJ556" s="178"/>
      <c r="JOK556" s="178"/>
      <c r="JOL556" s="178"/>
      <c r="JOM556" s="178"/>
      <c r="JON556" s="178"/>
      <c r="JOO556" s="178"/>
      <c r="JOP556" s="178"/>
      <c r="JOQ556" s="178"/>
      <c r="JOR556" s="178"/>
      <c r="JOS556" s="178"/>
      <c r="JOT556" s="178"/>
      <c r="JOU556" s="178"/>
      <c r="JOV556" s="178"/>
      <c r="JOW556" s="178"/>
      <c r="JOX556" s="178"/>
      <c r="JOY556" s="178"/>
      <c r="JOZ556" s="178"/>
      <c r="JPA556" s="178"/>
      <c r="JPB556" s="178"/>
      <c r="JPC556" s="178"/>
      <c r="JPD556" s="178"/>
      <c r="JPE556" s="178"/>
      <c r="JPF556" s="178"/>
      <c r="JPG556" s="178"/>
      <c r="JPH556" s="178"/>
      <c r="JPI556" s="178"/>
      <c r="JPJ556" s="178"/>
      <c r="JPK556" s="178"/>
      <c r="JPL556" s="178"/>
      <c r="JPM556" s="178"/>
      <c r="JPN556" s="178"/>
      <c r="JPO556" s="178"/>
      <c r="JPP556" s="178"/>
      <c r="JPQ556" s="178"/>
      <c r="JPR556" s="178"/>
      <c r="JPS556" s="178"/>
      <c r="JPT556" s="178"/>
      <c r="JPU556" s="178"/>
      <c r="JPV556" s="178"/>
      <c r="JPW556" s="178"/>
      <c r="JPX556" s="178"/>
      <c r="JPY556" s="178"/>
      <c r="JPZ556" s="178"/>
      <c r="JQA556" s="178"/>
      <c r="JQB556" s="178"/>
      <c r="JQC556" s="178"/>
      <c r="JQD556" s="178"/>
      <c r="JQE556" s="178"/>
      <c r="JQF556" s="178"/>
      <c r="JQG556" s="178"/>
      <c r="JQH556" s="178"/>
      <c r="JQI556" s="178"/>
      <c r="JQJ556" s="178"/>
      <c r="JQK556" s="178"/>
      <c r="JQL556" s="178"/>
      <c r="JQM556" s="178"/>
      <c r="JQN556" s="178"/>
      <c r="JQO556" s="178"/>
      <c r="JQP556" s="178"/>
      <c r="JQQ556" s="178"/>
      <c r="JQR556" s="178"/>
      <c r="JQS556" s="178"/>
      <c r="JQT556" s="178"/>
      <c r="JQU556" s="178"/>
      <c r="JQV556" s="178"/>
      <c r="JQW556" s="178"/>
      <c r="JQX556" s="178"/>
      <c r="JQY556" s="178"/>
      <c r="JQZ556" s="178"/>
      <c r="JRA556" s="178"/>
      <c r="JRB556" s="178"/>
      <c r="JRC556" s="178"/>
      <c r="JRD556" s="178"/>
      <c r="JRE556" s="178"/>
      <c r="JRF556" s="178"/>
      <c r="JRG556" s="178"/>
      <c r="JRH556" s="178"/>
      <c r="JRI556" s="178"/>
      <c r="JRJ556" s="178"/>
      <c r="JRK556" s="178"/>
      <c r="JRL556" s="178"/>
      <c r="JRM556" s="178"/>
      <c r="JRN556" s="178"/>
      <c r="JRO556" s="178"/>
      <c r="JRP556" s="178"/>
      <c r="JRQ556" s="178"/>
      <c r="JRR556" s="178"/>
      <c r="JRS556" s="178"/>
      <c r="JRT556" s="178"/>
      <c r="JRU556" s="178"/>
      <c r="JRV556" s="178"/>
      <c r="JRW556" s="178"/>
      <c r="JRX556" s="178"/>
      <c r="JRY556" s="178"/>
      <c r="JRZ556" s="178"/>
      <c r="JSA556" s="178"/>
      <c r="JSB556" s="178"/>
      <c r="JSC556" s="178"/>
      <c r="JSD556" s="178"/>
      <c r="JSE556" s="178"/>
      <c r="JSF556" s="178"/>
      <c r="JSG556" s="178"/>
      <c r="JSH556" s="178"/>
      <c r="JSI556" s="178"/>
      <c r="JSJ556" s="178"/>
      <c r="JSK556" s="178"/>
      <c r="JSL556" s="178"/>
      <c r="JSM556" s="178"/>
      <c r="JSN556" s="178"/>
      <c r="JSO556" s="178"/>
      <c r="JSP556" s="178"/>
      <c r="JSQ556" s="178"/>
      <c r="JSR556" s="178"/>
      <c r="JSS556" s="178"/>
      <c r="JST556" s="178"/>
      <c r="JSU556" s="178"/>
      <c r="JSV556" s="178"/>
      <c r="JSW556" s="178"/>
      <c r="JSX556" s="178"/>
      <c r="JSY556" s="178"/>
      <c r="JSZ556" s="178"/>
      <c r="JTA556" s="178"/>
      <c r="JTB556" s="178"/>
      <c r="JTC556" s="178"/>
      <c r="JTD556" s="178"/>
      <c r="JTE556" s="178"/>
      <c r="JTF556" s="178"/>
      <c r="JTG556" s="178"/>
      <c r="JTH556" s="178"/>
      <c r="JTI556" s="178"/>
      <c r="JTJ556" s="178"/>
      <c r="JTK556" s="178"/>
      <c r="JTL556" s="178"/>
      <c r="JTM556" s="178"/>
      <c r="JTN556" s="178"/>
      <c r="JTO556" s="178"/>
      <c r="JTP556" s="178"/>
      <c r="JTQ556" s="178"/>
      <c r="JTR556" s="178"/>
      <c r="JTS556" s="178"/>
      <c r="JTT556" s="178"/>
      <c r="JTU556" s="178"/>
      <c r="JTV556" s="178"/>
      <c r="JTW556" s="178"/>
      <c r="JTX556" s="178"/>
      <c r="JTY556" s="178"/>
      <c r="JTZ556" s="178"/>
      <c r="JUA556" s="178"/>
      <c r="JUB556" s="178"/>
      <c r="JUC556" s="178"/>
      <c r="JUD556" s="178"/>
      <c r="JUE556" s="178"/>
      <c r="JUF556" s="178"/>
      <c r="JUG556" s="178"/>
      <c r="JUH556" s="178"/>
      <c r="JUI556" s="178"/>
      <c r="JUJ556" s="178"/>
      <c r="JUK556" s="178"/>
      <c r="JUL556" s="178"/>
      <c r="JUM556" s="178"/>
      <c r="JUN556" s="178"/>
      <c r="JUO556" s="178"/>
      <c r="JUP556" s="178"/>
      <c r="JUQ556" s="178"/>
      <c r="JUR556" s="178"/>
      <c r="JUS556" s="178"/>
      <c r="JUT556" s="178"/>
      <c r="JUU556" s="178"/>
      <c r="JUV556" s="178"/>
      <c r="JUW556" s="178"/>
      <c r="JUX556" s="178"/>
      <c r="JUY556" s="178"/>
      <c r="JUZ556" s="178"/>
      <c r="JVA556" s="178"/>
      <c r="JVB556" s="178"/>
      <c r="JVC556" s="178"/>
      <c r="JVD556" s="178"/>
      <c r="JVE556" s="178"/>
      <c r="JVF556" s="178"/>
      <c r="JVG556" s="178"/>
      <c r="JVH556" s="178"/>
      <c r="JVI556" s="178"/>
      <c r="JVJ556" s="178"/>
      <c r="JVK556" s="178"/>
      <c r="JVL556" s="178"/>
      <c r="JVM556" s="178"/>
      <c r="JVN556" s="178"/>
      <c r="JVO556" s="178"/>
      <c r="JVP556" s="178"/>
      <c r="JVQ556" s="178"/>
      <c r="JVR556" s="178"/>
      <c r="JVS556" s="178"/>
      <c r="JVT556" s="178"/>
      <c r="JVU556" s="178"/>
      <c r="JVV556" s="178"/>
      <c r="JVW556" s="178"/>
      <c r="JVX556" s="178"/>
      <c r="JVY556" s="178"/>
      <c r="JVZ556" s="178"/>
      <c r="JWA556" s="178"/>
      <c r="JWB556" s="178"/>
      <c r="JWC556" s="178"/>
      <c r="JWD556" s="178"/>
      <c r="JWE556" s="178"/>
      <c r="JWF556" s="178"/>
      <c r="JWG556" s="178"/>
      <c r="JWH556" s="178"/>
      <c r="JWI556" s="178"/>
      <c r="JWJ556" s="178"/>
      <c r="JWK556" s="178"/>
      <c r="JWL556" s="178"/>
      <c r="JWM556" s="178"/>
      <c r="JWN556" s="178"/>
      <c r="JWO556" s="178"/>
      <c r="JWP556" s="178"/>
      <c r="JWQ556" s="178"/>
      <c r="JWR556" s="178"/>
      <c r="JWS556" s="178"/>
      <c r="JWT556" s="178"/>
      <c r="JWU556" s="178"/>
      <c r="JWV556" s="178"/>
      <c r="JWW556" s="178"/>
      <c r="JWX556" s="178"/>
      <c r="JWY556" s="178"/>
      <c r="JWZ556" s="178"/>
      <c r="JXA556" s="178"/>
      <c r="JXB556" s="178"/>
      <c r="JXC556" s="178"/>
      <c r="JXD556" s="178"/>
      <c r="JXE556" s="178"/>
      <c r="JXF556" s="178"/>
      <c r="JXG556" s="178"/>
      <c r="JXH556" s="178"/>
      <c r="JXI556" s="178"/>
      <c r="JXJ556" s="178"/>
      <c r="JXK556" s="178"/>
      <c r="JXL556" s="178"/>
      <c r="JXM556" s="178"/>
      <c r="JXN556" s="178"/>
      <c r="JXO556" s="178"/>
      <c r="JXP556" s="178"/>
      <c r="JXQ556" s="178"/>
      <c r="JXR556" s="178"/>
      <c r="JXS556" s="178"/>
      <c r="JXT556" s="178"/>
      <c r="JXU556" s="178"/>
      <c r="JXV556" s="178"/>
      <c r="JXW556" s="178"/>
      <c r="JXX556" s="178"/>
      <c r="JXY556" s="178"/>
      <c r="JXZ556" s="178"/>
      <c r="JYA556" s="178"/>
      <c r="JYB556" s="178"/>
      <c r="JYC556" s="178"/>
      <c r="JYD556" s="178"/>
      <c r="JYE556" s="178"/>
      <c r="JYF556" s="178"/>
      <c r="JYG556" s="178"/>
      <c r="JYH556" s="178"/>
      <c r="JYI556" s="178"/>
      <c r="JYJ556" s="178"/>
      <c r="JYK556" s="178"/>
      <c r="JYL556" s="178"/>
      <c r="JYM556" s="178"/>
      <c r="JYN556" s="178"/>
      <c r="JYO556" s="178"/>
      <c r="JYP556" s="178"/>
      <c r="JYQ556" s="178"/>
      <c r="JYR556" s="178"/>
      <c r="JYS556" s="178"/>
      <c r="JYT556" s="178"/>
      <c r="JYU556" s="178"/>
      <c r="JYV556" s="178"/>
      <c r="JYW556" s="178"/>
      <c r="JYX556" s="178"/>
      <c r="JYY556" s="178"/>
      <c r="JYZ556" s="178"/>
      <c r="JZA556" s="178"/>
      <c r="JZB556" s="178"/>
      <c r="JZC556" s="178"/>
      <c r="JZD556" s="178"/>
      <c r="JZE556" s="178"/>
      <c r="JZF556" s="178"/>
      <c r="JZG556" s="178"/>
      <c r="JZH556" s="178"/>
      <c r="JZI556" s="178"/>
      <c r="JZJ556" s="178"/>
      <c r="JZK556" s="178"/>
      <c r="JZL556" s="178"/>
      <c r="JZM556" s="178"/>
      <c r="JZN556" s="178"/>
      <c r="JZO556" s="178"/>
      <c r="JZP556" s="178"/>
      <c r="JZQ556" s="178"/>
      <c r="JZR556" s="178"/>
      <c r="JZS556" s="178"/>
      <c r="JZT556" s="178"/>
      <c r="JZU556" s="178"/>
      <c r="JZV556" s="178"/>
      <c r="JZW556" s="178"/>
      <c r="JZX556" s="178"/>
      <c r="JZY556" s="178"/>
      <c r="JZZ556" s="178"/>
      <c r="KAA556" s="178"/>
      <c r="KAB556" s="178"/>
      <c r="KAC556" s="178"/>
      <c r="KAD556" s="178"/>
      <c r="KAE556" s="178"/>
      <c r="KAF556" s="178"/>
      <c r="KAG556" s="178"/>
      <c r="KAH556" s="178"/>
      <c r="KAI556" s="178"/>
      <c r="KAJ556" s="178"/>
      <c r="KAK556" s="178"/>
      <c r="KAL556" s="178"/>
      <c r="KAM556" s="178"/>
      <c r="KAN556" s="178"/>
      <c r="KAO556" s="178"/>
      <c r="KAP556" s="178"/>
      <c r="KAQ556" s="178"/>
      <c r="KAR556" s="178"/>
      <c r="KAS556" s="178"/>
      <c r="KAT556" s="178"/>
      <c r="KAU556" s="178"/>
      <c r="KAV556" s="178"/>
      <c r="KAW556" s="178"/>
      <c r="KAX556" s="178"/>
      <c r="KAY556" s="178"/>
      <c r="KAZ556" s="178"/>
      <c r="KBA556" s="178"/>
      <c r="KBB556" s="178"/>
      <c r="KBC556" s="178"/>
      <c r="KBD556" s="178"/>
      <c r="KBE556" s="178"/>
      <c r="KBF556" s="178"/>
      <c r="KBG556" s="178"/>
      <c r="KBH556" s="178"/>
      <c r="KBI556" s="178"/>
      <c r="KBJ556" s="178"/>
      <c r="KBK556" s="178"/>
      <c r="KBL556" s="178"/>
      <c r="KBM556" s="178"/>
      <c r="KBN556" s="178"/>
      <c r="KBO556" s="178"/>
      <c r="KBP556" s="178"/>
      <c r="KBQ556" s="178"/>
      <c r="KBR556" s="178"/>
      <c r="KBS556" s="178"/>
      <c r="KBT556" s="178"/>
      <c r="KBU556" s="178"/>
      <c r="KBV556" s="178"/>
      <c r="KBW556" s="178"/>
      <c r="KBX556" s="178"/>
      <c r="KBY556" s="178"/>
      <c r="KBZ556" s="178"/>
      <c r="KCA556" s="178"/>
      <c r="KCB556" s="178"/>
      <c r="KCC556" s="178"/>
      <c r="KCD556" s="178"/>
      <c r="KCE556" s="178"/>
      <c r="KCF556" s="178"/>
      <c r="KCG556" s="178"/>
      <c r="KCH556" s="178"/>
      <c r="KCI556" s="178"/>
      <c r="KCJ556" s="178"/>
      <c r="KCK556" s="178"/>
      <c r="KCL556" s="178"/>
      <c r="KCM556" s="178"/>
      <c r="KCN556" s="178"/>
      <c r="KCO556" s="178"/>
      <c r="KCP556" s="178"/>
      <c r="KCQ556" s="178"/>
      <c r="KCR556" s="178"/>
      <c r="KCS556" s="178"/>
      <c r="KCT556" s="178"/>
      <c r="KCU556" s="178"/>
      <c r="KCV556" s="178"/>
      <c r="KCW556" s="178"/>
      <c r="KCX556" s="178"/>
      <c r="KCY556" s="178"/>
      <c r="KCZ556" s="178"/>
      <c r="KDA556" s="178"/>
      <c r="KDB556" s="178"/>
      <c r="KDC556" s="178"/>
      <c r="KDD556" s="178"/>
      <c r="KDE556" s="178"/>
      <c r="KDF556" s="178"/>
      <c r="KDG556" s="178"/>
      <c r="KDH556" s="178"/>
      <c r="KDI556" s="178"/>
      <c r="KDJ556" s="178"/>
      <c r="KDK556" s="178"/>
      <c r="KDL556" s="178"/>
      <c r="KDM556" s="178"/>
      <c r="KDN556" s="178"/>
      <c r="KDO556" s="178"/>
      <c r="KDP556" s="178"/>
      <c r="KDQ556" s="178"/>
      <c r="KDR556" s="178"/>
      <c r="KDS556" s="178"/>
      <c r="KDT556" s="178"/>
      <c r="KDU556" s="178"/>
      <c r="KDV556" s="178"/>
      <c r="KDW556" s="178"/>
      <c r="KDX556" s="178"/>
      <c r="KDY556" s="178"/>
      <c r="KDZ556" s="178"/>
      <c r="KEA556" s="178"/>
      <c r="KEB556" s="178"/>
      <c r="KEC556" s="178"/>
      <c r="KED556" s="178"/>
      <c r="KEE556" s="178"/>
      <c r="KEF556" s="178"/>
      <c r="KEG556" s="178"/>
      <c r="KEH556" s="178"/>
      <c r="KEI556" s="178"/>
      <c r="KEJ556" s="178"/>
      <c r="KEK556" s="178"/>
      <c r="KEL556" s="178"/>
      <c r="KEM556" s="178"/>
      <c r="KEN556" s="178"/>
      <c r="KEO556" s="178"/>
      <c r="KEP556" s="178"/>
      <c r="KEQ556" s="178"/>
      <c r="KER556" s="178"/>
      <c r="KES556" s="178"/>
      <c r="KET556" s="178"/>
      <c r="KEU556" s="178"/>
      <c r="KEV556" s="178"/>
      <c r="KEW556" s="178"/>
      <c r="KEX556" s="178"/>
      <c r="KEY556" s="178"/>
      <c r="KEZ556" s="178"/>
      <c r="KFA556" s="178"/>
      <c r="KFB556" s="178"/>
      <c r="KFC556" s="178"/>
      <c r="KFD556" s="178"/>
      <c r="KFE556" s="178"/>
      <c r="KFF556" s="178"/>
      <c r="KFG556" s="178"/>
      <c r="KFH556" s="178"/>
      <c r="KFI556" s="178"/>
      <c r="KFJ556" s="178"/>
      <c r="KFK556" s="178"/>
      <c r="KFL556" s="178"/>
      <c r="KFM556" s="178"/>
      <c r="KFN556" s="178"/>
      <c r="KFO556" s="178"/>
      <c r="KFP556" s="178"/>
      <c r="KFQ556" s="178"/>
      <c r="KFR556" s="178"/>
      <c r="KFS556" s="178"/>
      <c r="KFT556" s="178"/>
      <c r="KFU556" s="178"/>
      <c r="KFV556" s="178"/>
      <c r="KFW556" s="178"/>
      <c r="KFX556" s="178"/>
      <c r="KFY556" s="178"/>
      <c r="KFZ556" s="178"/>
      <c r="KGA556" s="178"/>
      <c r="KGB556" s="178"/>
      <c r="KGC556" s="178"/>
      <c r="KGD556" s="178"/>
      <c r="KGE556" s="178"/>
      <c r="KGF556" s="178"/>
      <c r="KGG556" s="178"/>
      <c r="KGH556" s="178"/>
      <c r="KGI556" s="178"/>
      <c r="KGJ556" s="178"/>
      <c r="KGK556" s="178"/>
      <c r="KGL556" s="178"/>
      <c r="KGM556" s="178"/>
      <c r="KGN556" s="178"/>
      <c r="KGO556" s="178"/>
      <c r="KGP556" s="178"/>
      <c r="KGQ556" s="178"/>
      <c r="KGR556" s="178"/>
      <c r="KGS556" s="178"/>
      <c r="KGT556" s="178"/>
      <c r="KGU556" s="178"/>
      <c r="KGV556" s="178"/>
      <c r="KGW556" s="178"/>
      <c r="KGX556" s="178"/>
      <c r="KGY556" s="178"/>
      <c r="KGZ556" s="178"/>
      <c r="KHA556" s="178"/>
      <c r="KHB556" s="178"/>
      <c r="KHC556" s="178"/>
      <c r="KHD556" s="178"/>
      <c r="KHE556" s="178"/>
      <c r="KHF556" s="178"/>
      <c r="KHG556" s="178"/>
      <c r="KHH556" s="178"/>
      <c r="KHI556" s="178"/>
      <c r="KHJ556" s="178"/>
      <c r="KHK556" s="178"/>
      <c r="KHL556" s="178"/>
      <c r="KHM556" s="178"/>
      <c r="KHN556" s="178"/>
      <c r="KHO556" s="178"/>
      <c r="KHP556" s="178"/>
      <c r="KHQ556" s="178"/>
      <c r="KHR556" s="178"/>
      <c r="KHS556" s="178"/>
      <c r="KHT556" s="178"/>
      <c r="KHU556" s="178"/>
      <c r="KHV556" s="178"/>
      <c r="KHW556" s="178"/>
      <c r="KHX556" s="178"/>
      <c r="KHY556" s="178"/>
      <c r="KHZ556" s="178"/>
      <c r="KIA556" s="178"/>
      <c r="KIB556" s="178"/>
      <c r="KIC556" s="178"/>
      <c r="KID556" s="178"/>
      <c r="KIE556" s="178"/>
      <c r="KIF556" s="178"/>
      <c r="KIG556" s="178"/>
      <c r="KIH556" s="178"/>
      <c r="KII556" s="178"/>
      <c r="KIJ556" s="178"/>
      <c r="KIK556" s="178"/>
      <c r="KIL556" s="178"/>
      <c r="KIM556" s="178"/>
      <c r="KIN556" s="178"/>
      <c r="KIO556" s="178"/>
      <c r="KIP556" s="178"/>
      <c r="KIQ556" s="178"/>
      <c r="KIR556" s="178"/>
      <c r="KIS556" s="178"/>
      <c r="KIT556" s="178"/>
      <c r="KIU556" s="178"/>
      <c r="KIV556" s="178"/>
      <c r="KIW556" s="178"/>
      <c r="KIX556" s="178"/>
      <c r="KIY556" s="178"/>
      <c r="KIZ556" s="178"/>
      <c r="KJA556" s="178"/>
      <c r="KJB556" s="178"/>
      <c r="KJC556" s="178"/>
      <c r="KJD556" s="178"/>
      <c r="KJE556" s="178"/>
      <c r="KJF556" s="178"/>
      <c r="KJG556" s="178"/>
      <c r="KJH556" s="178"/>
      <c r="KJI556" s="178"/>
      <c r="KJJ556" s="178"/>
      <c r="KJK556" s="178"/>
      <c r="KJL556" s="178"/>
      <c r="KJM556" s="178"/>
      <c r="KJN556" s="178"/>
      <c r="KJO556" s="178"/>
      <c r="KJP556" s="178"/>
      <c r="KJQ556" s="178"/>
      <c r="KJR556" s="178"/>
      <c r="KJS556" s="178"/>
      <c r="KJT556" s="178"/>
      <c r="KJU556" s="178"/>
      <c r="KJV556" s="178"/>
      <c r="KJW556" s="178"/>
      <c r="KJX556" s="178"/>
      <c r="KJY556" s="178"/>
      <c r="KJZ556" s="178"/>
      <c r="KKA556" s="178"/>
      <c r="KKB556" s="178"/>
      <c r="KKC556" s="178"/>
      <c r="KKD556" s="178"/>
      <c r="KKE556" s="178"/>
      <c r="KKF556" s="178"/>
      <c r="KKG556" s="178"/>
      <c r="KKH556" s="178"/>
      <c r="KKI556" s="178"/>
      <c r="KKJ556" s="178"/>
      <c r="KKK556" s="178"/>
      <c r="KKL556" s="178"/>
      <c r="KKM556" s="178"/>
      <c r="KKN556" s="178"/>
      <c r="KKO556" s="178"/>
      <c r="KKP556" s="178"/>
      <c r="KKQ556" s="178"/>
      <c r="KKR556" s="178"/>
      <c r="KKS556" s="178"/>
      <c r="KKT556" s="178"/>
      <c r="KKU556" s="178"/>
      <c r="KKV556" s="178"/>
      <c r="KKW556" s="178"/>
      <c r="KKX556" s="178"/>
      <c r="KKY556" s="178"/>
      <c r="KKZ556" s="178"/>
      <c r="KLA556" s="178"/>
      <c r="KLB556" s="178"/>
      <c r="KLC556" s="178"/>
      <c r="KLD556" s="178"/>
      <c r="KLE556" s="178"/>
      <c r="KLF556" s="178"/>
      <c r="KLG556" s="178"/>
      <c r="KLH556" s="178"/>
      <c r="KLI556" s="178"/>
      <c r="KLJ556" s="178"/>
      <c r="KLK556" s="178"/>
      <c r="KLL556" s="178"/>
      <c r="KLM556" s="178"/>
      <c r="KLN556" s="178"/>
      <c r="KLO556" s="178"/>
      <c r="KLP556" s="178"/>
      <c r="KLQ556" s="178"/>
      <c r="KLR556" s="178"/>
      <c r="KLS556" s="178"/>
      <c r="KLT556" s="178"/>
      <c r="KLU556" s="178"/>
      <c r="KLV556" s="178"/>
      <c r="KLW556" s="178"/>
      <c r="KLX556" s="178"/>
      <c r="KLY556" s="178"/>
      <c r="KLZ556" s="178"/>
      <c r="KMA556" s="178"/>
      <c r="KMB556" s="178"/>
      <c r="KMC556" s="178"/>
      <c r="KMD556" s="178"/>
      <c r="KME556" s="178"/>
      <c r="KMF556" s="178"/>
      <c r="KMG556" s="178"/>
      <c r="KMH556" s="178"/>
      <c r="KMI556" s="178"/>
      <c r="KMJ556" s="178"/>
      <c r="KMK556" s="178"/>
      <c r="KML556" s="178"/>
      <c r="KMM556" s="178"/>
      <c r="KMN556" s="178"/>
      <c r="KMO556" s="178"/>
      <c r="KMP556" s="178"/>
      <c r="KMQ556" s="178"/>
      <c r="KMR556" s="178"/>
      <c r="KMS556" s="178"/>
      <c r="KMT556" s="178"/>
      <c r="KMU556" s="178"/>
      <c r="KMV556" s="178"/>
      <c r="KMW556" s="178"/>
      <c r="KMX556" s="178"/>
      <c r="KMY556" s="178"/>
      <c r="KMZ556" s="178"/>
      <c r="KNA556" s="178"/>
      <c r="KNB556" s="178"/>
      <c r="KNC556" s="178"/>
      <c r="KND556" s="178"/>
      <c r="KNE556" s="178"/>
      <c r="KNF556" s="178"/>
      <c r="KNG556" s="178"/>
      <c r="KNH556" s="178"/>
      <c r="KNI556" s="178"/>
      <c r="KNJ556" s="178"/>
      <c r="KNK556" s="178"/>
      <c r="KNL556" s="178"/>
      <c r="KNM556" s="178"/>
      <c r="KNN556" s="178"/>
      <c r="KNO556" s="178"/>
      <c r="KNP556" s="178"/>
      <c r="KNQ556" s="178"/>
      <c r="KNR556" s="178"/>
      <c r="KNS556" s="178"/>
      <c r="KNT556" s="178"/>
      <c r="KNU556" s="178"/>
      <c r="KNV556" s="178"/>
      <c r="KNW556" s="178"/>
      <c r="KNX556" s="178"/>
      <c r="KNY556" s="178"/>
      <c r="KNZ556" s="178"/>
      <c r="KOA556" s="178"/>
      <c r="KOB556" s="178"/>
      <c r="KOC556" s="178"/>
      <c r="KOD556" s="178"/>
      <c r="KOE556" s="178"/>
      <c r="KOF556" s="178"/>
      <c r="KOG556" s="178"/>
      <c r="KOH556" s="178"/>
      <c r="KOI556" s="178"/>
      <c r="KOJ556" s="178"/>
      <c r="KOK556" s="178"/>
      <c r="KOL556" s="178"/>
      <c r="KOM556" s="178"/>
      <c r="KON556" s="178"/>
      <c r="KOO556" s="178"/>
      <c r="KOP556" s="178"/>
      <c r="KOQ556" s="178"/>
      <c r="KOR556" s="178"/>
      <c r="KOS556" s="178"/>
      <c r="KOT556" s="178"/>
      <c r="KOU556" s="178"/>
      <c r="KOV556" s="178"/>
      <c r="KOW556" s="178"/>
      <c r="KOX556" s="178"/>
      <c r="KOY556" s="178"/>
      <c r="KOZ556" s="178"/>
      <c r="KPA556" s="178"/>
      <c r="KPB556" s="178"/>
      <c r="KPC556" s="178"/>
      <c r="KPD556" s="178"/>
      <c r="KPE556" s="178"/>
      <c r="KPF556" s="178"/>
      <c r="KPG556" s="178"/>
      <c r="KPH556" s="178"/>
      <c r="KPI556" s="178"/>
      <c r="KPJ556" s="178"/>
      <c r="KPK556" s="178"/>
      <c r="KPL556" s="178"/>
      <c r="KPM556" s="178"/>
      <c r="KPN556" s="178"/>
      <c r="KPO556" s="178"/>
      <c r="KPP556" s="178"/>
      <c r="KPQ556" s="178"/>
      <c r="KPR556" s="178"/>
      <c r="KPS556" s="178"/>
      <c r="KPT556" s="178"/>
      <c r="KPU556" s="178"/>
      <c r="KPV556" s="178"/>
      <c r="KPW556" s="178"/>
      <c r="KPX556" s="178"/>
      <c r="KPY556" s="178"/>
      <c r="KPZ556" s="178"/>
      <c r="KQA556" s="178"/>
      <c r="KQB556" s="178"/>
      <c r="KQC556" s="178"/>
      <c r="KQD556" s="178"/>
      <c r="KQE556" s="178"/>
      <c r="KQF556" s="178"/>
      <c r="KQG556" s="178"/>
      <c r="KQH556" s="178"/>
      <c r="KQI556" s="178"/>
      <c r="KQJ556" s="178"/>
      <c r="KQK556" s="178"/>
      <c r="KQL556" s="178"/>
      <c r="KQM556" s="178"/>
      <c r="KQN556" s="178"/>
      <c r="KQO556" s="178"/>
      <c r="KQP556" s="178"/>
      <c r="KQQ556" s="178"/>
      <c r="KQR556" s="178"/>
      <c r="KQS556" s="178"/>
      <c r="KQT556" s="178"/>
      <c r="KQU556" s="178"/>
      <c r="KQV556" s="178"/>
      <c r="KQW556" s="178"/>
      <c r="KQX556" s="178"/>
      <c r="KQY556" s="178"/>
      <c r="KQZ556" s="178"/>
      <c r="KRA556" s="178"/>
      <c r="KRB556" s="178"/>
      <c r="KRC556" s="178"/>
      <c r="KRD556" s="178"/>
      <c r="KRE556" s="178"/>
      <c r="KRF556" s="178"/>
      <c r="KRG556" s="178"/>
      <c r="KRH556" s="178"/>
      <c r="KRI556" s="178"/>
      <c r="KRJ556" s="178"/>
      <c r="KRK556" s="178"/>
      <c r="KRL556" s="178"/>
      <c r="KRM556" s="178"/>
      <c r="KRN556" s="178"/>
      <c r="KRO556" s="178"/>
      <c r="KRP556" s="178"/>
      <c r="KRQ556" s="178"/>
      <c r="KRR556" s="178"/>
      <c r="KRS556" s="178"/>
      <c r="KRT556" s="178"/>
      <c r="KRU556" s="178"/>
      <c r="KRV556" s="178"/>
      <c r="KRW556" s="178"/>
      <c r="KRX556" s="178"/>
      <c r="KRY556" s="178"/>
      <c r="KRZ556" s="178"/>
      <c r="KSA556" s="178"/>
      <c r="KSB556" s="178"/>
      <c r="KSC556" s="178"/>
      <c r="KSD556" s="178"/>
      <c r="KSE556" s="178"/>
      <c r="KSF556" s="178"/>
      <c r="KSG556" s="178"/>
      <c r="KSH556" s="178"/>
      <c r="KSI556" s="178"/>
      <c r="KSJ556" s="178"/>
      <c r="KSK556" s="178"/>
      <c r="KSL556" s="178"/>
      <c r="KSM556" s="178"/>
      <c r="KSN556" s="178"/>
      <c r="KSO556" s="178"/>
      <c r="KSP556" s="178"/>
      <c r="KSQ556" s="178"/>
      <c r="KSR556" s="178"/>
      <c r="KSS556" s="178"/>
      <c r="KST556" s="178"/>
      <c r="KSU556" s="178"/>
      <c r="KSV556" s="178"/>
      <c r="KSW556" s="178"/>
      <c r="KSX556" s="178"/>
      <c r="KSY556" s="178"/>
      <c r="KSZ556" s="178"/>
      <c r="KTA556" s="178"/>
      <c r="KTB556" s="178"/>
      <c r="KTC556" s="178"/>
      <c r="KTD556" s="178"/>
      <c r="KTE556" s="178"/>
      <c r="KTF556" s="178"/>
      <c r="KTG556" s="178"/>
      <c r="KTH556" s="178"/>
      <c r="KTI556" s="178"/>
      <c r="KTJ556" s="178"/>
      <c r="KTK556" s="178"/>
      <c r="KTL556" s="178"/>
      <c r="KTM556" s="178"/>
      <c r="KTN556" s="178"/>
      <c r="KTO556" s="178"/>
      <c r="KTP556" s="178"/>
      <c r="KTQ556" s="178"/>
      <c r="KTR556" s="178"/>
      <c r="KTS556" s="178"/>
      <c r="KTT556" s="178"/>
      <c r="KTU556" s="178"/>
      <c r="KTV556" s="178"/>
      <c r="KTW556" s="178"/>
      <c r="KTX556" s="178"/>
      <c r="KTY556" s="178"/>
      <c r="KTZ556" s="178"/>
      <c r="KUA556" s="178"/>
      <c r="KUB556" s="178"/>
      <c r="KUC556" s="178"/>
      <c r="KUD556" s="178"/>
      <c r="KUE556" s="178"/>
      <c r="KUF556" s="178"/>
      <c r="KUG556" s="178"/>
      <c r="KUH556" s="178"/>
      <c r="KUI556" s="178"/>
      <c r="KUJ556" s="178"/>
      <c r="KUK556" s="178"/>
      <c r="KUL556" s="178"/>
      <c r="KUM556" s="178"/>
      <c r="KUN556" s="178"/>
      <c r="KUO556" s="178"/>
      <c r="KUP556" s="178"/>
      <c r="KUQ556" s="178"/>
      <c r="KUR556" s="178"/>
      <c r="KUS556" s="178"/>
      <c r="KUT556" s="178"/>
      <c r="KUU556" s="178"/>
      <c r="KUV556" s="178"/>
      <c r="KUW556" s="178"/>
      <c r="KUX556" s="178"/>
      <c r="KUY556" s="178"/>
      <c r="KUZ556" s="178"/>
      <c r="KVA556" s="178"/>
      <c r="KVB556" s="178"/>
      <c r="KVC556" s="178"/>
      <c r="KVD556" s="178"/>
      <c r="KVE556" s="178"/>
      <c r="KVF556" s="178"/>
      <c r="KVG556" s="178"/>
      <c r="KVH556" s="178"/>
      <c r="KVI556" s="178"/>
      <c r="KVJ556" s="178"/>
      <c r="KVK556" s="178"/>
      <c r="KVL556" s="178"/>
      <c r="KVM556" s="178"/>
      <c r="KVN556" s="178"/>
      <c r="KVO556" s="178"/>
      <c r="KVP556" s="178"/>
      <c r="KVQ556" s="178"/>
      <c r="KVR556" s="178"/>
      <c r="KVS556" s="178"/>
      <c r="KVT556" s="178"/>
      <c r="KVU556" s="178"/>
      <c r="KVV556" s="178"/>
      <c r="KVW556" s="178"/>
      <c r="KVX556" s="178"/>
      <c r="KVY556" s="178"/>
      <c r="KVZ556" s="178"/>
      <c r="KWA556" s="178"/>
      <c r="KWB556" s="178"/>
      <c r="KWC556" s="178"/>
      <c r="KWD556" s="178"/>
      <c r="KWE556" s="178"/>
      <c r="KWF556" s="178"/>
      <c r="KWG556" s="178"/>
      <c r="KWH556" s="178"/>
      <c r="KWI556" s="178"/>
      <c r="KWJ556" s="178"/>
      <c r="KWK556" s="178"/>
      <c r="KWL556" s="178"/>
      <c r="KWM556" s="178"/>
      <c r="KWN556" s="178"/>
      <c r="KWO556" s="178"/>
      <c r="KWP556" s="178"/>
      <c r="KWQ556" s="178"/>
      <c r="KWR556" s="178"/>
      <c r="KWS556" s="178"/>
      <c r="KWT556" s="178"/>
      <c r="KWU556" s="178"/>
      <c r="KWV556" s="178"/>
      <c r="KWW556" s="178"/>
      <c r="KWX556" s="178"/>
      <c r="KWY556" s="178"/>
      <c r="KWZ556" s="178"/>
      <c r="KXA556" s="178"/>
      <c r="KXB556" s="178"/>
      <c r="KXC556" s="178"/>
      <c r="KXD556" s="178"/>
      <c r="KXE556" s="178"/>
      <c r="KXF556" s="178"/>
      <c r="KXG556" s="178"/>
      <c r="KXH556" s="178"/>
      <c r="KXI556" s="178"/>
      <c r="KXJ556" s="178"/>
      <c r="KXK556" s="178"/>
      <c r="KXL556" s="178"/>
      <c r="KXM556" s="178"/>
      <c r="KXN556" s="178"/>
      <c r="KXO556" s="178"/>
      <c r="KXP556" s="178"/>
      <c r="KXQ556" s="178"/>
      <c r="KXR556" s="178"/>
      <c r="KXS556" s="178"/>
      <c r="KXT556" s="178"/>
      <c r="KXU556" s="178"/>
      <c r="KXV556" s="178"/>
      <c r="KXW556" s="178"/>
      <c r="KXX556" s="178"/>
      <c r="KXY556" s="178"/>
      <c r="KXZ556" s="178"/>
      <c r="KYA556" s="178"/>
      <c r="KYB556" s="178"/>
      <c r="KYC556" s="178"/>
      <c r="KYD556" s="178"/>
      <c r="KYE556" s="178"/>
      <c r="KYF556" s="178"/>
      <c r="KYG556" s="178"/>
      <c r="KYH556" s="178"/>
      <c r="KYI556" s="178"/>
      <c r="KYJ556" s="178"/>
      <c r="KYK556" s="178"/>
      <c r="KYL556" s="178"/>
      <c r="KYM556" s="178"/>
      <c r="KYN556" s="178"/>
      <c r="KYO556" s="178"/>
      <c r="KYP556" s="178"/>
      <c r="KYQ556" s="178"/>
      <c r="KYR556" s="178"/>
      <c r="KYS556" s="178"/>
      <c r="KYT556" s="178"/>
      <c r="KYU556" s="178"/>
      <c r="KYV556" s="178"/>
      <c r="KYW556" s="178"/>
      <c r="KYX556" s="178"/>
      <c r="KYY556" s="178"/>
      <c r="KYZ556" s="178"/>
      <c r="KZA556" s="178"/>
      <c r="KZB556" s="178"/>
      <c r="KZC556" s="178"/>
      <c r="KZD556" s="178"/>
      <c r="KZE556" s="178"/>
      <c r="KZF556" s="178"/>
      <c r="KZG556" s="178"/>
      <c r="KZH556" s="178"/>
      <c r="KZI556" s="178"/>
      <c r="KZJ556" s="178"/>
      <c r="KZK556" s="178"/>
      <c r="KZL556" s="178"/>
      <c r="KZM556" s="178"/>
      <c r="KZN556" s="178"/>
      <c r="KZO556" s="178"/>
      <c r="KZP556" s="178"/>
      <c r="KZQ556" s="178"/>
      <c r="KZR556" s="178"/>
      <c r="KZS556" s="178"/>
      <c r="KZT556" s="178"/>
      <c r="KZU556" s="178"/>
      <c r="KZV556" s="178"/>
      <c r="KZW556" s="178"/>
      <c r="KZX556" s="178"/>
      <c r="KZY556" s="178"/>
      <c r="KZZ556" s="178"/>
      <c r="LAA556" s="178"/>
      <c r="LAB556" s="178"/>
      <c r="LAC556" s="178"/>
      <c r="LAD556" s="178"/>
      <c r="LAE556" s="178"/>
      <c r="LAF556" s="178"/>
      <c r="LAG556" s="178"/>
      <c r="LAH556" s="178"/>
      <c r="LAI556" s="178"/>
      <c r="LAJ556" s="178"/>
      <c r="LAK556" s="178"/>
      <c r="LAL556" s="178"/>
      <c r="LAM556" s="178"/>
      <c r="LAN556" s="178"/>
      <c r="LAO556" s="178"/>
      <c r="LAP556" s="178"/>
      <c r="LAQ556" s="178"/>
      <c r="LAR556" s="178"/>
      <c r="LAS556" s="178"/>
      <c r="LAT556" s="178"/>
      <c r="LAU556" s="178"/>
      <c r="LAV556" s="178"/>
      <c r="LAW556" s="178"/>
      <c r="LAX556" s="178"/>
      <c r="LAY556" s="178"/>
      <c r="LAZ556" s="178"/>
      <c r="LBA556" s="178"/>
      <c r="LBB556" s="178"/>
      <c r="LBC556" s="178"/>
      <c r="LBD556" s="178"/>
      <c r="LBE556" s="178"/>
      <c r="LBF556" s="178"/>
      <c r="LBG556" s="178"/>
      <c r="LBH556" s="178"/>
      <c r="LBI556" s="178"/>
      <c r="LBJ556" s="178"/>
      <c r="LBK556" s="178"/>
      <c r="LBL556" s="178"/>
      <c r="LBM556" s="178"/>
      <c r="LBN556" s="178"/>
      <c r="LBO556" s="178"/>
      <c r="LBP556" s="178"/>
      <c r="LBQ556" s="178"/>
      <c r="LBR556" s="178"/>
      <c r="LBS556" s="178"/>
      <c r="LBT556" s="178"/>
      <c r="LBU556" s="178"/>
      <c r="LBV556" s="178"/>
      <c r="LBW556" s="178"/>
      <c r="LBX556" s="178"/>
      <c r="LBY556" s="178"/>
      <c r="LBZ556" s="178"/>
      <c r="LCA556" s="178"/>
      <c r="LCB556" s="178"/>
      <c r="LCC556" s="178"/>
      <c r="LCD556" s="178"/>
      <c r="LCE556" s="178"/>
      <c r="LCF556" s="178"/>
      <c r="LCG556" s="178"/>
      <c r="LCH556" s="178"/>
      <c r="LCI556" s="178"/>
      <c r="LCJ556" s="178"/>
      <c r="LCK556" s="178"/>
      <c r="LCL556" s="178"/>
      <c r="LCM556" s="178"/>
      <c r="LCN556" s="178"/>
      <c r="LCO556" s="178"/>
      <c r="LCP556" s="178"/>
      <c r="LCQ556" s="178"/>
      <c r="LCR556" s="178"/>
      <c r="LCS556" s="178"/>
      <c r="LCT556" s="178"/>
      <c r="LCU556" s="178"/>
      <c r="LCV556" s="178"/>
      <c r="LCW556" s="178"/>
      <c r="LCX556" s="178"/>
      <c r="LCY556" s="178"/>
      <c r="LCZ556" s="178"/>
      <c r="LDA556" s="178"/>
      <c r="LDB556" s="178"/>
      <c r="LDC556" s="178"/>
      <c r="LDD556" s="178"/>
      <c r="LDE556" s="178"/>
      <c r="LDF556" s="178"/>
      <c r="LDG556" s="178"/>
      <c r="LDH556" s="178"/>
      <c r="LDI556" s="178"/>
      <c r="LDJ556" s="178"/>
      <c r="LDK556" s="178"/>
      <c r="LDL556" s="178"/>
      <c r="LDM556" s="178"/>
      <c r="LDN556" s="178"/>
      <c r="LDO556" s="178"/>
      <c r="LDP556" s="178"/>
      <c r="LDQ556" s="178"/>
      <c r="LDR556" s="178"/>
      <c r="LDS556" s="178"/>
      <c r="LDT556" s="178"/>
      <c r="LDU556" s="178"/>
      <c r="LDV556" s="178"/>
      <c r="LDW556" s="178"/>
      <c r="LDX556" s="178"/>
      <c r="LDY556" s="178"/>
      <c r="LDZ556" s="178"/>
      <c r="LEA556" s="178"/>
      <c r="LEB556" s="178"/>
      <c r="LEC556" s="178"/>
      <c r="LED556" s="178"/>
      <c r="LEE556" s="178"/>
      <c r="LEF556" s="178"/>
      <c r="LEG556" s="178"/>
      <c r="LEH556" s="178"/>
      <c r="LEI556" s="178"/>
      <c r="LEJ556" s="178"/>
      <c r="LEK556" s="178"/>
      <c r="LEL556" s="178"/>
      <c r="LEM556" s="178"/>
      <c r="LEN556" s="178"/>
      <c r="LEO556" s="178"/>
      <c r="LEP556" s="178"/>
      <c r="LEQ556" s="178"/>
      <c r="LER556" s="178"/>
      <c r="LES556" s="178"/>
      <c r="LET556" s="178"/>
      <c r="LEU556" s="178"/>
      <c r="LEV556" s="178"/>
      <c r="LEW556" s="178"/>
      <c r="LEX556" s="178"/>
      <c r="LEY556" s="178"/>
      <c r="LEZ556" s="178"/>
      <c r="LFA556" s="178"/>
      <c r="LFB556" s="178"/>
      <c r="LFC556" s="178"/>
      <c r="LFD556" s="178"/>
      <c r="LFE556" s="178"/>
      <c r="LFF556" s="178"/>
      <c r="LFG556" s="178"/>
      <c r="LFH556" s="178"/>
      <c r="LFI556" s="178"/>
      <c r="LFJ556" s="178"/>
      <c r="LFK556" s="178"/>
      <c r="LFL556" s="178"/>
      <c r="LFM556" s="178"/>
      <c r="LFN556" s="178"/>
      <c r="LFO556" s="178"/>
      <c r="LFP556" s="178"/>
      <c r="LFQ556" s="178"/>
      <c r="LFR556" s="178"/>
      <c r="LFS556" s="178"/>
      <c r="LFT556" s="178"/>
      <c r="LFU556" s="178"/>
      <c r="LFV556" s="178"/>
      <c r="LFW556" s="178"/>
      <c r="LFX556" s="178"/>
      <c r="LFY556" s="178"/>
      <c r="LFZ556" s="178"/>
      <c r="LGA556" s="178"/>
      <c r="LGB556" s="178"/>
      <c r="LGC556" s="178"/>
      <c r="LGD556" s="178"/>
      <c r="LGE556" s="178"/>
      <c r="LGF556" s="178"/>
      <c r="LGG556" s="178"/>
      <c r="LGH556" s="178"/>
      <c r="LGI556" s="178"/>
      <c r="LGJ556" s="178"/>
      <c r="LGK556" s="178"/>
      <c r="LGL556" s="178"/>
      <c r="LGM556" s="178"/>
      <c r="LGN556" s="178"/>
      <c r="LGO556" s="178"/>
      <c r="LGP556" s="178"/>
      <c r="LGQ556" s="178"/>
      <c r="LGR556" s="178"/>
      <c r="LGS556" s="178"/>
      <c r="LGT556" s="178"/>
      <c r="LGU556" s="178"/>
      <c r="LGV556" s="178"/>
      <c r="LGW556" s="178"/>
      <c r="LGX556" s="178"/>
      <c r="LGY556" s="178"/>
      <c r="LGZ556" s="178"/>
      <c r="LHA556" s="178"/>
      <c r="LHB556" s="178"/>
      <c r="LHC556" s="178"/>
      <c r="LHD556" s="178"/>
      <c r="LHE556" s="178"/>
      <c r="LHF556" s="178"/>
      <c r="LHG556" s="178"/>
      <c r="LHH556" s="178"/>
      <c r="LHI556" s="178"/>
      <c r="LHJ556" s="178"/>
      <c r="LHK556" s="178"/>
      <c r="LHL556" s="178"/>
      <c r="LHM556" s="178"/>
      <c r="LHN556" s="178"/>
      <c r="LHO556" s="178"/>
      <c r="LHP556" s="178"/>
      <c r="LHQ556" s="178"/>
      <c r="LHR556" s="178"/>
      <c r="LHS556" s="178"/>
      <c r="LHT556" s="178"/>
      <c r="LHU556" s="178"/>
      <c r="LHV556" s="178"/>
      <c r="LHW556" s="178"/>
      <c r="LHX556" s="178"/>
      <c r="LHY556" s="178"/>
      <c r="LHZ556" s="178"/>
      <c r="LIA556" s="178"/>
      <c r="LIB556" s="178"/>
      <c r="LIC556" s="178"/>
      <c r="LID556" s="178"/>
      <c r="LIE556" s="178"/>
      <c r="LIF556" s="178"/>
      <c r="LIG556" s="178"/>
      <c r="LIH556" s="178"/>
      <c r="LII556" s="178"/>
      <c r="LIJ556" s="178"/>
      <c r="LIK556" s="178"/>
      <c r="LIL556" s="178"/>
      <c r="LIM556" s="178"/>
      <c r="LIN556" s="178"/>
      <c r="LIO556" s="178"/>
      <c r="LIP556" s="178"/>
      <c r="LIQ556" s="178"/>
      <c r="LIR556" s="178"/>
      <c r="LIS556" s="178"/>
      <c r="LIT556" s="178"/>
      <c r="LIU556" s="178"/>
      <c r="LIV556" s="178"/>
      <c r="LIW556" s="178"/>
      <c r="LIX556" s="178"/>
      <c r="LIY556" s="178"/>
      <c r="LIZ556" s="178"/>
      <c r="LJA556" s="178"/>
      <c r="LJB556" s="178"/>
      <c r="LJC556" s="178"/>
      <c r="LJD556" s="178"/>
      <c r="LJE556" s="178"/>
      <c r="LJF556" s="178"/>
      <c r="LJG556" s="178"/>
      <c r="LJH556" s="178"/>
      <c r="LJI556" s="178"/>
      <c r="LJJ556" s="178"/>
      <c r="LJK556" s="178"/>
      <c r="LJL556" s="178"/>
      <c r="LJM556" s="178"/>
      <c r="LJN556" s="178"/>
      <c r="LJO556" s="178"/>
      <c r="LJP556" s="178"/>
      <c r="LJQ556" s="178"/>
      <c r="LJR556" s="178"/>
      <c r="LJS556" s="178"/>
      <c r="LJT556" s="178"/>
      <c r="LJU556" s="178"/>
      <c r="LJV556" s="178"/>
      <c r="LJW556" s="178"/>
      <c r="LJX556" s="178"/>
      <c r="LJY556" s="178"/>
      <c r="LJZ556" s="178"/>
      <c r="LKA556" s="178"/>
      <c r="LKB556" s="178"/>
      <c r="LKC556" s="178"/>
      <c r="LKD556" s="178"/>
      <c r="LKE556" s="178"/>
      <c r="LKF556" s="178"/>
      <c r="LKG556" s="178"/>
      <c r="LKH556" s="178"/>
      <c r="LKI556" s="178"/>
      <c r="LKJ556" s="178"/>
      <c r="LKK556" s="178"/>
      <c r="LKL556" s="178"/>
      <c r="LKM556" s="178"/>
      <c r="LKN556" s="178"/>
      <c r="LKO556" s="178"/>
      <c r="LKP556" s="178"/>
      <c r="LKQ556" s="178"/>
      <c r="LKR556" s="178"/>
      <c r="LKS556" s="178"/>
      <c r="LKT556" s="178"/>
      <c r="LKU556" s="178"/>
      <c r="LKV556" s="178"/>
      <c r="LKW556" s="178"/>
      <c r="LKX556" s="178"/>
      <c r="LKY556" s="178"/>
      <c r="LKZ556" s="178"/>
      <c r="LLA556" s="178"/>
      <c r="LLB556" s="178"/>
      <c r="LLC556" s="178"/>
      <c r="LLD556" s="178"/>
      <c r="LLE556" s="178"/>
      <c r="LLF556" s="178"/>
      <c r="LLG556" s="178"/>
      <c r="LLH556" s="178"/>
      <c r="LLI556" s="178"/>
      <c r="LLJ556" s="178"/>
      <c r="LLK556" s="178"/>
      <c r="LLL556" s="178"/>
      <c r="LLM556" s="178"/>
      <c r="LLN556" s="178"/>
      <c r="LLO556" s="178"/>
      <c r="LLP556" s="178"/>
      <c r="LLQ556" s="178"/>
      <c r="LLR556" s="178"/>
      <c r="LLS556" s="178"/>
      <c r="LLT556" s="178"/>
      <c r="LLU556" s="178"/>
      <c r="LLV556" s="178"/>
      <c r="LLW556" s="178"/>
      <c r="LLX556" s="178"/>
      <c r="LLY556" s="178"/>
      <c r="LLZ556" s="178"/>
      <c r="LMA556" s="178"/>
      <c r="LMB556" s="178"/>
      <c r="LMC556" s="178"/>
      <c r="LMD556" s="178"/>
      <c r="LME556" s="178"/>
      <c r="LMF556" s="178"/>
      <c r="LMG556" s="178"/>
      <c r="LMH556" s="178"/>
      <c r="LMI556" s="178"/>
      <c r="LMJ556" s="178"/>
      <c r="LMK556" s="178"/>
      <c r="LML556" s="178"/>
      <c r="LMM556" s="178"/>
      <c r="LMN556" s="178"/>
      <c r="LMO556" s="178"/>
      <c r="LMP556" s="178"/>
      <c r="LMQ556" s="178"/>
      <c r="LMR556" s="178"/>
      <c r="LMS556" s="178"/>
      <c r="LMT556" s="178"/>
      <c r="LMU556" s="178"/>
      <c r="LMV556" s="178"/>
      <c r="LMW556" s="178"/>
      <c r="LMX556" s="178"/>
      <c r="LMY556" s="178"/>
      <c r="LMZ556" s="178"/>
      <c r="LNA556" s="178"/>
      <c r="LNB556" s="178"/>
      <c r="LNC556" s="178"/>
      <c r="LND556" s="178"/>
      <c r="LNE556" s="178"/>
      <c r="LNF556" s="178"/>
      <c r="LNG556" s="178"/>
      <c r="LNH556" s="178"/>
      <c r="LNI556" s="178"/>
      <c r="LNJ556" s="178"/>
      <c r="LNK556" s="178"/>
      <c r="LNL556" s="178"/>
      <c r="LNM556" s="178"/>
      <c r="LNN556" s="178"/>
      <c r="LNO556" s="178"/>
      <c r="LNP556" s="178"/>
      <c r="LNQ556" s="178"/>
      <c r="LNR556" s="178"/>
      <c r="LNS556" s="178"/>
      <c r="LNT556" s="178"/>
      <c r="LNU556" s="178"/>
      <c r="LNV556" s="178"/>
      <c r="LNW556" s="178"/>
      <c r="LNX556" s="178"/>
      <c r="LNY556" s="178"/>
      <c r="LNZ556" s="178"/>
      <c r="LOA556" s="178"/>
      <c r="LOB556" s="178"/>
      <c r="LOC556" s="178"/>
      <c r="LOD556" s="178"/>
      <c r="LOE556" s="178"/>
      <c r="LOF556" s="178"/>
      <c r="LOG556" s="178"/>
      <c r="LOH556" s="178"/>
      <c r="LOI556" s="178"/>
      <c r="LOJ556" s="178"/>
      <c r="LOK556" s="178"/>
      <c r="LOL556" s="178"/>
      <c r="LOM556" s="178"/>
      <c r="LON556" s="178"/>
      <c r="LOO556" s="178"/>
      <c r="LOP556" s="178"/>
      <c r="LOQ556" s="178"/>
      <c r="LOR556" s="178"/>
      <c r="LOS556" s="178"/>
      <c r="LOT556" s="178"/>
      <c r="LOU556" s="178"/>
      <c r="LOV556" s="178"/>
      <c r="LOW556" s="178"/>
      <c r="LOX556" s="178"/>
      <c r="LOY556" s="178"/>
      <c r="LOZ556" s="178"/>
      <c r="LPA556" s="178"/>
      <c r="LPB556" s="178"/>
      <c r="LPC556" s="178"/>
      <c r="LPD556" s="178"/>
      <c r="LPE556" s="178"/>
      <c r="LPF556" s="178"/>
      <c r="LPG556" s="178"/>
      <c r="LPH556" s="178"/>
      <c r="LPI556" s="178"/>
      <c r="LPJ556" s="178"/>
      <c r="LPK556" s="178"/>
      <c r="LPL556" s="178"/>
      <c r="LPM556" s="178"/>
      <c r="LPN556" s="178"/>
      <c r="LPO556" s="178"/>
      <c r="LPP556" s="178"/>
      <c r="LPQ556" s="178"/>
      <c r="LPR556" s="178"/>
      <c r="LPS556" s="178"/>
      <c r="LPT556" s="178"/>
      <c r="LPU556" s="178"/>
      <c r="LPV556" s="178"/>
      <c r="LPW556" s="178"/>
      <c r="LPX556" s="178"/>
      <c r="LPY556" s="178"/>
      <c r="LPZ556" s="178"/>
      <c r="LQA556" s="178"/>
      <c r="LQB556" s="178"/>
      <c r="LQC556" s="178"/>
      <c r="LQD556" s="178"/>
      <c r="LQE556" s="178"/>
      <c r="LQF556" s="178"/>
      <c r="LQG556" s="178"/>
      <c r="LQH556" s="178"/>
      <c r="LQI556" s="178"/>
      <c r="LQJ556" s="178"/>
      <c r="LQK556" s="178"/>
      <c r="LQL556" s="178"/>
      <c r="LQM556" s="178"/>
      <c r="LQN556" s="178"/>
      <c r="LQO556" s="178"/>
      <c r="LQP556" s="178"/>
      <c r="LQQ556" s="178"/>
      <c r="LQR556" s="178"/>
      <c r="LQS556" s="178"/>
      <c r="LQT556" s="178"/>
      <c r="LQU556" s="178"/>
      <c r="LQV556" s="178"/>
      <c r="LQW556" s="178"/>
      <c r="LQX556" s="178"/>
      <c r="LQY556" s="178"/>
      <c r="LQZ556" s="178"/>
      <c r="LRA556" s="178"/>
      <c r="LRB556" s="178"/>
      <c r="LRC556" s="178"/>
      <c r="LRD556" s="178"/>
      <c r="LRE556" s="178"/>
      <c r="LRF556" s="178"/>
      <c r="LRG556" s="178"/>
      <c r="LRH556" s="178"/>
      <c r="LRI556" s="178"/>
      <c r="LRJ556" s="178"/>
      <c r="LRK556" s="178"/>
      <c r="LRL556" s="178"/>
      <c r="LRM556" s="178"/>
      <c r="LRN556" s="178"/>
      <c r="LRO556" s="178"/>
      <c r="LRP556" s="178"/>
      <c r="LRQ556" s="178"/>
      <c r="LRR556" s="178"/>
      <c r="LRS556" s="178"/>
      <c r="LRT556" s="178"/>
      <c r="LRU556" s="178"/>
      <c r="LRV556" s="178"/>
      <c r="LRW556" s="178"/>
      <c r="LRX556" s="178"/>
      <c r="LRY556" s="178"/>
      <c r="LRZ556" s="178"/>
      <c r="LSA556" s="178"/>
      <c r="LSB556" s="178"/>
      <c r="LSC556" s="178"/>
      <c r="LSD556" s="178"/>
      <c r="LSE556" s="178"/>
      <c r="LSF556" s="178"/>
      <c r="LSG556" s="178"/>
      <c r="LSH556" s="178"/>
      <c r="LSI556" s="178"/>
      <c r="LSJ556" s="178"/>
      <c r="LSK556" s="178"/>
      <c r="LSL556" s="178"/>
      <c r="LSM556" s="178"/>
      <c r="LSN556" s="178"/>
      <c r="LSO556" s="178"/>
      <c r="LSP556" s="178"/>
      <c r="LSQ556" s="178"/>
      <c r="LSR556" s="178"/>
      <c r="LSS556" s="178"/>
      <c r="LST556" s="178"/>
      <c r="LSU556" s="178"/>
      <c r="LSV556" s="178"/>
      <c r="LSW556" s="178"/>
      <c r="LSX556" s="178"/>
      <c r="LSY556" s="178"/>
      <c r="LSZ556" s="178"/>
      <c r="LTA556" s="178"/>
      <c r="LTB556" s="178"/>
      <c r="LTC556" s="178"/>
      <c r="LTD556" s="178"/>
      <c r="LTE556" s="178"/>
      <c r="LTF556" s="178"/>
      <c r="LTG556" s="178"/>
      <c r="LTH556" s="178"/>
      <c r="LTI556" s="178"/>
      <c r="LTJ556" s="178"/>
      <c r="LTK556" s="178"/>
      <c r="LTL556" s="178"/>
      <c r="LTM556" s="178"/>
      <c r="LTN556" s="178"/>
      <c r="LTO556" s="178"/>
      <c r="LTP556" s="178"/>
      <c r="LTQ556" s="178"/>
      <c r="LTR556" s="178"/>
      <c r="LTS556" s="178"/>
      <c r="LTT556" s="178"/>
      <c r="LTU556" s="178"/>
      <c r="LTV556" s="178"/>
      <c r="LTW556" s="178"/>
      <c r="LTX556" s="178"/>
      <c r="LTY556" s="178"/>
      <c r="LTZ556" s="178"/>
      <c r="LUA556" s="178"/>
      <c r="LUB556" s="178"/>
      <c r="LUC556" s="178"/>
      <c r="LUD556" s="178"/>
      <c r="LUE556" s="178"/>
      <c r="LUF556" s="178"/>
      <c r="LUG556" s="178"/>
      <c r="LUH556" s="178"/>
      <c r="LUI556" s="178"/>
      <c r="LUJ556" s="178"/>
      <c r="LUK556" s="178"/>
      <c r="LUL556" s="178"/>
      <c r="LUM556" s="178"/>
      <c r="LUN556" s="178"/>
      <c r="LUO556" s="178"/>
      <c r="LUP556" s="178"/>
      <c r="LUQ556" s="178"/>
      <c r="LUR556" s="178"/>
      <c r="LUS556" s="178"/>
      <c r="LUT556" s="178"/>
      <c r="LUU556" s="178"/>
      <c r="LUV556" s="178"/>
      <c r="LUW556" s="178"/>
      <c r="LUX556" s="178"/>
      <c r="LUY556" s="178"/>
      <c r="LUZ556" s="178"/>
      <c r="LVA556" s="178"/>
      <c r="LVB556" s="178"/>
      <c r="LVC556" s="178"/>
      <c r="LVD556" s="178"/>
      <c r="LVE556" s="178"/>
      <c r="LVF556" s="178"/>
      <c r="LVG556" s="178"/>
      <c r="LVH556" s="178"/>
      <c r="LVI556" s="178"/>
      <c r="LVJ556" s="178"/>
      <c r="LVK556" s="178"/>
      <c r="LVL556" s="178"/>
      <c r="LVM556" s="178"/>
      <c r="LVN556" s="178"/>
      <c r="LVO556" s="178"/>
      <c r="LVP556" s="178"/>
      <c r="LVQ556" s="178"/>
      <c r="LVR556" s="178"/>
      <c r="LVS556" s="178"/>
      <c r="LVT556" s="178"/>
      <c r="LVU556" s="178"/>
      <c r="LVV556" s="178"/>
      <c r="LVW556" s="178"/>
      <c r="LVX556" s="178"/>
      <c r="LVY556" s="178"/>
      <c r="LVZ556" s="178"/>
      <c r="LWA556" s="178"/>
      <c r="LWB556" s="178"/>
      <c r="LWC556" s="178"/>
      <c r="LWD556" s="178"/>
      <c r="LWE556" s="178"/>
      <c r="LWF556" s="178"/>
      <c r="LWG556" s="178"/>
      <c r="LWH556" s="178"/>
      <c r="LWI556" s="178"/>
      <c r="LWJ556" s="178"/>
      <c r="LWK556" s="178"/>
      <c r="LWL556" s="178"/>
      <c r="LWM556" s="178"/>
      <c r="LWN556" s="178"/>
      <c r="LWO556" s="178"/>
      <c r="LWP556" s="178"/>
      <c r="LWQ556" s="178"/>
      <c r="LWR556" s="178"/>
      <c r="LWS556" s="178"/>
      <c r="LWT556" s="178"/>
      <c r="LWU556" s="178"/>
      <c r="LWV556" s="178"/>
      <c r="LWW556" s="178"/>
      <c r="LWX556" s="178"/>
      <c r="LWY556" s="178"/>
      <c r="LWZ556" s="178"/>
      <c r="LXA556" s="178"/>
      <c r="LXB556" s="178"/>
      <c r="LXC556" s="178"/>
      <c r="LXD556" s="178"/>
      <c r="LXE556" s="178"/>
      <c r="LXF556" s="178"/>
      <c r="LXG556" s="178"/>
      <c r="LXH556" s="178"/>
      <c r="LXI556" s="178"/>
      <c r="LXJ556" s="178"/>
      <c r="LXK556" s="178"/>
      <c r="LXL556" s="178"/>
      <c r="LXM556" s="178"/>
      <c r="LXN556" s="178"/>
      <c r="LXO556" s="178"/>
      <c r="LXP556" s="178"/>
      <c r="LXQ556" s="178"/>
      <c r="LXR556" s="178"/>
      <c r="LXS556" s="178"/>
      <c r="LXT556" s="178"/>
      <c r="LXU556" s="178"/>
      <c r="LXV556" s="178"/>
      <c r="LXW556" s="178"/>
      <c r="LXX556" s="178"/>
      <c r="LXY556" s="178"/>
      <c r="LXZ556" s="178"/>
      <c r="LYA556" s="178"/>
      <c r="LYB556" s="178"/>
      <c r="LYC556" s="178"/>
      <c r="LYD556" s="178"/>
      <c r="LYE556" s="178"/>
      <c r="LYF556" s="178"/>
      <c r="LYG556" s="178"/>
      <c r="LYH556" s="178"/>
      <c r="LYI556" s="178"/>
      <c r="LYJ556" s="178"/>
      <c r="LYK556" s="178"/>
      <c r="LYL556" s="178"/>
      <c r="LYM556" s="178"/>
      <c r="LYN556" s="178"/>
      <c r="LYO556" s="178"/>
      <c r="LYP556" s="178"/>
      <c r="LYQ556" s="178"/>
      <c r="LYR556" s="178"/>
      <c r="LYS556" s="178"/>
      <c r="LYT556" s="178"/>
      <c r="LYU556" s="178"/>
      <c r="LYV556" s="178"/>
      <c r="LYW556" s="178"/>
      <c r="LYX556" s="178"/>
      <c r="LYY556" s="178"/>
      <c r="LYZ556" s="178"/>
      <c r="LZA556" s="178"/>
      <c r="LZB556" s="178"/>
      <c r="LZC556" s="178"/>
      <c r="LZD556" s="178"/>
      <c r="LZE556" s="178"/>
      <c r="LZF556" s="178"/>
      <c r="LZG556" s="178"/>
      <c r="LZH556" s="178"/>
      <c r="LZI556" s="178"/>
      <c r="LZJ556" s="178"/>
      <c r="LZK556" s="178"/>
      <c r="LZL556" s="178"/>
      <c r="LZM556" s="178"/>
      <c r="LZN556" s="178"/>
      <c r="LZO556" s="178"/>
      <c r="LZP556" s="178"/>
      <c r="LZQ556" s="178"/>
      <c r="LZR556" s="178"/>
      <c r="LZS556" s="178"/>
      <c r="LZT556" s="178"/>
      <c r="LZU556" s="178"/>
      <c r="LZV556" s="178"/>
      <c r="LZW556" s="178"/>
      <c r="LZX556" s="178"/>
      <c r="LZY556" s="178"/>
      <c r="LZZ556" s="178"/>
      <c r="MAA556" s="178"/>
      <c r="MAB556" s="178"/>
      <c r="MAC556" s="178"/>
      <c r="MAD556" s="178"/>
      <c r="MAE556" s="178"/>
      <c r="MAF556" s="178"/>
      <c r="MAG556" s="178"/>
      <c r="MAH556" s="178"/>
      <c r="MAI556" s="178"/>
      <c r="MAJ556" s="178"/>
      <c r="MAK556" s="178"/>
      <c r="MAL556" s="178"/>
      <c r="MAM556" s="178"/>
      <c r="MAN556" s="178"/>
      <c r="MAO556" s="178"/>
      <c r="MAP556" s="178"/>
      <c r="MAQ556" s="178"/>
      <c r="MAR556" s="178"/>
      <c r="MAS556" s="178"/>
      <c r="MAT556" s="178"/>
      <c r="MAU556" s="178"/>
      <c r="MAV556" s="178"/>
      <c r="MAW556" s="178"/>
      <c r="MAX556" s="178"/>
      <c r="MAY556" s="178"/>
      <c r="MAZ556" s="178"/>
      <c r="MBA556" s="178"/>
      <c r="MBB556" s="178"/>
      <c r="MBC556" s="178"/>
      <c r="MBD556" s="178"/>
      <c r="MBE556" s="178"/>
      <c r="MBF556" s="178"/>
      <c r="MBG556" s="178"/>
      <c r="MBH556" s="178"/>
      <c r="MBI556" s="178"/>
      <c r="MBJ556" s="178"/>
      <c r="MBK556" s="178"/>
      <c r="MBL556" s="178"/>
      <c r="MBM556" s="178"/>
      <c r="MBN556" s="178"/>
      <c r="MBO556" s="178"/>
      <c r="MBP556" s="178"/>
      <c r="MBQ556" s="178"/>
      <c r="MBR556" s="178"/>
      <c r="MBS556" s="178"/>
      <c r="MBT556" s="178"/>
      <c r="MBU556" s="178"/>
      <c r="MBV556" s="178"/>
      <c r="MBW556" s="178"/>
      <c r="MBX556" s="178"/>
      <c r="MBY556" s="178"/>
      <c r="MBZ556" s="178"/>
      <c r="MCA556" s="178"/>
      <c r="MCB556" s="178"/>
      <c r="MCC556" s="178"/>
      <c r="MCD556" s="178"/>
      <c r="MCE556" s="178"/>
      <c r="MCF556" s="178"/>
      <c r="MCG556" s="178"/>
      <c r="MCH556" s="178"/>
      <c r="MCI556" s="178"/>
      <c r="MCJ556" s="178"/>
      <c r="MCK556" s="178"/>
      <c r="MCL556" s="178"/>
      <c r="MCM556" s="178"/>
      <c r="MCN556" s="178"/>
      <c r="MCO556" s="178"/>
      <c r="MCP556" s="178"/>
      <c r="MCQ556" s="178"/>
      <c r="MCR556" s="178"/>
      <c r="MCS556" s="178"/>
      <c r="MCT556" s="178"/>
      <c r="MCU556" s="178"/>
      <c r="MCV556" s="178"/>
      <c r="MCW556" s="178"/>
      <c r="MCX556" s="178"/>
      <c r="MCY556" s="178"/>
      <c r="MCZ556" s="178"/>
      <c r="MDA556" s="178"/>
      <c r="MDB556" s="178"/>
      <c r="MDC556" s="178"/>
      <c r="MDD556" s="178"/>
      <c r="MDE556" s="178"/>
      <c r="MDF556" s="178"/>
      <c r="MDG556" s="178"/>
      <c r="MDH556" s="178"/>
      <c r="MDI556" s="178"/>
      <c r="MDJ556" s="178"/>
      <c r="MDK556" s="178"/>
      <c r="MDL556" s="178"/>
      <c r="MDM556" s="178"/>
      <c r="MDN556" s="178"/>
      <c r="MDO556" s="178"/>
      <c r="MDP556" s="178"/>
      <c r="MDQ556" s="178"/>
      <c r="MDR556" s="178"/>
      <c r="MDS556" s="178"/>
      <c r="MDT556" s="178"/>
      <c r="MDU556" s="178"/>
      <c r="MDV556" s="178"/>
      <c r="MDW556" s="178"/>
      <c r="MDX556" s="178"/>
      <c r="MDY556" s="178"/>
      <c r="MDZ556" s="178"/>
      <c r="MEA556" s="178"/>
      <c r="MEB556" s="178"/>
      <c r="MEC556" s="178"/>
      <c r="MED556" s="178"/>
      <c r="MEE556" s="178"/>
      <c r="MEF556" s="178"/>
      <c r="MEG556" s="178"/>
      <c r="MEH556" s="178"/>
      <c r="MEI556" s="178"/>
      <c r="MEJ556" s="178"/>
      <c r="MEK556" s="178"/>
      <c r="MEL556" s="178"/>
      <c r="MEM556" s="178"/>
      <c r="MEN556" s="178"/>
      <c r="MEO556" s="178"/>
      <c r="MEP556" s="178"/>
      <c r="MEQ556" s="178"/>
      <c r="MER556" s="178"/>
      <c r="MES556" s="178"/>
      <c r="MET556" s="178"/>
      <c r="MEU556" s="178"/>
      <c r="MEV556" s="178"/>
      <c r="MEW556" s="178"/>
      <c r="MEX556" s="178"/>
      <c r="MEY556" s="178"/>
      <c r="MEZ556" s="178"/>
      <c r="MFA556" s="178"/>
      <c r="MFB556" s="178"/>
      <c r="MFC556" s="178"/>
      <c r="MFD556" s="178"/>
      <c r="MFE556" s="178"/>
      <c r="MFF556" s="178"/>
      <c r="MFG556" s="178"/>
      <c r="MFH556" s="178"/>
      <c r="MFI556" s="178"/>
      <c r="MFJ556" s="178"/>
      <c r="MFK556" s="178"/>
      <c r="MFL556" s="178"/>
      <c r="MFM556" s="178"/>
      <c r="MFN556" s="178"/>
      <c r="MFO556" s="178"/>
      <c r="MFP556" s="178"/>
      <c r="MFQ556" s="178"/>
      <c r="MFR556" s="178"/>
      <c r="MFS556" s="178"/>
      <c r="MFT556" s="178"/>
      <c r="MFU556" s="178"/>
      <c r="MFV556" s="178"/>
      <c r="MFW556" s="178"/>
      <c r="MFX556" s="178"/>
      <c r="MFY556" s="178"/>
      <c r="MFZ556" s="178"/>
      <c r="MGA556" s="178"/>
      <c r="MGB556" s="178"/>
      <c r="MGC556" s="178"/>
      <c r="MGD556" s="178"/>
      <c r="MGE556" s="178"/>
      <c r="MGF556" s="178"/>
      <c r="MGG556" s="178"/>
      <c r="MGH556" s="178"/>
      <c r="MGI556" s="178"/>
      <c r="MGJ556" s="178"/>
      <c r="MGK556" s="178"/>
      <c r="MGL556" s="178"/>
      <c r="MGM556" s="178"/>
      <c r="MGN556" s="178"/>
      <c r="MGO556" s="178"/>
      <c r="MGP556" s="178"/>
      <c r="MGQ556" s="178"/>
      <c r="MGR556" s="178"/>
      <c r="MGS556" s="178"/>
      <c r="MGT556" s="178"/>
      <c r="MGU556" s="178"/>
      <c r="MGV556" s="178"/>
      <c r="MGW556" s="178"/>
      <c r="MGX556" s="178"/>
      <c r="MGY556" s="178"/>
      <c r="MGZ556" s="178"/>
      <c r="MHA556" s="178"/>
      <c r="MHB556" s="178"/>
      <c r="MHC556" s="178"/>
      <c r="MHD556" s="178"/>
      <c r="MHE556" s="178"/>
      <c r="MHF556" s="178"/>
      <c r="MHG556" s="178"/>
      <c r="MHH556" s="178"/>
      <c r="MHI556" s="178"/>
      <c r="MHJ556" s="178"/>
      <c r="MHK556" s="178"/>
      <c r="MHL556" s="178"/>
      <c r="MHM556" s="178"/>
      <c r="MHN556" s="178"/>
      <c r="MHO556" s="178"/>
      <c r="MHP556" s="178"/>
      <c r="MHQ556" s="178"/>
      <c r="MHR556" s="178"/>
      <c r="MHS556" s="178"/>
      <c r="MHT556" s="178"/>
      <c r="MHU556" s="178"/>
      <c r="MHV556" s="178"/>
      <c r="MHW556" s="178"/>
      <c r="MHX556" s="178"/>
      <c r="MHY556" s="178"/>
      <c r="MHZ556" s="178"/>
      <c r="MIA556" s="178"/>
      <c r="MIB556" s="178"/>
      <c r="MIC556" s="178"/>
      <c r="MID556" s="178"/>
      <c r="MIE556" s="178"/>
      <c r="MIF556" s="178"/>
      <c r="MIG556" s="178"/>
      <c r="MIH556" s="178"/>
      <c r="MII556" s="178"/>
      <c r="MIJ556" s="178"/>
      <c r="MIK556" s="178"/>
      <c r="MIL556" s="178"/>
      <c r="MIM556" s="178"/>
      <c r="MIN556" s="178"/>
      <c r="MIO556" s="178"/>
      <c r="MIP556" s="178"/>
      <c r="MIQ556" s="178"/>
      <c r="MIR556" s="178"/>
      <c r="MIS556" s="178"/>
      <c r="MIT556" s="178"/>
      <c r="MIU556" s="178"/>
      <c r="MIV556" s="178"/>
      <c r="MIW556" s="178"/>
      <c r="MIX556" s="178"/>
      <c r="MIY556" s="178"/>
      <c r="MIZ556" s="178"/>
      <c r="MJA556" s="178"/>
      <c r="MJB556" s="178"/>
      <c r="MJC556" s="178"/>
      <c r="MJD556" s="178"/>
      <c r="MJE556" s="178"/>
      <c r="MJF556" s="178"/>
      <c r="MJG556" s="178"/>
      <c r="MJH556" s="178"/>
      <c r="MJI556" s="178"/>
      <c r="MJJ556" s="178"/>
      <c r="MJK556" s="178"/>
      <c r="MJL556" s="178"/>
      <c r="MJM556" s="178"/>
      <c r="MJN556" s="178"/>
      <c r="MJO556" s="178"/>
      <c r="MJP556" s="178"/>
      <c r="MJQ556" s="178"/>
      <c r="MJR556" s="178"/>
      <c r="MJS556" s="178"/>
      <c r="MJT556" s="178"/>
      <c r="MJU556" s="178"/>
      <c r="MJV556" s="178"/>
      <c r="MJW556" s="178"/>
      <c r="MJX556" s="178"/>
      <c r="MJY556" s="178"/>
      <c r="MJZ556" s="178"/>
      <c r="MKA556" s="178"/>
      <c r="MKB556" s="178"/>
      <c r="MKC556" s="178"/>
      <c r="MKD556" s="178"/>
      <c r="MKE556" s="178"/>
      <c r="MKF556" s="178"/>
      <c r="MKG556" s="178"/>
      <c r="MKH556" s="178"/>
      <c r="MKI556" s="178"/>
      <c r="MKJ556" s="178"/>
      <c r="MKK556" s="178"/>
      <c r="MKL556" s="178"/>
      <c r="MKM556" s="178"/>
      <c r="MKN556" s="178"/>
      <c r="MKO556" s="178"/>
      <c r="MKP556" s="178"/>
      <c r="MKQ556" s="178"/>
      <c r="MKR556" s="178"/>
      <c r="MKS556" s="178"/>
      <c r="MKT556" s="178"/>
      <c r="MKU556" s="178"/>
      <c r="MKV556" s="178"/>
      <c r="MKW556" s="178"/>
      <c r="MKX556" s="178"/>
      <c r="MKY556" s="178"/>
      <c r="MKZ556" s="178"/>
      <c r="MLA556" s="178"/>
      <c r="MLB556" s="178"/>
      <c r="MLC556" s="178"/>
      <c r="MLD556" s="178"/>
      <c r="MLE556" s="178"/>
      <c r="MLF556" s="178"/>
      <c r="MLG556" s="178"/>
      <c r="MLH556" s="178"/>
      <c r="MLI556" s="178"/>
      <c r="MLJ556" s="178"/>
      <c r="MLK556" s="178"/>
      <c r="MLL556" s="178"/>
      <c r="MLM556" s="178"/>
      <c r="MLN556" s="178"/>
      <c r="MLO556" s="178"/>
      <c r="MLP556" s="178"/>
      <c r="MLQ556" s="178"/>
      <c r="MLR556" s="178"/>
      <c r="MLS556" s="178"/>
      <c r="MLT556" s="178"/>
      <c r="MLU556" s="178"/>
      <c r="MLV556" s="178"/>
      <c r="MLW556" s="178"/>
      <c r="MLX556" s="178"/>
      <c r="MLY556" s="178"/>
      <c r="MLZ556" s="178"/>
      <c r="MMA556" s="178"/>
      <c r="MMB556" s="178"/>
      <c r="MMC556" s="178"/>
      <c r="MMD556" s="178"/>
      <c r="MME556" s="178"/>
      <c r="MMF556" s="178"/>
      <c r="MMG556" s="178"/>
      <c r="MMH556" s="178"/>
      <c r="MMI556" s="178"/>
      <c r="MMJ556" s="178"/>
      <c r="MMK556" s="178"/>
      <c r="MML556" s="178"/>
      <c r="MMM556" s="178"/>
      <c r="MMN556" s="178"/>
      <c r="MMO556" s="178"/>
      <c r="MMP556" s="178"/>
      <c r="MMQ556" s="178"/>
      <c r="MMR556" s="178"/>
      <c r="MMS556" s="178"/>
      <c r="MMT556" s="178"/>
      <c r="MMU556" s="178"/>
      <c r="MMV556" s="178"/>
      <c r="MMW556" s="178"/>
      <c r="MMX556" s="178"/>
      <c r="MMY556" s="178"/>
      <c r="MMZ556" s="178"/>
      <c r="MNA556" s="178"/>
      <c r="MNB556" s="178"/>
      <c r="MNC556" s="178"/>
      <c r="MND556" s="178"/>
      <c r="MNE556" s="178"/>
      <c r="MNF556" s="178"/>
      <c r="MNG556" s="178"/>
      <c r="MNH556" s="178"/>
      <c r="MNI556" s="178"/>
      <c r="MNJ556" s="178"/>
      <c r="MNK556" s="178"/>
      <c r="MNL556" s="178"/>
      <c r="MNM556" s="178"/>
      <c r="MNN556" s="178"/>
      <c r="MNO556" s="178"/>
      <c r="MNP556" s="178"/>
      <c r="MNQ556" s="178"/>
      <c r="MNR556" s="178"/>
      <c r="MNS556" s="178"/>
      <c r="MNT556" s="178"/>
      <c r="MNU556" s="178"/>
      <c r="MNV556" s="178"/>
      <c r="MNW556" s="178"/>
      <c r="MNX556" s="178"/>
      <c r="MNY556" s="178"/>
      <c r="MNZ556" s="178"/>
      <c r="MOA556" s="178"/>
      <c r="MOB556" s="178"/>
      <c r="MOC556" s="178"/>
      <c r="MOD556" s="178"/>
      <c r="MOE556" s="178"/>
      <c r="MOF556" s="178"/>
      <c r="MOG556" s="178"/>
      <c r="MOH556" s="178"/>
      <c r="MOI556" s="178"/>
      <c r="MOJ556" s="178"/>
      <c r="MOK556" s="178"/>
      <c r="MOL556" s="178"/>
      <c r="MOM556" s="178"/>
      <c r="MON556" s="178"/>
      <c r="MOO556" s="178"/>
      <c r="MOP556" s="178"/>
      <c r="MOQ556" s="178"/>
      <c r="MOR556" s="178"/>
      <c r="MOS556" s="178"/>
      <c r="MOT556" s="178"/>
      <c r="MOU556" s="178"/>
      <c r="MOV556" s="178"/>
      <c r="MOW556" s="178"/>
      <c r="MOX556" s="178"/>
      <c r="MOY556" s="178"/>
      <c r="MOZ556" s="178"/>
      <c r="MPA556" s="178"/>
      <c r="MPB556" s="178"/>
      <c r="MPC556" s="178"/>
      <c r="MPD556" s="178"/>
      <c r="MPE556" s="178"/>
      <c r="MPF556" s="178"/>
      <c r="MPG556" s="178"/>
      <c r="MPH556" s="178"/>
      <c r="MPI556" s="178"/>
      <c r="MPJ556" s="178"/>
      <c r="MPK556" s="178"/>
      <c r="MPL556" s="178"/>
      <c r="MPM556" s="178"/>
      <c r="MPN556" s="178"/>
      <c r="MPO556" s="178"/>
      <c r="MPP556" s="178"/>
      <c r="MPQ556" s="178"/>
      <c r="MPR556" s="178"/>
      <c r="MPS556" s="178"/>
      <c r="MPT556" s="178"/>
      <c r="MPU556" s="178"/>
      <c r="MPV556" s="178"/>
      <c r="MPW556" s="178"/>
      <c r="MPX556" s="178"/>
      <c r="MPY556" s="178"/>
      <c r="MPZ556" s="178"/>
      <c r="MQA556" s="178"/>
      <c r="MQB556" s="178"/>
      <c r="MQC556" s="178"/>
      <c r="MQD556" s="178"/>
      <c r="MQE556" s="178"/>
      <c r="MQF556" s="178"/>
      <c r="MQG556" s="178"/>
      <c r="MQH556" s="178"/>
      <c r="MQI556" s="178"/>
      <c r="MQJ556" s="178"/>
      <c r="MQK556" s="178"/>
      <c r="MQL556" s="178"/>
      <c r="MQM556" s="178"/>
      <c r="MQN556" s="178"/>
      <c r="MQO556" s="178"/>
      <c r="MQP556" s="178"/>
      <c r="MQQ556" s="178"/>
      <c r="MQR556" s="178"/>
      <c r="MQS556" s="178"/>
      <c r="MQT556" s="178"/>
      <c r="MQU556" s="178"/>
      <c r="MQV556" s="178"/>
      <c r="MQW556" s="178"/>
      <c r="MQX556" s="178"/>
      <c r="MQY556" s="178"/>
      <c r="MQZ556" s="178"/>
      <c r="MRA556" s="178"/>
      <c r="MRB556" s="178"/>
      <c r="MRC556" s="178"/>
      <c r="MRD556" s="178"/>
      <c r="MRE556" s="178"/>
      <c r="MRF556" s="178"/>
      <c r="MRG556" s="178"/>
      <c r="MRH556" s="178"/>
      <c r="MRI556" s="178"/>
      <c r="MRJ556" s="178"/>
      <c r="MRK556" s="178"/>
      <c r="MRL556" s="178"/>
      <c r="MRM556" s="178"/>
      <c r="MRN556" s="178"/>
      <c r="MRO556" s="178"/>
      <c r="MRP556" s="178"/>
      <c r="MRQ556" s="178"/>
      <c r="MRR556" s="178"/>
      <c r="MRS556" s="178"/>
      <c r="MRT556" s="178"/>
      <c r="MRU556" s="178"/>
      <c r="MRV556" s="178"/>
      <c r="MRW556" s="178"/>
      <c r="MRX556" s="178"/>
      <c r="MRY556" s="178"/>
      <c r="MRZ556" s="178"/>
      <c r="MSA556" s="178"/>
      <c r="MSB556" s="178"/>
      <c r="MSC556" s="178"/>
      <c r="MSD556" s="178"/>
      <c r="MSE556" s="178"/>
      <c r="MSF556" s="178"/>
      <c r="MSG556" s="178"/>
      <c r="MSH556" s="178"/>
      <c r="MSI556" s="178"/>
      <c r="MSJ556" s="178"/>
      <c r="MSK556" s="178"/>
      <c r="MSL556" s="178"/>
      <c r="MSM556" s="178"/>
      <c r="MSN556" s="178"/>
      <c r="MSO556" s="178"/>
      <c r="MSP556" s="178"/>
      <c r="MSQ556" s="178"/>
      <c r="MSR556" s="178"/>
      <c r="MSS556" s="178"/>
      <c r="MST556" s="178"/>
      <c r="MSU556" s="178"/>
      <c r="MSV556" s="178"/>
      <c r="MSW556" s="178"/>
      <c r="MSX556" s="178"/>
      <c r="MSY556" s="178"/>
      <c r="MSZ556" s="178"/>
      <c r="MTA556" s="178"/>
      <c r="MTB556" s="178"/>
      <c r="MTC556" s="178"/>
      <c r="MTD556" s="178"/>
      <c r="MTE556" s="178"/>
      <c r="MTF556" s="178"/>
      <c r="MTG556" s="178"/>
      <c r="MTH556" s="178"/>
      <c r="MTI556" s="178"/>
      <c r="MTJ556" s="178"/>
      <c r="MTK556" s="178"/>
      <c r="MTL556" s="178"/>
      <c r="MTM556" s="178"/>
      <c r="MTN556" s="178"/>
      <c r="MTO556" s="178"/>
      <c r="MTP556" s="178"/>
      <c r="MTQ556" s="178"/>
      <c r="MTR556" s="178"/>
      <c r="MTS556" s="178"/>
      <c r="MTT556" s="178"/>
      <c r="MTU556" s="178"/>
      <c r="MTV556" s="178"/>
      <c r="MTW556" s="178"/>
      <c r="MTX556" s="178"/>
      <c r="MTY556" s="178"/>
      <c r="MTZ556" s="178"/>
      <c r="MUA556" s="178"/>
      <c r="MUB556" s="178"/>
      <c r="MUC556" s="178"/>
      <c r="MUD556" s="178"/>
      <c r="MUE556" s="178"/>
      <c r="MUF556" s="178"/>
      <c r="MUG556" s="178"/>
      <c r="MUH556" s="178"/>
      <c r="MUI556" s="178"/>
      <c r="MUJ556" s="178"/>
      <c r="MUK556" s="178"/>
      <c r="MUL556" s="178"/>
      <c r="MUM556" s="178"/>
      <c r="MUN556" s="178"/>
      <c r="MUO556" s="178"/>
      <c r="MUP556" s="178"/>
      <c r="MUQ556" s="178"/>
      <c r="MUR556" s="178"/>
      <c r="MUS556" s="178"/>
      <c r="MUT556" s="178"/>
      <c r="MUU556" s="178"/>
      <c r="MUV556" s="178"/>
      <c r="MUW556" s="178"/>
      <c r="MUX556" s="178"/>
      <c r="MUY556" s="178"/>
      <c r="MUZ556" s="178"/>
      <c r="MVA556" s="178"/>
      <c r="MVB556" s="178"/>
      <c r="MVC556" s="178"/>
      <c r="MVD556" s="178"/>
      <c r="MVE556" s="178"/>
      <c r="MVF556" s="178"/>
      <c r="MVG556" s="178"/>
      <c r="MVH556" s="178"/>
      <c r="MVI556" s="178"/>
      <c r="MVJ556" s="178"/>
      <c r="MVK556" s="178"/>
      <c r="MVL556" s="178"/>
      <c r="MVM556" s="178"/>
      <c r="MVN556" s="178"/>
      <c r="MVO556" s="178"/>
      <c r="MVP556" s="178"/>
      <c r="MVQ556" s="178"/>
      <c r="MVR556" s="178"/>
      <c r="MVS556" s="178"/>
      <c r="MVT556" s="178"/>
      <c r="MVU556" s="178"/>
      <c r="MVV556" s="178"/>
      <c r="MVW556" s="178"/>
      <c r="MVX556" s="178"/>
      <c r="MVY556" s="178"/>
      <c r="MVZ556" s="178"/>
      <c r="MWA556" s="178"/>
      <c r="MWB556" s="178"/>
      <c r="MWC556" s="178"/>
      <c r="MWD556" s="178"/>
      <c r="MWE556" s="178"/>
      <c r="MWF556" s="178"/>
      <c r="MWG556" s="178"/>
      <c r="MWH556" s="178"/>
      <c r="MWI556" s="178"/>
      <c r="MWJ556" s="178"/>
      <c r="MWK556" s="178"/>
      <c r="MWL556" s="178"/>
      <c r="MWM556" s="178"/>
      <c r="MWN556" s="178"/>
      <c r="MWO556" s="178"/>
      <c r="MWP556" s="178"/>
      <c r="MWQ556" s="178"/>
      <c r="MWR556" s="178"/>
      <c r="MWS556" s="178"/>
      <c r="MWT556" s="178"/>
      <c r="MWU556" s="178"/>
      <c r="MWV556" s="178"/>
      <c r="MWW556" s="178"/>
      <c r="MWX556" s="178"/>
      <c r="MWY556" s="178"/>
      <c r="MWZ556" s="178"/>
      <c r="MXA556" s="178"/>
      <c r="MXB556" s="178"/>
      <c r="MXC556" s="178"/>
      <c r="MXD556" s="178"/>
      <c r="MXE556" s="178"/>
      <c r="MXF556" s="178"/>
      <c r="MXG556" s="178"/>
      <c r="MXH556" s="178"/>
      <c r="MXI556" s="178"/>
      <c r="MXJ556" s="178"/>
      <c r="MXK556" s="178"/>
      <c r="MXL556" s="178"/>
      <c r="MXM556" s="178"/>
      <c r="MXN556" s="178"/>
      <c r="MXO556" s="178"/>
      <c r="MXP556" s="178"/>
      <c r="MXQ556" s="178"/>
      <c r="MXR556" s="178"/>
      <c r="MXS556" s="178"/>
      <c r="MXT556" s="178"/>
      <c r="MXU556" s="178"/>
      <c r="MXV556" s="178"/>
      <c r="MXW556" s="178"/>
      <c r="MXX556" s="178"/>
      <c r="MXY556" s="178"/>
      <c r="MXZ556" s="178"/>
      <c r="MYA556" s="178"/>
      <c r="MYB556" s="178"/>
      <c r="MYC556" s="178"/>
      <c r="MYD556" s="178"/>
      <c r="MYE556" s="178"/>
      <c r="MYF556" s="178"/>
      <c r="MYG556" s="178"/>
      <c r="MYH556" s="178"/>
      <c r="MYI556" s="178"/>
      <c r="MYJ556" s="178"/>
      <c r="MYK556" s="178"/>
      <c r="MYL556" s="178"/>
      <c r="MYM556" s="178"/>
      <c r="MYN556" s="178"/>
      <c r="MYO556" s="178"/>
      <c r="MYP556" s="178"/>
      <c r="MYQ556" s="178"/>
      <c r="MYR556" s="178"/>
      <c r="MYS556" s="178"/>
      <c r="MYT556" s="178"/>
      <c r="MYU556" s="178"/>
      <c r="MYV556" s="178"/>
      <c r="MYW556" s="178"/>
      <c r="MYX556" s="178"/>
      <c r="MYY556" s="178"/>
      <c r="MYZ556" s="178"/>
      <c r="MZA556" s="178"/>
      <c r="MZB556" s="178"/>
      <c r="MZC556" s="178"/>
      <c r="MZD556" s="178"/>
      <c r="MZE556" s="178"/>
      <c r="MZF556" s="178"/>
      <c r="MZG556" s="178"/>
      <c r="MZH556" s="178"/>
      <c r="MZI556" s="178"/>
      <c r="MZJ556" s="178"/>
      <c r="MZK556" s="178"/>
      <c r="MZL556" s="178"/>
      <c r="MZM556" s="178"/>
      <c r="MZN556" s="178"/>
      <c r="MZO556" s="178"/>
      <c r="MZP556" s="178"/>
      <c r="MZQ556" s="178"/>
      <c r="MZR556" s="178"/>
      <c r="MZS556" s="178"/>
      <c r="MZT556" s="178"/>
      <c r="MZU556" s="178"/>
      <c r="MZV556" s="178"/>
      <c r="MZW556" s="178"/>
      <c r="MZX556" s="178"/>
      <c r="MZY556" s="178"/>
      <c r="MZZ556" s="178"/>
      <c r="NAA556" s="178"/>
      <c r="NAB556" s="178"/>
      <c r="NAC556" s="178"/>
      <c r="NAD556" s="178"/>
      <c r="NAE556" s="178"/>
      <c r="NAF556" s="178"/>
      <c r="NAG556" s="178"/>
      <c r="NAH556" s="178"/>
      <c r="NAI556" s="178"/>
      <c r="NAJ556" s="178"/>
      <c r="NAK556" s="178"/>
      <c r="NAL556" s="178"/>
      <c r="NAM556" s="178"/>
      <c r="NAN556" s="178"/>
      <c r="NAO556" s="178"/>
      <c r="NAP556" s="178"/>
      <c r="NAQ556" s="178"/>
      <c r="NAR556" s="178"/>
      <c r="NAS556" s="178"/>
      <c r="NAT556" s="178"/>
      <c r="NAU556" s="178"/>
      <c r="NAV556" s="178"/>
      <c r="NAW556" s="178"/>
      <c r="NAX556" s="178"/>
      <c r="NAY556" s="178"/>
      <c r="NAZ556" s="178"/>
      <c r="NBA556" s="178"/>
      <c r="NBB556" s="178"/>
      <c r="NBC556" s="178"/>
      <c r="NBD556" s="178"/>
      <c r="NBE556" s="178"/>
      <c r="NBF556" s="178"/>
      <c r="NBG556" s="178"/>
      <c r="NBH556" s="178"/>
      <c r="NBI556" s="178"/>
      <c r="NBJ556" s="178"/>
      <c r="NBK556" s="178"/>
      <c r="NBL556" s="178"/>
      <c r="NBM556" s="178"/>
      <c r="NBN556" s="178"/>
      <c r="NBO556" s="178"/>
      <c r="NBP556" s="178"/>
      <c r="NBQ556" s="178"/>
      <c r="NBR556" s="178"/>
      <c r="NBS556" s="178"/>
      <c r="NBT556" s="178"/>
      <c r="NBU556" s="178"/>
      <c r="NBV556" s="178"/>
      <c r="NBW556" s="178"/>
      <c r="NBX556" s="178"/>
      <c r="NBY556" s="178"/>
      <c r="NBZ556" s="178"/>
      <c r="NCA556" s="178"/>
      <c r="NCB556" s="178"/>
      <c r="NCC556" s="178"/>
      <c r="NCD556" s="178"/>
      <c r="NCE556" s="178"/>
      <c r="NCF556" s="178"/>
      <c r="NCG556" s="178"/>
      <c r="NCH556" s="178"/>
      <c r="NCI556" s="178"/>
      <c r="NCJ556" s="178"/>
      <c r="NCK556" s="178"/>
      <c r="NCL556" s="178"/>
      <c r="NCM556" s="178"/>
      <c r="NCN556" s="178"/>
      <c r="NCO556" s="178"/>
      <c r="NCP556" s="178"/>
      <c r="NCQ556" s="178"/>
      <c r="NCR556" s="178"/>
      <c r="NCS556" s="178"/>
      <c r="NCT556" s="178"/>
      <c r="NCU556" s="178"/>
      <c r="NCV556" s="178"/>
      <c r="NCW556" s="178"/>
      <c r="NCX556" s="178"/>
      <c r="NCY556" s="178"/>
      <c r="NCZ556" s="178"/>
      <c r="NDA556" s="178"/>
      <c r="NDB556" s="178"/>
      <c r="NDC556" s="178"/>
      <c r="NDD556" s="178"/>
      <c r="NDE556" s="178"/>
      <c r="NDF556" s="178"/>
      <c r="NDG556" s="178"/>
      <c r="NDH556" s="178"/>
      <c r="NDI556" s="178"/>
      <c r="NDJ556" s="178"/>
      <c r="NDK556" s="178"/>
      <c r="NDL556" s="178"/>
      <c r="NDM556" s="178"/>
      <c r="NDN556" s="178"/>
      <c r="NDO556" s="178"/>
      <c r="NDP556" s="178"/>
      <c r="NDQ556" s="178"/>
      <c r="NDR556" s="178"/>
      <c r="NDS556" s="178"/>
      <c r="NDT556" s="178"/>
      <c r="NDU556" s="178"/>
      <c r="NDV556" s="178"/>
      <c r="NDW556" s="178"/>
      <c r="NDX556" s="178"/>
      <c r="NDY556" s="178"/>
      <c r="NDZ556" s="178"/>
      <c r="NEA556" s="178"/>
      <c r="NEB556" s="178"/>
      <c r="NEC556" s="178"/>
      <c r="NED556" s="178"/>
      <c r="NEE556" s="178"/>
      <c r="NEF556" s="178"/>
      <c r="NEG556" s="178"/>
      <c r="NEH556" s="178"/>
      <c r="NEI556" s="178"/>
      <c r="NEJ556" s="178"/>
      <c r="NEK556" s="178"/>
      <c r="NEL556" s="178"/>
      <c r="NEM556" s="178"/>
      <c r="NEN556" s="178"/>
      <c r="NEO556" s="178"/>
      <c r="NEP556" s="178"/>
      <c r="NEQ556" s="178"/>
      <c r="NER556" s="178"/>
      <c r="NES556" s="178"/>
      <c r="NET556" s="178"/>
      <c r="NEU556" s="178"/>
      <c r="NEV556" s="178"/>
      <c r="NEW556" s="178"/>
      <c r="NEX556" s="178"/>
      <c r="NEY556" s="178"/>
      <c r="NEZ556" s="178"/>
      <c r="NFA556" s="178"/>
      <c r="NFB556" s="178"/>
      <c r="NFC556" s="178"/>
      <c r="NFD556" s="178"/>
      <c r="NFE556" s="178"/>
      <c r="NFF556" s="178"/>
      <c r="NFG556" s="178"/>
      <c r="NFH556" s="178"/>
      <c r="NFI556" s="178"/>
      <c r="NFJ556" s="178"/>
      <c r="NFK556" s="178"/>
      <c r="NFL556" s="178"/>
      <c r="NFM556" s="178"/>
      <c r="NFN556" s="178"/>
      <c r="NFO556" s="178"/>
      <c r="NFP556" s="178"/>
      <c r="NFQ556" s="178"/>
      <c r="NFR556" s="178"/>
      <c r="NFS556" s="178"/>
      <c r="NFT556" s="178"/>
      <c r="NFU556" s="178"/>
      <c r="NFV556" s="178"/>
      <c r="NFW556" s="178"/>
      <c r="NFX556" s="178"/>
      <c r="NFY556" s="178"/>
      <c r="NFZ556" s="178"/>
      <c r="NGA556" s="178"/>
      <c r="NGB556" s="178"/>
      <c r="NGC556" s="178"/>
      <c r="NGD556" s="178"/>
      <c r="NGE556" s="178"/>
      <c r="NGF556" s="178"/>
      <c r="NGG556" s="178"/>
      <c r="NGH556" s="178"/>
      <c r="NGI556" s="178"/>
      <c r="NGJ556" s="178"/>
      <c r="NGK556" s="178"/>
      <c r="NGL556" s="178"/>
      <c r="NGM556" s="178"/>
      <c r="NGN556" s="178"/>
      <c r="NGO556" s="178"/>
      <c r="NGP556" s="178"/>
      <c r="NGQ556" s="178"/>
      <c r="NGR556" s="178"/>
      <c r="NGS556" s="178"/>
      <c r="NGT556" s="178"/>
      <c r="NGU556" s="178"/>
      <c r="NGV556" s="178"/>
      <c r="NGW556" s="178"/>
      <c r="NGX556" s="178"/>
      <c r="NGY556" s="178"/>
      <c r="NGZ556" s="178"/>
      <c r="NHA556" s="178"/>
      <c r="NHB556" s="178"/>
      <c r="NHC556" s="178"/>
      <c r="NHD556" s="178"/>
      <c r="NHE556" s="178"/>
      <c r="NHF556" s="178"/>
      <c r="NHG556" s="178"/>
      <c r="NHH556" s="178"/>
      <c r="NHI556" s="178"/>
      <c r="NHJ556" s="178"/>
      <c r="NHK556" s="178"/>
      <c r="NHL556" s="178"/>
      <c r="NHM556" s="178"/>
      <c r="NHN556" s="178"/>
      <c r="NHO556" s="178"/>
      <c r="NHP556" s="178"/>
      <c r="NHQ556" s="178"/>
      <c r="NHR556" s="178"/>
      <c r="NHS556" s="178"/>
      <c r="NHT556" s="178"/>
      <c r="NHU556" s="178"/>
      <c r="NHV556" s="178"/>
      <c r="NHW556" s="178"/>
      <c r="NHX556" s="178"/>
      <c r="NHY556" s="178"/>
      <c r="NHZ556" s="178"/>
      <c r="NIA556" s="178"/>
      <c r="NIB556" s="178"/>
      <c r="NIC556" s="178"/>
      <c r="NID556" s="178"/>
      <c r="NIE556" s="178"/>
      <c r="NIF556" s="178"/>
      <c r="NIG556" s="178"/>
      <c r="NIH556" s="178"/>
      <c r="NII556" s="178"/>
      <c r="NIJ556" s="178"/>
      <c r="NIK556" s="178"/>
      <c r="NIL556" s="178"/>
      <c r="NIM556" s="178"/>
      <c r="NIN556" s="178"/>
      <c r="NIO556" s="178"/>
      <c r="NIP556" s="178"/>
      <c r="NIQ556" s="178"/>
      <c r="NIR556" s="178"/>
      <c r="NIS556" s="178"/>
      <c r="NIT556" s="178"/>
      <c r="NIU556" s="178"/>
      <c r="NIV556" s="178"/>
      <c r="NIW556" s="178"/>
      <c r="NIX556" s="178"/>
      <c r="NIY556" s="178"/>
      <c r="NIZ556" s="178"/>
      <c r="NJA556" s="178"/>
      <c r="NJB556" s="178"/>
      <c r="NJC556" s="178"/>
      <c r="NJD556" s="178"/>
      <c r="NJE556" s="178"/>
      <c r="NJF556" s="178"/>
      <c r="NJG556" s="178"/>
      <c r="NJH556" s="178"/>
      <c r="NJI556" s="178"/>
      <c r="NJJ556" s="178"/>
      <c r="NJK556" s="178"/>
      <c r="NJL556" s="178"/>
      <c r="NJM556" s="178"/>
      <c r="NJN556" s="178"/>
      <c r="NJO556" s="178"/>
      <c r="NJP556" s="178"/>
      <c r="NJQ556" s="178"/>
      <c r="NJR556" s="178"/>
      <c r="NJS556" s="178"/>
      <c r="NJT556" s="178"/>
      <c r="NJU556" s="178"/>
      <c r="NJV556" s="178"/>
      <c r="NJW556" s="178"/>
      <c r="NJX556" s="178"/>
      <c r="NJY556" s="178"/>
      <c r="NJZ556" s="178"/>
      <c r="NKA556" s="178"/>
      <c r="NKB556" s="178"/>
      <c r="NKC556" s="178"/>
      <c r="NKD556" s="178"/>
      <c r="NKE556" s="178"/>
      <c r="NKF556" s="178"/>
      <c r="NKG556" s="178"/>
      <c r="NKH556" s="178"/>
      <c r="NKI556" s="178"/>
      <c r="NKJ556" s="178"/>
      <c r="NKK556" s="178"/>
      <c r="NKL556" s="178"/>
      <c r="NKM556" s="178"/>
      <c r="NKN556" s="178"/>
      <c r="NKO556" s="178"/>
      <c r="NKP556" s="178"/>
      <c r="NKQ556" s="178"/>
      <c r="NKR556" s="178"/>
      <c r="NKS556" s="178"/>
      <c r="NKT556" s="178"/>
      <c r="NKU556" s="178"/>
      <c r="NKV556" s="178"/>
      <c r="NKW556" s="178"/>
      <c r="NKX556" s="178"/>
      <c r="NKY556" s="178"/>
      <c r="NKZ556" s="178"/>
      <c r="NLA556" s="178"/>
      <c r="NLB556" s="178"/>
      <c r="NLC556" s="178"/>
      <c r="NLD556" s="178"/>
      <c r="NLE556" s="178"/>
      <c r="NLF556" s="178"/>
      <c r="NLG556" s="178"/>
      <c r="NLH556" s="178"/>
      <c r="NLI556" s="178"/>
      <c r="NLJ556" s="178"/>
      <c r="NLK556" s="178"/>
      <c r="NLL556" s="178"/>
      <c r="NLM556" s="178"/>
      <c r="NLN556" s="178"/>
      <c r="NLO556" s="178"/>
      <c r="NLP556" s="178"/>
      <c r="NLQ556" s="178"/>
      <c r="NLR556" s="178"/>
      <c r="NLS556" s="178"/>
      <c r="NLT556" s="178"/>
      <c r="NLU556" s="178"/>
      <c r="NLV556" s="178"/>
      <c r="NLW556" s="178"/>
      <c r="NLX556" s="178"/>
      <c r="NLY556" s="178"/>
      <c r="NLZ556" s="178"/>
      <c r="NMA556" s="178"/>
      <c r="NMB556" s="178"/>
      <c r="NMC556" s="178"/>
      <c r="NMD556" s="178"/>
      <c r="NME556" s="178"/>
      <c r="NMF556" s="178"/>
      <c r="NMG556" s="178"/>
      <c r="NMH556" s="178"/>
      <c r="NMI556" s="178"/>
      <c r="NMJ556" s="178"/>
      <c r="NMK556" s="178"/>
      <c r="NML556" s="178"/>
      <c r="NMM556" s="178"/>
      <c r="NMN556" s="178"/>
      <c r="NMO556" s="178"/>
      <c r="NMP556" s="178"/>
      <c r="NMQ556" s="178"/>
      <c r="NMR556" s="178"/>
      <c r="NMS556" s="178"/>
      <c r="NMT556" s="178"/>
      <c r="NMU556" s="178"/>
      <c r="NMV556" s="178"/>
      <c r="NMW556" s="178"/>
      <c r="NMX556" s="178"/>
      <c r="NMY556" s="178"/>
      <c r="NMZ556" s="178"/>
      <c r="NNA556" s="178"/>
      <c r="NNB556" s="178"/>
      <c r="NNC556" s="178"/>
      <c r="NND556" s="178"/>
      <c r="NNE556" s="178"/>
      <c r="NNF556" s="178"/>
      <c r="NNG556" s="178"/>
      <c r="NNH556" s="178"/>
      <c r="NNI556" s="178"/>
      <c r="NNJ556" s="178"/>
      <c r="NNK556" s="178"/>
      <c r="NNL556" s="178"/>
      <c r="NNM556" s="178"/>
      <c r="NNN556" s="178"/>
      <c r="NNO556" s="178"/>
      <c r="NNP556" s="178"/>
      <c r="NNQ556" s="178"/>
      <c r="NNR556" s="178"/>
      <c r="NNS556" s="178"/>
      <c r="NNT556" s="178"/>
      <c r="NNU556" s="178"/>
      <c r="NNV556" s="178"/>
      <c r="NNW556" s="178"/>
      <c r="NNX556" s="178"/>
      <c r="NNY556" s="178"/>
      <c r="NNZ556" s="178"/>
      <c r="NOA556" s="178"/>
      <c r="NOB556" s="178"/>
      <c r="NOC556" s="178"/>
      <c r="NOD556" s="178"/>
      <c r="NOE556" s="178"/>
      <c r="NOF556" s="178"/>
      <c r="NOG556" s="178"/>
      <c r="NOH556" s="178"/>
      <c r="NOI556" s="178"/>
      <c r="NOJ556" s="178"/>
      <c r="NOK556" s="178"/>
      <c r="NOL556" s="178"/>
      <c r="NOM556" s="178"/>
      <c r="NON556" s="178"/>
      <c r="NOO556" s="178"/>
      <c r="NOP556" s="178"/>
      <c r="NOQ556" s="178"/>
      <c r="NOR556" s="178"/>
      <c r="NOS556" s="178"/>
      <c r="NOT556" s="178"/>
      <c r="NOU556" s="178"/>
      <c r="NOV556" s="178"/>
      <c r="NOW556" s="178"/>
      <c r="NOX556" s="178"/>
      <c r="NOY556" s="178"/>
      <c r="NOZ556" s="178"/>
      <c r="NPA556" s="178"/>
      <c r="NPB556" s="178"/>
      <c r="NPC556" s="178"/>
      <c r="NPD556" s="178"/>
      <c r="NPE556" s="178"/>
      <c r="NPF556" s="178"/>
      <c r="NPG556" s="178"/>
      <c r="NPH556" s="178"/>
      <c r="NPI556" s="178"/>
      <c r="NPJ556" s="178"/>
      <c r="NPK556" s="178"/>
      <c r="NPL556" s="178"/>
      <c r="NPM556" s="178"/>
      <c r="NPN556" s="178"/>
      <c r="NPO556" s="178"/>
      <c r="NPP556" s="178"/>
      <c r="NPQ556" s="178"/>
      <c r="NPR556" s="178"/>
      <c r="NPS556" s="178"/>
      <c r="NPT556" s="178"/>
      <c r="NPU556" s="178"/>
      <c r="NPV556" s="178"/>
      <c r="NPW556" s="178"/>
      <c r="NPX556" s="178"/>
      <c r="NPY556" s="178"/>
      <c r="NPZ556" s="178"/>
      <c r="NQA556" s="178"/>
      <c r="NQB556" s="178"/>
      <c r="NQC556" s="178"/>
      <c r="NQD556" s="178"/>
      <c r="NQE556" s="178"/>
      <c r="NQF556" s="178"/>
      <c r="NQG556" s="178"/>
      <c r="NQH556" s="178"/>
      <c r="NQI556" s="178"/>
      <c r="NQJ556" s="178"/>
      <c r="NQK556" s="178"/>
      <c r="NQL556" s="178"/>
      <c r="NQM556" s="178"/>
      <c r="NQN556" s="178"/>
      <c r="NQO556" s="178"/>
      <c r="NQP556" s="178"/>
      <c r="NQQ556" s="178"/>
      <c r="NQR556" s="178"/>
      <c r="NQS556" s="178"/>
      <c r="NQT556" s="178"/>
      <c r="NQU556" s="178"/>
      <c r="NQV556" s="178"/>
      <c r="NQW556" s="178"/>
      <c r="NQX556" s="178"/>
      <c r="NQY556" s="178"/>
      <c r="NQZ556" s="178"/>
      <c r="NRA556" s="178"/>
      <c r="NRB556" s="178"/>
      <c r="NRC556" s="178"/>
      <c r="NRD556" s="178"/>
      <c r="NRE556" s="178"/>
      <c r="NRF556" s="178"/>
      <c r="NRG556" s="178"/>
      <c r="NRH556" s="178"/>
      <c r="NRI556" s="178"/>
      <c r="NRJ556" s="178"/>
      <c r="NRK556" s="178"/>
      <c r="NRL556" s="178"/>
      <c r="NRM556" s="178"/>
      <c r="NRN556" s="178"/>
      <c r="NRO556" s="178"/>
      <c r="NRP556" s="178"/>
      <c r="NRQ556" s="178"/>
      <c r="NRR556" s="178"/>
      <c r="NRS556" s="178"/>
      <c r="NRT556" s="178"/>
      <c r="NRU556" s="178"/>
      <c r="NRV556" s="178"/>
      <c r="NRW556" s="178"/>
      <c r="NRX556" s="178"/>
      <c r="NRY556" s="178"/>
      <c r="NRZ556" s="178"/>
      <c r="NSA556" s="178"/>
      <c r="NSB556" s="178"/>
      <c r="NSC556" s="178"/>
      <c r="NSD556" s="178"/>
      <c r="NSE556" s="178"/>
      <c r="NSF556" s="178"/>
      <c r="NSG556" s="178"/>
      <c r="NSH556" s="178"/>
      <c r="NSI556" s="178"/>
      <c r="NSJ556" s="178"/>
      <c r="NSK556" s="178"/>
      <c r="NSL556" s="178"/>
      <c r="NSM556" s="178"/>
      <c r="NSN556" s="178"/>
      <c r="NSO556" s="178"/>
      <c r="NSP556" s="178"/>
      <c r="NSQ556" s="178"/>
      <c r="NSR556" s="178"/>
      <c r="NSS556" s="178"/>
      <c r="NST556" s="178"/>
      <c r="NSU556" s="178"/>
      <c r="NSV556" s="178"/>
      <c r="NSW556" s="178"/>
      <c r="NSX556" s="178"/>
      <c r="NSY556" s="178"/>
      <c r="NSZ556" s="178"/>
      <c r="NTA556" s="178"/>
      <c r="NTB556" s="178"/>
      <c r="NTC556" s="178"/>
      <c r="NTD556" s="178"/>
      <c r="NTE556" s="178"/>
      <c r="NTF556" s="178"/>
      <c r="NTG556" s="178"/>
      <c r="NTH556" s="178"/>
      <c r="NTI556" s="178"/>
      <c r="NTJ556" s="178"/>
      <c r="NTK556" s="178"/>
      <c r="NTL556" s="178"/>
      <c r="NTM556" s="178"/>
      <c r="NTN556" s="178"/>
      <c r="NTO556" s="178"/>
      <c r="NTP556" s="178"/>
      <c r="NTQ556" s="178"/>
      <c r="NTR556" s="178"/>
      <c r="NTS556" s="178"/>
      <c r="NTT556" s="178"/>
      <c r="NTU556" s="178"/>
      <c r="NTV556" s="178"/>
      <c r="NTW556" s="178"/>
      <c r="NTX556" s="178"/>
      <c r="NTY556" s="178"/>
      <c r="NTZ556" s="178"/>
      <c r="NUA556" s="178"/>
      <c r="NUB556" s="178"/>
      <c r="NUC556" s="178"/>
      <c r="NUD556" s="178"/>
      <c r="NUE556" s="178"/>
      <c r="NUF556" s="178"/>
      <c r="NUG556" s="178"/>
      <c r="NUH556" s="178"/>
      <c r="NUI556" s="178"/>
      <c r="NUJ556" s="178"/>
      <c r="NUK556" s="178"/>
      <c r="NUL556" s="178"/>
      <c r="NUM556" s="178"/>
      <c r="NUN556" s="178"/>
      <c r="NUO556" s="178"/>
      <c r="NUP556" s="178"/>
      <c r="NUQ556" s="178"/>
      <c r="NUR556" s="178"/>
      <c r="NUS556" s="178"/>
      <c r="NUT556" s="178"/>
      <c r="NUU556" s="178"/>
      <c r="NUV556" s="178"/>
      <c r="NUW556" s="178"/>
      <c r="NUX556" s="178"/>
      <c r="NUY556" s="178"/>
      <c r="NUZ556" s="178"/>
      <c r="NVA556" s="178"/>
      <c r="NVB556" s="178"/>
      <c r="NVC556" s="178"/>
      <c r="NVD556" s="178"/>
      <c r="NVE556" s="178"/>
      <c r="NVF556" s="178"/>
      <c r="NVG556" s="178"/>
      <c r="NVH556" s="178"/>
      <c r="NVI556" s="178"/>
      <c r="NVJ556" s="178"/>
      <c r="NVK556" s="178"/>
      <c r="NVL556" s="178"/>
      <c r="NVM556" s="178"/>
      <c r="NVN556" s="178"/>
      <c r="NVO556" s="178"/>
      <c r="NVP556" s="178"/>
      <c r="NVQ556" s="178"/>
      <c r="NVR556" s="178"/>
      <c r="NVS556" s="178"/>
      <c r="NVT556" s="178"/>
      <c r="NVU556" s="178"/>
      <c r="NVV556" s="178"/>
      <c r="NVW556" s="178"/>
      <c r="NVX556" s="178"/>
      <c r="NVY556" s="178"/>
      <c r="NVZ556" s="178"/>
      <c r="NWA556" s="178"/>
      <c r="NWB556" s="178"/>
      <c r="NWC556" s="178"/>
      <c r="NWD556" s="178"/>
      <c r="NWE556" s="178"/>
      <c r="NWF556" s="178"/>
      <c r="NWG556" s="178"/>
      <c r="NWH556" s="178"/>
      <c r="NWI556" s="178"/>
      <c r="NWJ556" s="178"/>
      <c r="NWK556" s="178"/>
      <c r="NWL556" s="178"/>
      <c r="NWM556" s="178"/>
      <c r="NWN556" s="178"/>
      <c r="NWO556" s="178"/>
      <c r="NWP556" s="178"/>
      <c r="NWQ556" s="178"/>
      <c r="NWR556" s="178"/>
      <c r="NWS556" s="178"/>
      <c r="NWT556" s="178"/>
      <c r="NWU556" s="178"/>
      <c r="NWV556" s="178"/>
      <c r="NWW556" s="178"/>
      <c r="NWX556" s="178"/>
      <c r="NWY556" s="178"/>
      <c r="NWZ556" s="178"/>
      <c r="NXA556" s="178"/>
      <c r="NXB556" s="178"/>
      <c r="NXC556" s="178"/>
      <c r="NXD556" s="178"/>
      <c r="NXE556" s="178"/>
      <c r="NXF556" s="178"/>
      <c r="NXG556" s="178"/>
      <c r="NXH556" s="178"/>
      <c r="NXI556" s="178"/>
      <c r="NXJ556" s="178"/>
      <c r="NXK556" s="178"/>
      <c r="NXL556" s="178"/>
      <c r="NXM556" s="178"/>
      <c r="NXN556" s="178"/>
      <c r="NXO556" s="178"/>
      <c r="NXP556" s="178"/>
      <c r="NXQ556" s="178"/>
      <c r="NXR556" s="178"/>
      <c r="NXS556" s="178"/>
      <c r="NXT556" s="178"/>
      <c r="NXU556" s="178"/>
      <c r="NXV556" s="178"/>
      <c r="NXW556" s="178"/>
      <c r="NXX556" s="178"/>
      <c r="NXY556" s="178"/>
      <c r="NXZ556" s="178"/>
      <c r="NYA556" s="178"/>
      <c r="NYB556" s="178"/>
      <c r="NYC556" s="178"/>
      <c r="NYD556" s="178"/>
      <c r="NYE556" s="178"/>
      <c r="NYF556" s="178"/>
      <c r="NYG556" s="178"/>
      <c r="NYH556" s="178"/>
      <c r="NYI556" s="178"/>
      <c r="NYJ556" s="178"/>
      <c r="NYK556" s="178"/>
      <c r="NYL556" s="178"/>
      <c r="NYM556" s="178"/>
      <c r="NYN556" s="178"/>
      <c r="NYO556" s="178"/>
      <c r="NYP556" s="178"/>
      <c r="NYQ556" s="178"/>
      <c r="NYR556" s="178"/>
      <c r="NYS556" s="178"/>
      <c r="NYT556" s="178"/>
      <c r="NYU556" s="178"/>
      <c r="NYV556" s="178"/>
      <c r="NYW556" s="178"/>
      <c r="NYX556" s="178"/>
      <c r="NYY556" s="178"/>
      <c r="NYZ556" s="178"/>
      <c r="NZA556" s="178"/>
      <c r="NZB556" s="178"/>
      <c r="NZC556" s="178"/>
      <c r="NZD556" s="178"/>
      <c r="NZE556" s="178"/>
      <c r="NZF556" s="178"/>
      <c r="NZG556" s="178"/>
      <c r="NZH556" s="178"/>
      <c r="NZI556" s="178"/>
      <c r="NZJ556" s="178"/>
      <c r="NZK556" s="178"/>
      <c r="NZL556" s="178"/>
      <c r="NZM556" s="178"/>
      <c r="NZN556" s="178"/>
      <c r="NZO556" s="178"/>
      <c r="NZP556" s="178"/>
      <c r="NZQ556" s="178"/>
      <c r="NZR556" s="178"/>
      <c r="NZS556" s="178"/>
      <c r="NZT556" s="178"/>
      <c r="NZU556" s="178"/>
      <c r="NZV556" s="178"/>
      <c r="NZW556" s="178"/>
      <c r="NZX556" s="178"/>
      <c r="NZY556" s="178"/>
      <c r="NZZ556" s="178"/>
      <c r="OAA556" s="178"/>
      <c r="OAB556" s="178"/>
      <c r="OAC556" s="178"/>
      <c r="OAD556" s="178"/>
      <c r="OAE556" s="178"/>
      <c r="OAF556" s="178"/>
      <c r="OAG556" s="178"/>
      <c r="OAH556" s="178"/>
      <c r="OAI556" s="178"/>
      <c r="OAJ556" s="178"/>
      <c r="OAK556" s="178"/>
      <c r="OAL556" s="178"/>
      <c r="OAM556" s="178"/>
      <c r="OAN556" s="178"/>
      <c r="OAO556" s="178"/>
      <c r="OAP556" s="178"/>
      <c r="OAQ556" s="178"/>
      <c r="OAR556" s="178"/>
      <c r="OAS556" s="178"/>
      <c r="OAT556" s="178"/>
      <c r="OAU556" s="178"/>
      <c r="OAV556" s="178"/>
      <c r="OAW556" s="178"/>
      <c r="OAX556" s="178"/>
      <c r="OAY556" s="178"/>
      <c r="OAZ556" s="178"/>
      <c r="OBA556" s="178"/>
      <c r="OBB556" s="178"/>
      <c r="OBC556" s="178"/>
      <c r="OBD556" s="178"/>
      <c r="OBE556" s="178"/>
      <c r="OBF556" s="178"/>
      <c r="OBG556" s="178"/>
      <c r="OBH556" s="178"/>
      <c r="OBI556" s="178"/>
      <c r="OBJ556" s="178"/>
      <c r="OBK556" s="178"/>
      <c r="OBL556" s="178"/>
      <c r="OBM556" s="178"/>
      <c r="OBN556" s="178"/>
      <c r="OBO556" s="178"/>
      <c r="OBP556" s="178"/>
      <c r="OBQ556" s="178"/>
      <c r="OBR556" s="178"/>
      <c r="OBS556" s="178"/>
      <c r="OBT556" s="178"/>
      <c r="OBU556" s="178"/>
      <c r="OBV556" s="178"/>
      <c r="OBW556" s="178"/>
      <c r="OBX556" s="178"/>
      <c r="OBY556" s="178"/>
      <c r="OBZ556" s="178"/>
      <c r="OCA556" s="178"/>
      <c r="OCB556" s="178"/>
      <c r="OCC556" s="178"/>
      <c r="OCD556" s="178"/>
      <c r="OCE556" s="178"/>
      <c r="OCF556" s="178"/>
      <c r="OCG556" s="178"/>
      <c r="OCH556" s="178"/>
      <c r="OCI556" s="178"/>
      <c r="OCJ556" s="178"/>
      <c r="OCK556" s="178"/>
      <c r="OCL556" s="178"/>
      <c r="OCM556" s="178"/>
      <c r="OCN556" s="178"/>
      <c r="OCO556" s="178"/>
      <c r="OCP556" s="178"/>
      <c r="OCQ556" s="178"/>
      <c r="OCR556" s="178"/>
      <c r="OCS556" s="178"/>
      <c r="OCT556" s="178"/>
      <c r="OCU556" s="178"/>
      <c r="OCV556" s="178"/>
      <c r="OCW556" s="178"/>
      <c r="OCX556" s="178"/>
      <c r="OCY556" s="178"/>
      <c r="OCZ556" s="178"/>
      <c r="ODA556" s="178"/>
      <c r="ODB556" s="178"/>
      <c r="ODC556" s="178"/>
      <c r="ODD556" s="178"/>
      <c r="ODE556" s="178"/>
      <c r="ODF556" s="178"/>
      <c r="ODG556" s="178"/>
      <c r="ODH556" s="178"/>
      <c r="ODI556" s="178"/>
      <c r="ODJ556" s="178"/>
      <c r="ODK556" s="178"/>
      <c r="ODL556" s="178"/>
      <c r="ODM556" s="178"/>
      <c r="ODN556" s="178"/>
      <c r="ODO556" s="178"/>
      <c r="ODP556" s="178"/>
      <c r="ODQ556" s="178"/>
      <c r="ODR556" s="178"/>
      <c r="ODS556" s="178"/>
      <c r="ODT556" s="178"/>
      <c r="ODU556" s="178"/>
      <c r="ODV556" s="178"/>
      <c r="ODW556" s="178"/>
      <c r="ODX556" s="178"/>
      <c r="ODY556" s="178"/>
      <c r="ODZ556" s="178"/>
      <c r="OEA556" s="178"/>
      <c r="OEB556" s="178"/>
      <c r="OEC556" s="178"/>
      <c r="OED556" s="178"/>
      <c r="OEE556" s="178"/>
      <c r="OEF556" s="178"/>
      <c r="OEG556" s="178"/>
      <c r="OEH556" s="178"/>
      <c r="OEI556" s="178"/>
      <c r="OEJ556" s="178"/>
      <c r="OEK556" s="178"/>
      <c r="OEL556" s="178"/>
      <c r="OEM556" s="178"/>
      <c r="OEN556" s="178"/>
      <c r="OEO556" s="178"/>
      <c r="OEP556" s="178"/>
      <c r="OEQ556" s="178"/>
      <c r="OER556" s="178"/>
      <c r="OES556" s="178"/>
      <c r="OET556" s="178"/>
      <c r="OEU556" s="178"/>
      <c r="OEV556" s="178"/>
      <c r="OEW556" s="178"/>
      <c r="OEX556" s="178"/>
      <c r="OEY556" s="178"/>
      <c r="OEZ556" s="178"/>
      <c r="OFA556" s="178"/>
      <c r="OFB556" s="178"/>
      <c r="OFC556" s="178"/>
      <c r="OFD556" s="178"/>
      <c r="OFE556" s="178"/>
      <c r="OFF556" s="178"/>
      <c r="OFG556" s="178"/>
      <c r="OFH556" s="178"/>
      <c r="OFI556" s="178"/>
      <c r="OFJ556" s="178"/>
      <c r="OFK556" s="178"/>
      <c r="OFL556" s="178"/>
      <c r="OFM556" s="178"/>
      <c r="OFN556" s="178"/>
      <c r="OFO556" s="178"/>
      <c r="OFP556" s="178"/>
      <c r="OFQ556" s="178"/>
      <c r="OFR556" s="178"/>
      <c r="OFS556" s="178"/>
      <c r="OFT556" s="178"/>
      <c r="OFU556" s="178"/>
      <c r="OFV556" s="178"/>
      <c r="OFW556" s="178"/>
      <c r="OFX556" s="178"/>
      <c r="OFY556" s="178"/>
      <c r="OFZ556" s="178"/>
      <c r="OGA556" s="178"/>
      <c r="OGB556" s="178"/>
      <c r="OGC556" s="178"/>
      <c r="OGD556" s="178"/>
      <c r="OGE556" s="178"/>
      <c r="OGF556" s="178"/>
      <c r="OGG556" s="178"/>
      <c r="OGH556" s="178"/>
      <c r="OGI556" s="178"/>
      <c r="OGJ556" s="178"/>
      <c r="OGK556" s="178"/>
      <c r="OGL556" s="178"/>
      <c r="OGM556" s="178"/>
      <c r="OGN556" s="178"/>
      <c r="OGO556" s="178"/>
      <c r="OGP556" s="178"/>
      <c r="OGQ556" s="178"/>
      <c r="OGR556" s="178"/>
      <c r="OGS556" s="178"/>
      <c r="OGT556" s="178"/>
      <c r="OGU556" s="178"/>
      <c r="OGV556" s="178"/>
      <c r="OGW556" s="178"/>
      <c r="OGX556" s="178"/>
      <c r="OGY556" s="178"/>
      <c r="OGZ556" s="178"/>
      <c r="OHA556" s="178"/>
      <c r="OHB556" s="178"/>
      <c r="OHC556" s="178"/>
      <c r="OHD556" s="178"/>
      <c r="OHE556" s="178"/>
      <c r="OHF556" s="178"/>
      <c r="OHG556" s="178"/>
      <c r="OHH556" s="178"/>
      <c r="OHI556" s="178"/>
      <c r="OHJ556" s="178"/>
      <c r="OHK556" s="178"/>
      <c r="OHL556" s="178"/>
      <c r="OHM556" s="178"/>
      <c r="OHN556" s="178"/>
      <c r="OHO556" s="178"/>
      <c r="OHP556" s="178"/>
      <c r="OHQ556" s="178"/>
      <c r="OHR556" s="178"/>
      <c r="OHS556" s="178"/>
      <c r="OHT556" s="178"/>
      <c r="OHU556" s="178"/>
      <c r="OHV556" s="178"/>
      <c r="OHW556" s="178"/>
      <c r="OHX556" s="178"/>
      <c r="OHY556" s="178"/>
      <c r="OHZ556" s="178"/>
      <c r="OIA556" s="178"/>
      <c r="OIB556" s="178"/>
      <c r="OIC556" s="178"/>
      <c r="OID556" s="178"/>
      <c r="OIE556" s="178"/>
      <c r="OIF556" s="178"/>
      <c r="OIG556" s="178"/>
      <c r="OIH556" s="178"/>
      <c r="OII556" s="178"/>
      <c r="OIJ556" s="178"/>
      <c r="OIK556" s="178"/>
      <c r="OIL556" s="178"/>
      <c r="OIM556" s="178"/>
      <c r="OIN556" s="178"/>
      <c r="OIO556" s="178"/>
      <c r="OIP556" s="178"/>
      <c r="OIQ556" s="178"/>
      <c r="OIR556" s="178"/>
      <c r="OIS556" s="178"/>
      <c r="OIT556" s="178"/>
      <c r="OIU556" s="178"/>
      <c r="OIV556" s="178"/>
      <c r="OIW556" s="178"/>
      <c r="OIX556" s="178"/>
      <c r="OIY556" s="178"/>
      <c r="OIZ556" s="178"/>
      <c r="OJA556" s="178"/>
      <c r="OJB556" s="178"/>
      <c r="OJC556" s="178"/>
      <c r="OJD556" s="178"/>
      <c r="OJE556" s="178"/>
      <c r="OJF556" s="178"/>
      <c r="OJG556" s="178"/>
      <c r="OJH556" s="178"/>
      <c r="OJI556" s="178"/>
      <c r="OJJ556" s="178"/>
      <c r="OJK556" s="178"/>
      <c r="OJL556" s="178"/>
      <c r="OJM556" s="178"/>
      <c r="OJN556" s="178"/>
      <c r="OJO556" s="178"/>
      <c r="OJP556" s="178"/>
      <c r="OJQ556" s="178"/>
      <c r="OJR556" s="178"/>
      <c r="OJS556" s="178"/>
      <c r="OJT556" s="178"/>
      <c r="OJU556" s="178"/>
      <c r="OJV556" s="178"/>
      <c r="OJW556" s="178"/>
      <c r="OJX556" s="178"/>
      <c r="OJY556" s="178"/>
      <c r="OJZ556" s="178"/>
      <c r="OKA556" s="178"/>
      <c r="OKB556" s="178"/>
      <c r="OKC556" s="178"/>
      <c r="OKD556" s="178"/>
      <c r="OKE556" s="178"/>
      <c r="OKF556" s="178"/>
      <c r="OKG556" s="178"/>
      <c r="OKH556" s="178"/>
      <c r="OKI556" s="178"/>
      <c r="OKJ556" s="178"/>
      <c r="OKK556" s="178"/>
      <c r="OKL556" s="178"/>
      <c r="OKM556" s="178"/>
      <c r="OKN556" s="178"/>
      <c r="OKO556" s="178"/>
      <c r="OKP556" s="178"/>
      <c r="OKQ556" s="178"/>
      <c r="OKR556" s="178"/>
      <c r="OKS556" s="178"/>
      <c r="OKT556" s="178"/>
      <c r="OKU556" s="178"/>
      <c r="OKV556" s="178"/>
      <c r="OKW556" s="178"/>
      <c r="OKX556" s="178"/>
      <c r="OKY556" s="178"/>
      <c r="OKZ556" s="178"/>
      <c r="OLA556" s="178"/>
      <c r="OLB556" s="178"/>
      <c r="OLC556" s="178"/>
      <c r="OLD556" s="178"/>
      <c r="OLE556" s="178"/>
      <c r="OLF556" s="178"/>
      <c r="OLG556" s="178"/>
      <c r="OLH556" s="178"/>
      <c r="OLI556" s="178"/>
      <c r="OLJ556" s="178"/>
      <c r="OLK556" s="178"/>
      <c r="OLL556" s="178"/>
      <c r="OLM556" s="178"/>
      <c r="OLN556" s="178"/>
      <c r="OLO556" s="178"/>
      <c r="OLP556" s="178"/>
      <c r="OLQ556" s="178"/>
      <c r="OLR556" s="178"/>
      <c r="OLS556" s="178"/>
      <c r="OLT556" s="178"/>
      <c r="OLU556" s="178"/>
      <c r="OLV556" s="178"/>
      <c r="OLW556" s="178"/>
      <c r="OLX556" s="178"/>
      <c r="OLY556" s="178"/>
      <c r="OLZ556" s="178"/>
      <c r="OMA556" s="178"/>
      <c r="OMB556" s="178"/>
      <c r="OMC556" s="178"/>
      <c r="OMD556" s="178"/>
      <c r="OME556" s="178"/>
      <c r="OMF556" s="178"/>
      <c r="OMG556" s="178"/>
      <c r="OMH556" s="178"/>
      <c r="OMI556" s="178"/>
      <c r="OMJ556" s="178"/>
      <c r="OMK556" s="178"/>
      <c r="OML556" s="178"/>
      <c r="OMM556" s="178"/>
      <c r="OMN556" s="178"/>
      <c r="OMO556" s="178"/>
      <c r="OMP556" s="178"/>
      <c r="OMQ556" s="178"/>
      <c r="OMR556" s="178"/>
      <c r="OMS556" s="178"/>
      <c r="OMT556" s="178"/>
      <c r="OMU556" s="178"/>
      <c r="OMV556" s="178"/>
      <c r="OMW556" s="178"/>
      <c r="OMX556" s="178"/>
      <c r="OMY556" s="178"/>
      <c r="OMZ556" s="178"/>
      <c r="ONA556" s="178"/>
      <c r="ONB556" s="178"/>
      <c r="ONC556" s="178"/>
      <c r="OND556" s="178"/>
      <c r="ONE556" s="178"/>
      <c r="ONF556" s="178"/>
      <c r="ONG556" s="178"/>
      <c r="ONH556" s="178"/>
      <c r="ONI556" s="178"/>
      <c r="ONJ556" s="178"/>
      <c r="ONK556" s="178"/>
      <c r="ONL556" s="178"/>
      <c r="ONM556" s="178"/>
      <c r="ONN556" s="178"/>
      <c r="ONO556" s="178"/>
      <c r="ONP556" s="178"/>
      <c r="ONQ556" s="178"/>
      <c r="ONR556" s="178"/>
      <c r="ONS556" s="178"/>
      <c r="ONT556" s="178"/>
      <c r="ONU556" s="178"/>
      <c r="ONV556" s="178"/>
      <c r="ONW556" s="178"/>
      <c r="ONX556" s="178"/>
      <c r="ONY556" s="178"/>
      <c r="ONZ556" s="178"/>
      <c r="OOA556" s="178"/>
      <c r="OOB556" s="178"/>
      <c r="OOC556" s="178"/>
      <c r="OOD556" s="178"/>
      <c r="OOE556" s="178"/>
      <c r="OOF556" s="178"/>
      <c r="OOG556" s="178"/>
      <c r="OOH556" s="178"/>
      <c r="OOI556" s="178"/>
      <c r="OOJ556" s="178"/>
      <c r="OOK556" s="178"/>
      <c r="OOL556" s="178"/>
      <c r="OOM556" s="178"/>
      <c r="OON556" s="178"/>
      <c r="OOO556" s="178"/>
      <c r="OOP556" s="178"/>
      <c r="OOQ556" s="178"/>
      <c r="OOR556" s="178"/>
      <c r="OOS556" s="178"/>
      <c r="OOT556" s="178"/>
      <c r="OOU556" s="178"/>
      <c r="OOV556" s="178"/>
      <c r="OOW556" s="178"/>
      <c r="OOX556" s="178"/>
      <c r="OOY556" s="178"/>
      <c r="OOZ556" s="178"/>
      <c r="OPA556" s="178"/>
      <c r="OPB556" s="178"/>
      <c r="OPC556" s="178"/>
      <c r="OPD556" s="178"/>
      <c r="OPE556" s="178"/>
      <c r="OPF556" s="178"/>
      <c r="OPG556" s="178"/>
      <c r="OPH556" s="178"/>
      <c r="OPI556" s="178"/>
      <c r="OPJ556" s="178"/>
      <c r="OPK556" s="178"/>
      <c r="OPL556" s="178"/>
      <c r="OPM556" s="178"/>
      <c r="OPN556" s="178"/>
      <c r="OPO556" s="178"/>
      <c r="OPP556" s="178"/>
      <c r="OPQ556" s="178"/>
      <c r="OPR556" s="178"/>
      <c r="OPS556" s="178"/>
      <c r="OPT556" s="178"/>
      <c r="OPU556" s="178"/>
      <c r="OPV556" s="178"/>
      <c r="OPW556" s="178"/>
      <c r="OPX556" s="178"/>
      <c r="OPY556" s="178"/>
      <c r="OPZ556" s="178"/>
      <c r="OQA556" s="178"/>
      <c r="OQB556" s="178"/>
      <c r="OQC556" s="178"/>
      <c r="OQD556" s="178"/>
      <c r="OQE556" s="178"/>
      <c r="OQF556" s="178"/>
      <c r="OQG556" s="178"/>
      <c r="OQH556" s="178"/>
      <c r="OQI556" s="178"/>
      <c r="OQJ556" s="178"/>
      <c r="OQK556" s="178"/>
      <c r="OQL556" s="178"/>
      <c r="OQM556" s="178"/>
      <c r="OQN556" s="178"/>
      <c r="OQO556" s="178"/>
      <c r="OQP556" s="178"/>
      <c r="OQQ556" s="178"/>
      <c r="OQR556" s="178"/>
      <c r="OQS556" s="178"/>
      <c r="OQT556" s="178"/>
      <c r="OQU556" s="178"/>
      <c r="OQV556" s="178"/>
      <c r="OQW556" s="178"/>
      <c r="OQX556" s="178"/>
      <c r="OQY556" s="178"/>
      <c r="OQZ556" s="178"/>
      <c r="ORA556" s="178"/>
      <c r="ORB556" s="178"/>
      <c r="ORC556" s="178"/>
      <c r="ORD556" s="178"/>
      <c r="ORE556" s="178"/>
      <c r="ORF556" s="178"/>
      <c r="ORG556" s="178"/>
      <c r="ORH556" s="178"/>
      <c r="ORI556" s="178"/>
      <c r="ORJ556" s="178"/>
      <c r="ORK556" s="178"/>
      <c r="ORL556" s="178"/>
      <c r="ORM556" s="178"/>
      <c r="ORN556" s="178"/>
      <c r="ORO556" s="178"/>
      <c r="ORP556" s="178"/>
      <c r="ORQ556" s="178"/>
      <c r="ORR556" s="178"/>
      <c r="ORS556" s="178"/>
      <c r="ORT556" s="178"/>
      <c r="ORU556" s="178"/>
      <c r="ORV556" s="178"/>
      <c r="ORW556" s="178"/>
      <c r="ORX556" s="178"/>
      <c r="ORY556" s="178"/>
      <c r="ORZ556" s="178"/>
      <c r="OSA556" s="178"/>
      <c r="OSB556" s="178"/>
      <c r="OSC556" s="178"/>
      <c r="OSD556" s="178"/>
      <c r="OSE556" s="178"/>
      <c r="OSF556" s="178"/>
      <c r="OSG556" s="178"/>
      <c r="OSH556" s="178"/>
      <c r="OSI556" s="178"/>
      <c r="OSJ556" s="178"/>
      <c r="OSK556" s="178"/>
      <c r="OSL556" s="178"/>
      <c r="OSM556" s="178"/>
      <c r="OSN556" s="178"/>
      <c r="OSO556" s="178"/>
      <c r="OSP556" s="178"/>
      <c r="OSQ556" s="178"/>
      <c r="OSR556" s="178"/>
      <c r="OSS556" s="178"/>
      <c r="OST556" s="178"/>
      <c r="OSU556" s="178"/>
      <c r="OSV556" s="178"/>
      <c r="OSW556" s="178"/>
      <c r="OSX556" s="178"/>
      <c r="OSY556" s="178"/>
      <c r="OSZ556" s="178"/>
      <c r="OTA556" s="178"/>
      <c r="OTB556" s="178"/>
      <c r="OTC556" s="178"/>
      <c r="OTD556" s="178"/>
      <c r="OTE556" s="178"/>
      <c r="OTF556" s="178"/>
      <c r="OTG556" s="178"/>
      <c r="OTH556" s="178"/>
      <c r="OTI556" s="178"/>
      <c r="OTJ556" s="178"/>
      <c r="OTK556" s="178"/>
      <c r="OTL556" s="178"/>
      <c r="OTM556" s="178"/>
      <c r="OTN556" s="178"/>
      <c r="OTO556" s="178"/>
      <c r="OTP556" s="178"/>
      <c r="OTQ556" s="178"/>
      <c r="OTR556" s="178"/>
      <c r="OTS556" s="178"/>
      <c r="OTT556" s="178"/>
      <c r="OTU556" s="178"/>
      <c r="OTV556" s="178"/>
      <c r="OTW556" s="178"/>
      <c r="OTX556" s="178"/>
      <c r="OTY556" s="178"/>
      <c r="OTZ556" s="178"/>
      <c r="OUA556" s="178"/>
      <c r="OUB556" s="178"/>
      <c r="OUC556" s="178"/>
      <c r="OUD556" s="178"/>
      <c r="OUE556" s="178"/>
      <c r="OUF556" s="178"/>
      <c r="OUG556" s="178"/>
      <c r="OUH556" s="178"/>
      <c r="OUI556" s="178"/>
      <c r="OUJ556" s="178"/>
      <c r="OUK556" s="178"/>
      <c r="OUL556" s="178"/>
      <c r="OUM556" s="178"/>
      <c r="OUN556" s="178"/>
      <c r="OUO556" s="178"/>
      <c r="OUP556" s="178"/>
      <c r="OUQ556" s="178"/>
      <c r="OUR556" s="178"/>
      <c r="OUS556" s="178"/>
      <c r="OUT556" s="178"/>
      <c r="OUU556" s="178"/>
      <c r="OUV556" s="178"/>
      <c r="OUW556" s="178"/>
      <c r="OUX556" s="178"/>
      <c r="OUY556" s="178"/>
      <c r="OUZ556" s="178"/>
      <c r="OVA556" s="178"/>
      <c r="OVB556" s="178"/>
      <c r="OVC556" s="178"/>
      <c r="OVD556" s="178"/>
      <c r="OVE556" s="178"/>
      <c r="OVF556" s="178"/>
      <c r="OVG556" s="178"/>
      <c r="OVH556" s="178"/>
      <c r="OVI556" s="178"/>
      <c r="OVJ556" s="178"/>
      <c r="OVK556" s="178"/>
      <c r="OVL556" s="178"/>
      <c r="OVM556" s="178"/>
      <c r="OVN556" s="178"/>
      <c r="OVO556" s="178"/>
      <c r="OVP556" s="178"/>
      <c r="OVQ556" s="178"/>
      <c r="OVR556" s="178"/>
      <c r="OVS556" s="178"/>
      <c r="OVT556" s="178"/>
      <c r="OVU556" s="178"/>
      <c r="OVV556" s="178"/>
      <c r="OVW556" s="178"/>
      <c r="OVX556" s="178"/>
      <c r="OVY556" s="178"/>
      <c r="OVZ556" s="178"/>
      <c r="OWA556" s="178"/>
      <c r="OWB556" s="178"/>
      <c r="OWC556" s="178"/>
      <c r="OWD556" s="178"/>
      <c r="OWE556" s="178"/>
      <c r="OWF556" s="178"/>
      <c r="OWG556" s="178"/>
      <c r="OWH556" s="178"/>
      <c r="OWI556" s="178"/>
      <c r="OWJ556" s="178"/>
      <c r="OWK556" s="178"/>
      <c r="OWL556" s="178"/>
      <c r="OWM556" s="178"/>
      <c r="OWN556" s="178"/>
      <c r="OWO556" s="178"/>
      <c r="OWP556" s="178"/>
      <c r="OWQ556" s="178"/>
      <c r="OWR556" s="178"/>
      <c r="OWS556" s="178"/>
      <c r="OWT556" s="178"/>
      <c r="OWU556" s="178"/>
      <c r="OWV556" s="178"/>
      <c r="OWW556" s="178"/>
      <c r="OWX556" s="178"/>
      <c r="OWY556" s="178"/>
      <c r="OWZ556" s="178"/>
      <c r="OXA556" s="178"/>
      <c r="OXB556" s="178"/>
      <c r="OXC556" s="178"/>
      <c r="OXD556" s="178"/>
      <c r="OXE556" s="178"/>
      <c r="OXF556" s="178"/>
      <c r="OXG556" s="178"/>
      <c r="OXH556" s="178"/>
      <c r="OXI556" s="178"/>
      <c r="OXJ556" s="178"/>
      <c r="OXK556" s="178"/>
      <c r="OXL556" s="178"/>
      <c r="OXM556" s="178"/>
      <c r="OXN556" s="178"/>
      <c r="OXO556" s="178"/>
      <c r="OXP556" s="178"/>
      <c r="OXQ556" s="178"/>
      <c r="OXR556" s="178"/>
      <c r="OXS556" s="178"/>
      <c r="OXT556" s="178"/>
      <c r="OXU556" s="178"/>
      <c r="OXV556" s="178"/>
      <c r="OXW556" s="178"/>
      <c r="OXX556" s="178"/>
      <c r="OXY556" s="178"/>
      <c r="OXZ556" s="178"/>
      <c r="OYA556" s="178"/>
      <c r="OYB556" s="178"/>
      <c r="OYC556" s="178"/>
      <c r="OYD556" s="178"/>
      <c r="OYE556" s="178"/>
      <c r="OYF556" s="178"/>
      <c r="OYG556" s="178"/>
      <c r="OYH556" s="178"/>
      <c r="OYI556" s="178"/>
      <c r="OYJ556" s="178"/>
      <c r="OYK556" s="178"/>
      <c r="OYL556" s="178"/>
      <c r="OYM556" s="178"/>
      <c r="OYN556" s="178"/>
      <c r="OYO556" s="178"/>
      <c r="OYP556" s="178"/>
      <c r="OYQ556" s="178"/>
      <c r="OYR556" s="178"/>
      <c r="OYS556" s="178"/>
      <c r="OYT556" s="178"/>
      <c r="OYU556" s="178"/>
      <c r="OYV556" s="178"/>
      <c r="OYW556" s="178"/>
      <c r="OYX556" s="178"/>
      <c r="OYY556" s="178"/>
      <c r="OYZ556" s="178"/>
      <c r="OZA556" s="178"/>
      <c r="OZB556" s="178"/>
      <c r="OZC556" s="178"/>
      <c r="OZD556" s="178"/>
      <c r="OZE556" s="178"/>
      <c r="OZF556" s="178"/>
      <c r="OZG556" s="178"/>
      <c r="OZH556" s="178"/>
      <c r="OZI556" s="178"/>
      <c r="OZJ556" s="178"/>
      <c r="OZK556" s="178"/>
      <c r="OZL556" s="178"/>
      <c r="OZM556" s="178"/>
      <c r="OZN556" s="178"/>
      <c r="OZO556" s="178"/>
      <c r="OZP556" s="178"/>
      <c r="OZQ556" s="178"/>
      <c r="OZR556" s="178"/>
      <c r="OZS556" s="178"/>
      <c r="OZT556" s="178"/>
      <c r="OZU556" s="178"/>
      <c r="OZV556" s="178"/>
      <c r="OZW556" s="178"/>
      <c r="OZX556" s="178"/>
      <c r="OZY556" s="178"/>
      <c r="OZZ556" s="178"/>
      <c r="PAA556" s="178"/>
      <c r="PAB556" s="178"/>
      <c r="PAC556" s="178"/>
      <c r="PAD556" s="178"/>
      <c r="PAE556" s="178"/>
      <c r="PAF556" s="178"/>
      <c r="PAG556" s="178"/>
      <c r="PAH556" s="178"/>
      <c r="PAI556" s="178"/>
      <c r="PAJ556" s="178"/>
      <c r="PAK556" s="178"/>
      <c r="PAL556" s="178"/>
      <c r="PAM556" s="178"/>
      <c r="PAN556" s="178"/>
      <c r="PAO556" s="178"/>
      <c r="PAP556" s="178"/>
      <c r="PAQ556" s="178"/>
      <c r="PAR556" s="178"/>
      <c r="PAS556" s="178"/>
      <c r="PAT556" s="178"/>
      <c r="PAU556" s="178"/>
      <c r="PAV556" s="178"/>
      <c r="PAW556" s="178"/>
      <c r="PAX556" s="178"/>
      <c r="PAY556" s="178"/>
      <c r="PAZ556" s="178"/>
      <c r="PBA556" s="178"/>
      <c r="PBB556" s="178"/>
      <c r="PBC556" s="178"/>
      <c r="PBD556" s="178"/>
      <c r="PBE556" s="178"/>
      <c r="PBF556" s="178"/>
      <c r="PBG556" s="178"/>
      <c r="PBH556" s="178"/>
      <c r="PBI556" s="178"/>
      <c r="PBJ556" s="178"/>
      <c r="PBK556" s="178"/>
      <c r="PBL556" s="178"/>
      <c r="PBM556" s="178"/>
      <c r="PBN556" s="178"/>
      <c r="PBO556" s="178"/>
      <c r="PBP556" s="178"/>
      <c r="PBQ556" s="178"/>
      <c r="PBR556" s="178"/>
      <c r="PBS556" s="178"/>
      <c r="PBT556" s="178"/>
      <c r="PBU556" s="178"/>
      <c r="PBV556" s="178"/>
      <c r="PBW556" s="178"/>
      <c r="PBX556" s="178"/>
      <c r="PBY556" s="178"/>
      <c r="PBZ556" s="178"/>
      <c r="PCA556" s="178"/>
      <c r="PCB556" s="178"/>
      <c r="PCC556" s="178"/>
      <c r="PCD556" s="178"/>
      <c r="PCE556" s="178"/>
      <c r="PCF556" s="178"/>
      <c r="PCG556" s="178"/>
      <c r="PCH556" s="178"/>
      <c r="PCI556" s="178"/>
      <c r="PCJ556" s="178"/>
      <c r="PCK556" s="178"/>
      <c r="PCL556" s="178"/>
      <c r="PCM556" s="178"/>
      <c r="PCN556" s="178"/>
      <c r="PCO556" s="178"/>
      <c r="PCP556" s="178"/>
      <c r="PCQ556" s="178"/>
      <c r="PCR556" s="178"/>
      <c r="PCS556" s="178"/>
      <c r="PCT556" s="178"/>
      <c r="PCU556" s="178"/>
      <c r="PCV556" s="178"/>
      <c r="PCW556" s="178"/>
      <c r="PCX556" s="178"/>
      <c r="PCY556" s="178"/>
      <c r="PCZ556" s="178"/>
      <c r="PDA556" s="178"/>
      <c r="PDB556" s="178"/>
      <c r="PDC556" s="178"/>
      <c r="PDD556" s="178"/>
      <c r="PDE556" s="178"/>
      <c r="PDF556" s="178"/>
      <c r="PDG556" s="178"/>
      <c r="PDH556" s="178"/>
      <c r="PDI556" s="178"/>
      <c r="PDJ556" s="178"/>
      <c r="PDK556" s="178"/>
      <c r="PDL556" s="178"/>
      <c r="PDM556" s="178"/>
      <c r="PDN556" s="178"/>
      <c r="PDO556" s="178"/>
      <c r="PDP556" s="178"/>
      <c r="PDQ556" s="178"/>
      <c r="PDR556" s="178"/>
      <c r="PDS556" s="178"/>
      <c r="PDT556" s="178"/>
      <c r="PDU556" s="178"/>
      <c r="PDV556" s="178"/>
      <c r="PDW556" s="178"/>
      <c r="PDX556" s="178"/>
      <c r="PDY556" s="178"/>
      <c r="PDZ556" s="178"/>
      <c r="PEA556" s="178"/>
      <c r="PEB556" s="178"/>
      <c r="PEC556" s="178"/>
      <c r="PED556" s="178"/>
      <c r="PEE556" s="178"/>
      <c r="PEF556" s="178"/>
      <c r="PEG556" s="178"/>
      <c r="PEH556" s="178"/>
      <c r="PEI556" s="178"/>
      <c r="PEJ556" s="178"/>
      <c r="PEK556" s="178"/>
      <c r="PEL556" s="178"/>
      <c r="PEM556" s="178"/>
      <c r="PEN556" s="178"/>
      <c r="PEO556" s="178"/>
      <c r="PEP556" s="178"/>
      <c r="PEQ556" s="178"/>
      <c r="PER556" s="178"/>
      <c r="PES556" s="178"/>
      <c r="PET556" s="178"/>
      <c r="PEU556" s="178"/>
      <c r="PEV556" s="178"/>
      <c r="PEW556" s="178"/>
      <c r="PEX556" s="178"/>
      <c r="PEY556" s="178"/>
      <c r="PEZ556" s="178"/>
      <c r="PFA556" s="178"/>
      <c r="PFB556" s="178"/>
      <c r="PFC556" s="178"/>
      <c r="PFD556" s="178"/>
      <c r="PFE556" s="178"/>
      <c r="PFF556" s="178"/>
      <c r="PFG556" s="178"/>
      <c r="PFH556" s="178"/>
      <c r="PFI556" s="178"/>
      <c r="PFJ556" s="178"/>
      <c r="PFK556" s="178"/>
      <c r="PFL556" s="178"/>
      <c r="PFM556" s="178"/>
      <c r="PFN556" s="178"/>
      <c r="PFO556" s="178"/>
      <c r="PFP556" s="178"/>
      <c r="PFQ556" s="178"/>
      <c r="PFR556" s="178"/>
      <c r="PFS556" s="178"/>
      <c r="PFT556" s="178"/>
      <c r="PFU556" s="178"/>
      <c r="PFV556" s="178"/>
      <c r="PFW556" s="178"/>
      <c r="PFX556" s="178"/>
      <c r="PFY556" s="178"/>
      <c r="PFZ556" s="178"/>
      <c r="PGA556" s="178"/>
      <c r="PGB556" s="178"/>
      <c r="PGC556" s="178"/>
      <c r="PGD556" s="178"/>
      <c r="PGE556" s="178"/>
      <c r="PGF556" s="178"/>
      <c r="PGG556" s="178"/>
      <c r="PGH556" s="178"/>
      <c r="PGI556" s="178"/>
      <c r="PGJ556" s="178"/>
      <c r="PGK556" s="178"/>
      <c r="PGL556" s="178"/>
      <c r="PGM556" s="178"/>
      <c r="PGN556" s="178"/>
      <c r="PGO556" s="178"/>
      <c r="PGP556" s="178"/>
      <c r="PGQ556" s="178"/>
      <c r="PGR556" s="178"/>
      <c r="PGS556" s="178"/>
      <c r="PGT556" s="178"/>
      <c r="PGU556" s="178"/>
      <c r="PGV556" s="178"/>
      <c r="PGW556" s="178"/>
      <c r="PGX556" s="178"/>
      <c r="PGY556" s="178"/>
      <c r="PGZ556" s="178"/>
      <c r="PHA556" s="178"/>
      <c r="PHB556" s="178"/>
      <c r="PHC556" s="178"/>
      <c r="PHD556" s="178"/>
      <c r="PHE556" s="178"/>
      <c r="PHF556" s="178"/>
      <c r="PHG556" s="178"/>
      <c r="PHH556" s="178"/>
      <c r="PHI556" s="178"/>
      <c r="PHJ556" s="178"/>
      <c r="PHK556" s="178"/>
      <c r="PHL556" s="178"/>
      <c r="PHM556" s="178"/>
      <c r="PHN556" s="178"/>
      <c r="PHO556" s="178"/>
      <c r="PHP556" s="178"/>
      <c r="PHQ556" s="178"/>
      <c r="PHR556" s="178"/>
      <c r="PHS556" s="178"/>
      <c r="PHT556" s="178"/>
      <c r="PHU556" s="178"/>
      <c r="PHV556" s="178"/>
      <c r="PHW556" s="178"/>
      <c r="PHX556" s="178"/>
      <c r="PHY556" s="178"/>
      <c r="PHZ556" s="178"/>
      <c r="PIA556" s="178"/>
      <c r="PIB556" s="178"/>
      <c r="PIC556" s="178"/>
      <c r="PID556" s="178"/>
      <c r="PIE556" s="178"/>
      <c r="PIF556" s="178"/>
      <c r="PIG556" s="178"/>
      <c r="PIH556" s="178"/>
      <c r="PII556" s="178"/>
      <c r="PIJ556" s="178"/>
      <c r="PIK556" s="178"/>
      <c r="PIL556" s="178"/>
      <c r="PIM556" s="178"/>
      <c r="PIN556" s="178"/>
      <c r="PIO556" s="178"/>
      <c r="PIP556" s="178"/>
      <c r="PIQ556" s="178"/>
      <c r="PIR556" s="178"/>
      <c r="PIS556" s="178"/>
      <c r="PIT556" s="178"/>
      <c r="PIU556" s="178"/>
      <c r="PIV556" s="178"/>
      <c r="PIW556" s="178"/>
      <c r="PIX556" s="178"/>
      <c r="PIY556" s="178"/>
      <c r="PIZ556" s="178"/>
      <c r="PJA556" s="178"/>
      <c r="PJB556" s="178"/>
      <c r="PJC556" s="178"/>
      <c r="PJD556" s="178"/>
      <c r="PJE556" s="178"/>
      <c r="PJF556" s="178"/>
      <c r="PJG556" s="178"/>
      <c r="PJH556" s="178"/>
      <c r="PJI556" s="178"/>
      <c r="PJJ556" s="178"/>
      <c r="PJK556" s="178"/>
      <c r="PJL556" s="178"/>
      <c r="PJM556" s="178"/>
      <c r="PJN556" s="178"/>
      <c r="PJO556" s="178"/>
      <c r="PJP556" s="178"/>
      <c r="PJQ556" s="178"/>
      <c r="PJR556" s="178"/>
      <c r="PJS556" s="178"/>
      <c r="PJT556" s="178"/>
      <c r="PJU556" s="178"/>
      <c r="PJV556" s="178"/>
      <c r="PJW556" s="178"/>
      <c r="PJX556" s="178"/>
      <c r="PJY556" s="178"/>
      <c r="PJZ556" s="178"/>
      <c r="PKA556" s="178"/>
      <c r="PKB556" s="178"/>
      <c r="PKC556" s="178"/>
      <c r="PKD556" s="178"/>
      <c r="PKE556" s="178"/>
      <c r="PKF556" s="178"/>
      <c r="PKG556" s="178"/>
      <c r="PKH556" s="178"/>
      <c r="PKI556" s="178"/>
      <c r="PKJ556" s="178"/>
      <c r="PKK556" s="178"/>
      <c r="PKL556" s="178"/>
      <c r="PKM556" s="178"/>
      <c r="PKN556" s="178"/>
      <c r="PKO556" s="178"/>
      <c r="PKP556" s="178"/>
      <c r="PKQ556" s="178"/>
      <c r="PKR556" s="178"/>
      <c r="PKS556" s="178"/>
      <c r="PKT556" s="178"/>
      <c r="PKU556" s="178"/>
      <c r="PKV556" s="178"/>
      <c r="PKW556" s="178"/>
      <c r="PKX556" s="178"/>
      <c r="PKY556" s="178"/>
      <c r="PKZ556" s="178"/>
      <c r="PLA556" s="178"/>
      <c r="PLB556" s="178"/>
      <c r="PLC556" s="178"/>
      <c r="PLD556" s="178"/>
      <c r="PLE556" s="178"/>
      <c r="PLF556" s="178"/>
      <c r="PLG556" s="178"/>
      <c r="PLH556" s="178"/>
      <c r="PLI556" s="178"/>
      <c r="PLJ556" s="178"/>
      <c r="PLK556" s="178"/>
      <c r="PLL556" s="178"/>
      <c r="PLM556" s="178"/>
      <c r="PLN556" s="178"/>
      <c r="PLO556" s="178"/>
      <c r="PLP556" s="178"/>
      <c r="PLQ556" s="178"/>
      <c r="PLR556" s="178"/>
      <c r="PLS556" s="178"/>
      <c r="PLT556" s="178"/>
      <c r="PLU556" s="178"/>
      <c r="PLV556" s="178"/>
      <c r="PLW556" s="178"/>
      <c r="PLX556" s="178"/>
      <c r="PLY556" s="178"/>
      <c r="PLZ556" s="178"/>
      <c r="PMA556" s="178"/>
      <c r="PMB556" s="178"/>
      <c r="PMC556" s="178"/>
      <c r="PMD556" s="178"/>
      <c r="PME556" s="178"/>
      <c r="PMF556" s="178"/>
      <c r="PMG556" s="178"/>
      <c r="PMH556" s="178"/>
      <c r="PMI556" s="178"/>
      <c r="PMJ556" s="178"/>
      <c r="PMK556" s="178"/>
      <c r="PML556" s="178"/>
      <c r="PMM556" s="178"/>
      <c r="PMN556" s="178"/>
      <c r="PMO556" s="178"/>
      <c r="PMP556" s="178"/>
      <c r="PMQ556" s="178"/>
      <c r="PMR556" s="178"/>
      <c r="PMS556" s="178"/>
      <c r="PMT556" s="178"/>
      <c r="PMU556" s="178"/>
      <c r="PMV556" s="178"/>
      <c r="PMW556" s="178"/>
      <c r="PMX556" s="178"/>
      <c r="PMY556" s="178"/>
      <c r="PMZ556" s="178"/>
      <c r="PNA556" s="178"/>
      <c r="PNB556" s="178"/>
      <c r="PNC556" s="178"/>
      <c r="PND556" s="178"/>
      <c r="PNE556" s="178"/>
      <c r="PNF556" s="178"/>
      <c r="PNG556" s="178"/>
      <c r="PNH556" s="178"/>
      <c r="PNI556" s="178"/>
      <c r="PNJ556" s="178"/>
      <c r="PNK556" s="178"/>
      <c r="PNL556" s="178"/>
      <c r="PNM556" s="178"/>
      <c r="PNN556" s="178"/>
      <c r="PNO556" s="178"/>
      <c r="PNP556" s="178"/>
      <c r="PNQ556" s="178"/>
      <c r="PNR556" s="178"/>
      <c r="PNS556" s="178"/>
      <c r="PNT556" s="178"/>
      <c r="PNU556" s="178"/>
      <c r="PNV556" s="178"/>
      <c r="PNW556" s="178"/>
      <c r="PNX556" s="178"/>
      <c r="PNY556" s="178"/>
      <c r="PNZ556" s="178"/>
      <c r="POA556" s="178"/>
      <c r="POB556" s="178"/>
      <c r="POC556" s="178"/>
      <c r="POD556" s="178"/>
      <c r="POE556" s="178"/>
      <c r="POF556" s="178"/>
      <c r="POG556" s="178"/>
      <c r="POH556" s="178"/>
      <c r="POI556" s="178"/>
      <c r="POJ556" s="178"/>
      <c r="POK556" s="178"/>
      <c r="POL556" s="178"/>
      <c r="POM556" s="178"/>
      <c r="PON556" s="178"/>
      <c r="POO556" s="178"/>
      <c r="POP556" s="178"/>
      <c r="POQ556" s="178"/>
      <c r="POR556" s="178"/>
      <c r="POS556" s="178"/>
      <c r="POT556" s="178"/>
      <c r="POU556" s="178"/>
      <c r="POV556" s="178"/>
      <c r="POW556" s="178"/>
      <c r="POX556" s="178"/>
      <c r="POY556" s="178"/>
      <c r="POZ556" s="178"/>
      <c r="PPA556" s="178"/>
      <c r="PPB556" s="178"/>
      <c r="PPC556" s="178"/>
      <c r="PPD556" s="178"/>
      <c r="PPE556" s="178"/>
      <c r="PPF556" s="178"/>
      <c r="PPG556" s="178"/>
      <c r="PPH556" s="178"/>
      <c r="PPI556" s="178"/>
      <c r="PPJ556" s="178"/>
      <c r="PPK556" s="178"/>
      <c r="PPL556" s="178"/>
      <c r="PPM556" s="178"/>
      <c r="PPN556" s="178"/>
      <c r="PPO556" s="178"/>
      <c r="PPP556" s="178"/>
      <c r="PPQ556" s="178"/>
      <c r="PPR556" s="178"/>
      <c r="PPS556" s="178"/>
      <c r="PPT556" s="178"/>
      <c r="PPU556" s="178"/>
      <c r="PPV556" s="178"/>
      <c r="PPW556" s="178"/>
      <c r="PPX556" s="178"/>
      <c r="PPY556" s="178"/>
      <c r="PPZ556" s="178"/>
      <c r="PQA556" s="178"/>
      <c r="PQB556" s="178"/>
      <c r="PQC556" s="178"/>
      <c r="PQD556" s="178"/>
      <c r="PQE556" s="178"/>
      <c r="PQF556" s="178"/>
      <c r="PQG556" s="178"/>
      <c r="PQH556" s="178"/>
      <c r="PQI556" s="178"/>
      <c r="PQJ556" s="178"/>
      <c r="PQK556" s="178"/>
      <c r="PQL556" s="178"/>
      <c r="PQM556" s="178"/>
      <c r="PQN556" s="178"/>
      <c r="PQO556" s="178"/>
      <c r="PQP556" s="178"/>
      <c r="PQQ556" s="178"/>
      <c r="PQR556" s="178"/>
      <c r="PQS556" s="178"/>
      <c r="PQT556" s="178"/>
      <c r="PQU556" s="178"/>
      <c r="PQV556" s="178"/>
      <c r="PQW556" s="178"/>
      <c r="PQX556" s="178"/>
      <c r="PQY556" s="178"/>
      <c r="PQZ556" s="178"/>
      <c r="PRA556" s="178"/>
      <c r="PRB556" s="178"/>
      <c r="PRC556" s="178"/>
      <c r="PRD556" s="178"/>
      <c r="PRE556" s="178"/>
      <c r="PRF556" s="178"/>
      <c r="PRG556" s="178"/>
      <c r="PRH556" s="178"/>
      <c r="PRI556" s="178"/>
      <c r="PRJ556" s="178"/>
      <c r="PRK556" s="178"/>
      <c r="PRL556" s="178"/>
      <c r="PRM556" s="178"/>
      <c r="PRN556" s="178"/>
      <c r="PRO556" s="178"/>
      <c r="PRP556" s="178"/>
      <c r="PRQ556" s="178"/>
      <c r="PRR556" s="178"/>
      <c r="PRS556" s="178"/>
      <c r="PRT556" s="178"/>
      <c r="PRU556" s="178"/>
      <c r="PRV556" s="178"/>
      <c r="PRW556" s="178"/>
      <c r="PRX556" s="178"/>
      <c r="PRY556" s="178"/>
      <c r="PRZ556" s="178"/>
      <c r="PSA556" s="178"/>
      <c r="PSB556" s="178"/>
      <c r="PSC556" s="178"/>
      <c r="PSD556" s="178"/>
      <c r="PSE556" s="178"/>
      <c r="PSF556" s="178"/>
      <c r="PSG556" s="178"/>
      <c r="PSH556" s="178"/>
      <c r="PSI556" s="178"/>
      <c r="PSJ556" s="178"/>
      <c r="PSK556" s="178"/>
      <c r="PSL556" s="178"/>
      <c r="PSM556" s="178"/>
      <c r="PSN556" s="178"/>
      <c r="PSO556" s="178"/>
      <c r="PSP556" s="178"/>
      <c r="PSQ556" s="178"/>
      <c r="PSR556" s="178"/>
      <c r="PSS556" s="178"/>
      <c r="PST556" s="178"/>
      <c r="PSU556" s="178"/>
      <c r="PSV556" s="178"/>
      <c r="PSW556" s="178"/>
      <c r="PSX556" s="178"/>
      <c r="PSY556" s="178"/>
      <c r="PSZ556" s="178"/>
      <c r="PTA556" s="178"/>
      <c r="PTB556" s="178"/>
      <c r="PTC556" s="178"/>
      <c r="PTD556" s="178"/>
      <c r="PTE556" s="178"/>
      <c r="PTF556" s="178"/>
      <c r="PTG556" s="178"/>
      <c r="PTH556" s="178"/>
      <c r="PTI556" s="178"/>
      <c r="PTJ556" s="178"/>
      <c r="PTK556" s="178"/>
      <c r="PTL556" s="178"/>
      <c r="PTM556" s="178"/>
      <c r="PTN556" s="178"/>
      <c r="PTO556" s="178"/>
      <c r="PTP556" s="178"/>
      <c r="PTQ556" s="178"/>
      <c r="PTR556" s="178"/>
      <c r="PTS556" s="178"/>
      <c r="PTT556" s="178"/>
      <c r="PTU556" s="178"/>
      <c r="PTV556" s="178"/>
      <c r="PTW556" s="178"/>
      <c r="PTX556" s="178"/>
      <c r="PTY556" s="178"/>
      <c r="PTZ556" s="178"/>
      <c r="PUA556" s="178"/>
      <c r="PUB556" s="178"/>
      <c r="PUC556" s="178"/>
      <c r="PUD556" s="178"/>
      <c r="PUE556" s="178"/>
      <c r="PUF556" s="178"/>
      <c r="PUG556" s="178"/>
      <c r="PUH556" s="178"/>
      <c r="PUI556" s="178"/>
      <c r="PUJ556" s="178"/>
      <c r="PUK556" s="178"/>
      <c r="PUL556" s="178"/>
      <c r="PUM556" s="178"/>
      <c r="PUN556" s="178"/>
      <c r="PUO556" s="178"/>
      <c r="PUP556" s="178"/>
      <c r="PUQ556" s="178"/>
      <c r="PUR556" s="178"/>
      <c r="PUS556" s="178"/>
      <c r="PUT556" s="178"/>
      <c r="PUU556" s="178"/>
      <c r="PUV556" s="178"/>
      <c r="PUW556" s="178"/>
      <c r="PUX556" s="178"/>
      <c r="PUY556" s="178"/>
      <c r="PUZ556" s="178"/>
      <c r="PVA556" s="178"/>
      <c r="PVB556" s="178"/>
      <c r="PVC556" s="178"/>
      <c r="PVD556" s="178"/>
      <c r="PVE556" s="178"/>
      <c r="PVF556" s="178"/>
      <c r="PVG556" s="178"/>
      <c r="PVH556" s="178"/>
      <c r="PVI556" s="178"/>
      <c r="PVJ556" s="178"/>
      <c r="PVK556" s="178"/>
      <c r="PVL556" s="178"/>
      <c r="PVM556" s="178"/>
      <c r="PVN556" s="178"/>
      <c r="PVO556" s="178"/>
      <c r="PVP556" s="178"/>
      <c r="PVQ556" s="178"/>
      <c r="PVR556" s="178"/>
      <c r="PVS556" s="178"/>
      <c r="PVT556" s="178"/>
      <c r="PVU556" s="178"/>
      <c r="PVV556" s="178"/>
      <c r="PVW556" s="178"/>
      <c r="PVX556" s="178"/>
      <c r="PVY556" s="178"/>
      <c r="PVZ556" s="178"/>
      <c r="PWA556" s="178"/>
      <c r="PWB556" s="178"/>
      <c r="PWC556" s="178"/>
      <c r="PWD556" s="178"/>
      <c r="PWE556" s="178"/>
      <c r="PWF556" s="178"/>
      <c r="PWG556" s="178"/>
      <c r="PWH556" s="178"/>
      <c r="PWI556" s="178"/>
      <c r="PWJ556" s="178"/>
      <c r="PWK556" s="178"/>
      <c r="PWL556" s="178"/>
      <c r="PWM556" s="178"/>
      <c r="PWN556" s="178"/>
      <c r="PWO556" s="178"/>
      <c r="PWP556" s="178"/>
      <c r="PWQ556" s="178"/>
      <c r="PWR556" s="178"/>
      <c r="PWS556" s="178"/>
      <c r="PWT556" s="178"/>
      <c r="PWU556" s="178"/>
      <c r="PWV556" s="178"/>
      <c r="PWW556" s="178"/>
      <c r="PWX556" s="178"/>
      <c r="PWY556" s="178"/>
      <c r="PWZ556" s="178"/>
      <c r="PXA556" s="178"/>
      <c r="PXB556" s="178"/>
      <c r="PXC556" s="178"/>
      <c r="PXD556" s="178"/>
      <c r="PXE556" s="178"/>
      <c r="PXF556" s="178"/>
      <c r="PXG556" s="178"/>
      <c r="PXH556" s="178"/>
      <c r="PXI556" s="178"/>
      <c r="PXJ556" s="178"/>
      <c r="PXK556" s="178"/>
      <c r="PXL556" s="178"/>
      <c r="PXM556" s="178"/>
      <c r="PXN556" s="178"/>
      <c r="PXO556" s="178"/>
      <c r="PXP556" s="178"/>
      <c r="PXQ556" s="178"/>
      <c r="PXR556" s="178"/>
      <c r="PXS556" s="178"/>
      <c r="PXT556" s="178"/>
      <c r="PXU556" s="178"/>
      <c r="PXV556" s="178"/>
      <c r="PXW556" s="178"/>
      <c r="PXX556" s="178"/>
      <c r="PXY556" s="178"/>
      <c r="PXZ556" s="178"/>
      <c r="PYA556" s="178"/>
      <c r="PYB556" s="178"/>
      <c r="PYC556" s="178"/>
      <c r="PYD556" s="178"/>
      <c r="PYE556" s="178"/>
      <c r="PYF556" s="178"/>
      <c r="PYG556" s="178"/>
      <c r="PYH556" s="178"/>
      <c r="PYI556" s="178"/>
      <c r="PYJ556" s="178"/>
      <c r="PYK556" s="178"/>
      <c r="PYL556" s="178"/>
      <c r="PYM556" s="178"/>
      <c r="PYN556" s="178"/>
      <c r="PYO556" s="178"/>
      <c r="PYP556" s="178"/>
      <c r="PYQ556" s="178"/>
      <c r="PYR556" s="178"/>
      <c r="PYS556" s="178"/>
      <c r="PYT556" s="178"/>
      <c r="PYU556" s="178"/>
      <c r="PYV556" s="178"/>
      <c r="PYW556" s="178"/>
      <c r="PYX556" s="178"/>
      <c r="PYY556" s="178"/>
      <c r="PYZ556" s="178"/>
      <c r="PZA556" s="178"/>
      <c r="PZB556" s="178"/>
      <c r="PZC556" s="178"/>
      <c r="PZD556" s="178"/>
      <c r="PZE556" s="178"/>
      <c r="PZF556" s="178"/>
      <c r="PZG556" s="178"/>
      <c r="PZH556" s="178"/>
      <c r="PZI556" s="178"/>
      <c r="PZJ556" s="178"/>
      <c r="PZK556" s="178"/>
      <c r="PZL556" s="178"/>
      <c r="PZM556" s="178"/>
      <c r="PZN556" s="178"/>
      <c r="PZO556" s="178"/>
      <c r="PZP556" s="178"/>
      <c r="PZQ556" s="178"/>
      <c r="PZR556" s="178"/>
      <c r="PZS556" s="178"/>
      <c r="PZT556" s="178"/>
      <c r="PZU556" s="178"/>
      <c r="PZV556" s="178"/>
      <c r="PZW556" s="178"/>
      <c r="PZX556" s="178"/>
      <c r="PZY556" s="178"/>
      <c r="PZZ556" s="178"/>
      <c r="QAA556" s="178"/>
      <c r="QAB556" s="178"/>
      <c r="QAC556" s="178"/>
      <c r="QAD556" s="178"/>
      <c r="QAE556" s="178"/>
      <c r="QAF556" s="178"/>
      <c r="QAG556" s="178"/>
      <c r="QAH556" s="178"/>
      <c r="QAI556" s="178"/>
      <c r="QAJ556" s="178"/>
      <c r="QAK556" s="178"/>
      <c r="QAL556" s="178"/>
      <c r="QAM556" s="178"/>
      <c r="QAN556" s="178"/>
      <c r="QAO556" s="178"/>
      <c r="QAP556" s="178"/>
      <c r="QAQ556" s="178"/>
      <c r="QAR556" s="178"/>
      <c r="QAS556" s="178"/>
      <c r="QAT556" s="178"/>
      <c r="QAU556" s="178"/>
      <c r="QAV556" s="178"/>
      <c r="QAW556" s="178"/>
      <c r="QAX556" s="178"/>
      <c r="QAY556" s="178"/>
      <c r="QAZ556" s="178"/>
      <c r="QBA556" s="178"/>
      <c r="QBB556" s="178"/>
      <c r="QBC556" s="178"/>
      <c r="QBD556" s="178"/>
      <c r="QBE556" s="178"/>
      <c r="QBF556" s="178"/>
      <c r="QBG556" s="178"/>
      <c r="QBH556" s="178"/>
      <c r="QBI556" s="178"/>
      <c r="QBJ556" s="178"/>
      <c r="QBK556" s="178"/>
      <c r="QBL556" s="178"/>
      <c r="QBM556" s="178"/>
      <c r="QBN556" s="178"/>
      <c r="QBO556" s="178"/>
      <c r="QBP556" s="178"/>
      <c r="QBQ556" s="178"/>
      <c r="QBR556" s="178"/>
      <c r="QBS556" s="178"/>
      <c r="QBT556" s="178"/>
      <c r="QBU556" s="178"/>
      <c r="QBV556" s="178"/>
      <c r="QBW556" s="178"/>
      <c r="QBX556" s="178"/>
      <c r="QBY556" s="178"/>
      <c r="QBZ556" s="178"/>
      <c r="QCA556" s="178"/>
      <c r="QCB556" s="178"/>
      <c r="QCC556" s="178"/>
      <c r="QCD556" s="178"/>
      <c r="QCE556" s="178"/>
      <c r="QCF556" s="178"/>
      <c r="QCG556" s="178"/>
      <c r="QCH556" s="178"/>
      <c r="QCI556" s="178"/>
      <c r="QCJ556" s="178"/>
      <c r="QCK556" s="178"/>
      <c r="QCL556" s="178"/>
      <c r="QCM556" s="178"/>
      <c r="QCN556" s="178"/>
      <c r="QCO556" s="178"/>
      <c r="QCP556" s="178"/>
      <c r="QCQ556" s="178"/>
      <c r="QCR556" s="178"/>
      <c r="QCS556" s="178"/>
      <c r="QCT556" s="178"/>
      <c r="QCU556" s="178"/>
      <c r="QCV556" s="178"/>
      <c r="QCW556" s="178"/>
      <c r="QCX556" s="178"/>
      <c r="QCY556" s="178"/>
      <c r="QCZ556" s="178"/>
      <c r="QDA556" s="178"/>
      <c r="QDB556" s="178"/>
      <c r="QDC556" s="178"/>
      <c r="QDD556" s="178"/>
      <c r="QDE556" s="178"/>
      <c r="QDF556" s="178"/>
      <c r="QDG556" s="178"/>
      <c r="QDH556" s="178"/>
      <c r="QDI556" s="178"/>
      <c r="QDJ556" s="178"/>
      <c r="QDK556" s="178"/>
      <c r="QDL556" s="178"/>
      <c r="QDM556" s="178"/>
      <c r="QDN556" s="178"/>
      <c r="QDO556" s="178"/>
      <c r="QDP556" s="178"/>
      <c r="QDQ556" s="178"/>
      <c r="QDR556" s="178"/>
      <c r="QDS556" s="178"/>
      <c r="QDT556" s="178"/>
      <c r="QDU556" s="178"/>
      <c r="QDV556" s="178"/>
      <c r="QDW556" s="178"/>
      <c r="QDX556" s="178"/>
      <c r="QDY556" s="178"/>
      <c r="QDZ556" s="178"/>
      <c r="QEA556" s="178"/>
      <c r="QEB556" s="178"/>
      <c r="QEC556" s="178"/>
      <c r="QED556" s="178"/>
      <c r="QEE556" s="178"/>
      <c r="QEF556" s="178"/>
      <c r="QEG556" s="178"/>
      <c r="QEH556" s="178"/>
      <c r="QEI556" s="178"/>
      <c r="QEJ556" s="178"/>
      <c r="QEK556" s="178"/>
      <c r="QEL556" s="178"/>
      <c r="QEM556" s="178"/>
      <c r="QEN556" s="178"/>
      <c r="QEO556" s="178"/>
      <c r="QEP556" s="178"/>
      <c r="QEQ556" s="178"/>
      <c r="QER556" s="178"/>
      <c r="QES556" s="178"/>
      <c r="QET556" s="178"/>
      <c r="QEU556" s="178"/>
      <c r="QEV556" s="178"/>
      <c r="QEW556" s="178"/>
      <c r="QEX556" s="178"/>
      <c r="QEY556" s="178"/>
      <c r="QEZ556" s="178"/>
      <c r="QFA556" s="178"/>
      <c r="QFB556" s="178"/>
      <c r="QFC556" s="178"/>
      <c r="QFD556" s="178"/>
      <c r="QFE556" s="178"/>
      <c r="QFF556" s="178"/>
      <c r="QFG556" s="178"/>
      <c r="QFH556" s="178"/>
      <c r="QFI556" s="178"/>
      <c r="QFJ556" s="178"/>
      <c r="QFK556" s="178"/>
      <c r="QFL556" s="178"/>
      <c r="QFM556" s="178"/>
      <c r="QFN556" s="178"/>
      <c r="QFO556" s="178"/>
      <c r="QFP556" s="178"/>
      <c r="QFQ556" s="178"/>
      <c r="QFR556" s="178"/>
      <c r="QFS556" s="178"/>
      <c r="QFT556" s="178"/>
      <c r="QFU556" s="178"/>
      <c r="QFV556" s="178"/>
      <c r="QFW556" s="178"/>
      <c r="QFX556" s="178"/>
      <c r="QFY556" s="178"/>
      <c r="QFZ556" s="178"/>
      <c r="QGA556" s="178"/>
      <c r="QGB556" s="178"/>
      <c r="QGC556" s="178"/>
      <c r="QGD556" s="178"/>
      <c r="QGE556" s="178"/>
      <c r="QGF556" s="178"/>
      <c r="QGG556" s="178"/>
      <c r="QGH556" s="178"/>
      <c r="QGI556" s="178"/>
      <c r="QGJ556" s="178"/>
      <c r="QGK556" s="178"/>
      <c r="QGL556" s="178"/>
      <c r="QGM556" s="178"/>
      <c r="QGN556" s="178"/>
      <c r="QGO556" s="178"/>
      <c r="QGP556" s="178"/>
      <c r="QGQ556" s="178"/>
      <c r="QGR556" s="178"/>
      <c r="QGS556" s="178"/>
      <c r="QGT556" s="178"/>
      <c r="QGU556" s="178"/>
      <c r="QGV556" s="178"/>
      <c r="QGW556" s="178"/>
      <c r="QGX556" s="178"/>
      <c r="QGY556" s="178"/>
      <c r="QGZ556" s="178"/>
      <c r="QHA556" s="178"/>
      <c r="QHB556" s="178"/>
      <c r="QHC556" s="178"/>
      <c r="QHD556" s="178"/>
      <c r="QHE556" s="178"/>
      <c r="QHF556" s="178"/>
      <c r="QHG556" s="178"/>
      <c r="QHH556" s="178"/>
      <c r="QHI556" s="178"/>
      <c r="QHJ556" s="178"/>
      <c r="QHK556" s="178"/>
      <c r="QHL556" s="178"/>
      <c r="QHM556" s="178"/>
      <c r="QHN556" s="178"/>
      <c r="QHO556" s="178"/>
      <c r="QHP556" s="178"/>
      <c r="QHQ556" s="178"/>
      <c r="QHR556" s="178"/>
      <c r="QHS556" s="178"/>
      <c r="QHT556" s="178"/>
      <c r="QHU556" s="178"/>
      <c r="QHV556" s="178"/>
      <c r="QHW556" s="178"/>
      <c r="QHX556" s="178"/>
      <c r="QHY556" s="178"/>
      <c r="QHZ556" s="178"/>
      <c r="QIA556" s="178"/>
      <c r="QIB556" s="178"/>
      <c r="QIC556" s="178"/>
      <c r="QID556" s="178"/>
      <c r="QIE556" s="178"/>
      <c r="QIF556" s="178"/>
      <c r="QIG556" s="178"/>
      <c r="QIH556" s="178"/>
      <c r="QII556" s="178"/>
      <c r="QIJ556" s="178"/>
      <c r="QIK556" s="178"/>
      <c r="QIL556" s="178"/>
      <c r="QIM556" s="178"/>
      <c r="QIN556" s="178"/>
      <c r="QIO556" s="178"/>
      <c r="QIP556" s="178"/>
      <c r="QIQ556" s="178"/>
      <c r="QIR556" s="178"/>
      <c r="QIS556" s="178"/>
      <c r="QIT556" s="178"/>
      <c r="QIU556" s="178"/>
      <c r="QIV556" s="178"/>
      <c r="QIW556" s="178"/>
      <c r="QIX556" s="178"/>
      <c r="QIY556" s="178"/>
      <c r="QIZ556" s="178"/>
      <c r="QJA556" s="178"/>
      <c r="QJB556" s="178"/>
      <c r="QJC556" s="178"/>
      <c r="QJD556" s="178"/>
      <c r="QJE556" s="178"/>
      <c r="QJF556" s="178"/>
      <c r="QJG556" s="178"/>
      <c r="QJH556" s="178"/>
      <c r="QJI556" s="178"/>
      <c r="QJJ556" s="178"/>
      <c r="QJK556" s="178"/>
      <c r="QJL556" s="178"/>
      <c r="QJM556" s="178"/>
      <c r="QJN556" s="178"/>
      <c r="QJO556" s="178"/>
      <c r="QJP556" s="178"/>
      <c r="QJQ556" s="178"/>
      <c r="QJR556" s="178"/>
      <c r="QJS556" s="178"/>
      <c r="QJT556" s="178"/>
      <c r="QJU556" s="178"/>
      <c r="QJV556" s="178"/>
      <c r="QJW556" s="178"/>
      <c r="QJX556" s="178"/>
      <c r="QJY556" s="178"/>
      <c r="QJZ556" s="178"/>
      <c r="QKA556" s="178"/>
      <c r="QKB556" s="178"/>
      <c r="QKC556" s="178"/>
      <c r="QKD556" s="178"/>
      <c r="QKE556" s="178"/>
      <c r="QKF556" s="178"/>
      <c r="QKG556" s="178"/>
      <c r="QKH556" s="178"/>
      <c r="QKI556" s="178"/>
      <c r="QKJ556" s="178"/>
      <c r="QKK556" s="178"/>
      <c r="QKL556" s="178"/>
      <c r="QKM556" s="178"/>
      <c r="QKN556" s="178"/>
      <c r="QKO556" s="178"/>
      <c r="QKP556" s="178"/>
      <c r="QKQ556" s="178"/>
      <c r="QKR556" s="178"/>
      <c r="QKS556" s="178"/>
      <c r="QKT556" s="178"/>
      <c r="QKU556" s="178"/>
      <c r="QKV556" s="178"/>
      <c r="QKW556" s="178"/>
      <c r="QKX556" s="178"/>
      <c r="QKY556" s="178"/>
      <c r="QKZ556" s="178"/>
      <c r="QLA556" s="178"/>
      <c r="QLB556" s="178"/>
      <c r="QLC556" s="178"/>
      <c r="QLD556" s="178"/>
      <c r="QLE556" s="178"/>
      <c r="QLF556" s="178"/>
      <c r="QLG556" s="178"/>
      <c r="QLH556" s="178"/>
      <c r="QLI556" s="178"/>
      <c r="QLJ556" s="178"/>
      <c r="QLK556" s="178"/>
      <c r="QLL556" s="178"/>
      <c r="QLM556" s="178"/>
      <c r="QLN556" s="178"/>
      <c r="QLO556" s="178"/>
      <c r="QLP556" s="178"/>
      <c r="QLQ556" s="178"/>
      <c r="QLR556" s="178"/>
      <c r="QLS556" s="178"/>
      <c r="QLT556" s="178"/>
      <c r="QLU556" s="178"/>
      <c r="QLV556" s="178"/>
      <c r="QLW556" s="178"/>
      <c r="QLX556" s="178"/>
      <c r="QLY556" s="178"/>
      <c r="QLZ556" s="178"/>
      <c r="QMA556" s="178"/>
      <c r="QMB556" s="178"/>
      <c r="QMC556" s="178"/>
      <c r="QMD556" s="178"/>
      <c r="QME556" s="178"/>
      <c r="QMF556" s="178"/>
      <c r="QMG556" s="178"/>
      <c r="QMH556" s="178"/>
      <c r="QMI556" s="178"/>
      <c r="QMJ556" s="178"/>
      <c r="QMK556" s="178"/>
      <c r="QML556" s="178"/>
      <c r="QMM556" s="178"/>
      <c r="QMN556" s="178"/>
      <c r="QMO556" s="178"/>
      <c r="QMP556" s="178"/>
      <c r="QMQ556" s="178"/>
      <c r="QMR556" s="178"/>
      <c r="QMS556" s="178"/>
      <c r="QMT556" s="178"/>
      <c r="QMU556" s="178"/>
      <c r="QMV556" s="178"/>
      <c r="QMW556" s="178"/>
      <c r="QMX556" s="178"/>
      <c r="QMY556" s="178"/>
      <c r="QMZ556" s="178"/>
      <c r="QNA556" s="178"/>
      <c r="QNB556" s="178"/>
      <c r="QNC556" s="178"/>
      <c r="QND556" s="178"/>
      <c r="QNE556" s="178"/>
      <c r="QNF556" s="178"/>
      <c r="QNG556" s="178"/>
      <c r="QNH556" s="178"/>
      <c r="QNI556" s="178"/>
      <c r="QNJ556" s="178"/>
      <c r="QNK556" s="178"/>
      <c r="QNL556" s="178"/>
      <c r="QNM556" s="178"/>
      <c r="QNN556" s="178"/>
      <c r="QNO556" s="178"/>
      <c r="QNP556" s="178"/>
      <c r="QNQ556" s="178"/>
      <c r="QNR556" s="178"/>
      <c r="QNS556" s="178"/>
      <c r="QNT556" s="178"/>
      <c r="QNU556" s="178"/>
      <c r="QNV556" s="178"/>
      <c r="QNW556" s="178"/>
      <c r="QNX556" s="178"/>
      <c r="QNY556" s="178"/>
      <c r="QNZ556" s="178"/>
      <c r="QOA556" s="178"/>
      <c r="QOB556" s="178"/>
      <c r="QOC556" s="178"/>
      <c r="QOD556" s="178"/>
      <c r="QOE556" s="178"/>
      <c r="QOF556" s="178"/>
      <c r="QOG556" s="178"/>
      <c r="QOH556" s="178"/>
      <c r="QOI556" s="178"/>
      <c r="QOJ556" s="178"/>
      <c r="QOK556" s="178"/>
      <c r="QOL556" s="178"/>
      <c r="QOM556" s="178"/>
      <c r="QON556" s="178"/>
      <c r="QOO556" s="178"/>
      <c r="QOP556" s="178"/>
      <c r="QOQ556" s="178"/>
      <c r="QOR556" s="178"/>
      <c r="QOS556" s="178"/>
      <c r="QOT556" s="178"/>
      <c r="QOU556" s="178"/>
      <c r="QOV556" s="178"/>
      <c r="QOW556" s="178"/>
      <c r="QOX556" s="178"/>
      <c r="QOY556" s="178"/>
      <c r="QOZ556" s="178"/>
      <c r="QPA556" s="178"/>
      <c r="QPB556" s="178"/>
      <c r="QPC556" s="178"/>
      <c r="QPD556" s="178"/>
      <c r="QPE556" s="178"/>
      <c r="QPF556" s="178"/>
      <c r="QPG556" s="178"/>
      <c r="QPH556" s="178"/>
      <c r="QPI556" s="178"/>
      <c r="QPJ556" s="178"/>
      <c r="QPK556" s="178"/>
      <c r="QPL556" s="178"/>
      <c r="QPM556" s="178"/>
      <c r="QPN556" s="178"/>
      <c r="QPO556" s="178"/>
      <c r="QPP556" s="178"/>
      <c r="QPQ556" s="178"/>
      <c r="QPR556" s="178"/>
      <c r="QPS556" s="178"/>
      <c r="QPT556" s="178"/>
      <c r="QPU556" s="178"/>
      <c r="QPV556" s="178"/>
      <c r="QPW556" s="178"/>
      <c r="QPX556" s="178"/>
      <c r="QPY556" s="178"/>
      <c r="QPZ556" s="178"/>
      <c r="QQA556" s="178"/>
      <c r="QQB556" s="178"/>
      <c r="QQC556" s="178"/>
      <c r="QQD556" s="178"/>
      <c r="QQE556" s="178"/>
      <c r="QQF556" s="178"/>
      <c r="QQG556" s="178"/>
      <c r="QQH556" s="178"/>
      <c r="QQI556" s="178"/>
      <c r="QQJ556" s="178"/>
      <c r="QQK556" s="178"/>
      <c r="QQL556" s="178"/>
      <c r="QQM556" s="178"/>
      <c r="QQN556" s="178"/>
      <c r="QQO556" s="178"/>
      <c r="QQP556" s="178"/>
      <c r="QQQ556" s="178"/>
      <c r="QQR556" s="178"/>
      <c r="QQS556" s="178"/>
      <c r="QQT556" s="178"/>
      <c r="QQU556" s="178"/>
      <c r="QQV556" s="178"/>
      <c r="QQW556" s="178"/>
      <c r="QQX556" s="178"/>
      <c r="QQY556" s="178"/>
      <c r="QQZ556" s="178"/>
      <c r="QRA556" s="178"/>
      <c r="QRB556" s="178"/>
      <c r="QRC556" s="178"/>
      <c r="QRD556" s="178"/>
      <c r="QRE556" s="178"/>
      <c r="QRF556" s="178"/>
      <c r="QRG556" s="178"/>
      <c r="QRH556" s="178"/>
      <c r="QRI556" s="178"/>
      <c r="QRJ556" s="178"/>
      <c r="QRK556" s="178"/>
      <c r="QRL556" s="178"/>
      <c r="QRM556" s="178"/>
      <c r="QRN556" s="178"/>
      <c r="QRO556" s="178"/>
      <c r="QRP556" s="178"/>
      <c r="QRQ556" s="178"/>
      <c r="QRR556" s="178"/>
      <c r="QRS556" s="178"/>
      <c r="QRT556" s="178"/>
      <c r="QRU556" s="178"/>
      <c r="QRV556" s="178"/>
      <c r="QRW556" s="178"/>
      <c r="QRX556" s="178"/>
      <c r="QRY556" s="178"/>
      <c r="QRZ556" s="178"/>
      <c r="QSA556" s="178"/>
      <c r="QSB556" s="178"/>
      <c r="QSC556" s="178"/>
      <c r="QSD556" s="178"/>
      <c r="QSE556" s="178"/>
      <c r="QSF556" s="178"/>
      <c r="QSG556" s="178"/>
      <c r="QSH556" s="178"/>
      <c r="QSI556" s="178"/>
      <c r="QSJ556" s="178"/>
      <c r="QSK556" s="178"/>
      <c r="QSL556" s="178"/>
      <c r="QSM556" s="178"/>
      <c r="QSN556" s="178"/>
      <c r="QSO556" s="178"/>
      <c r="QSP556" s="178"/>
      <c r="QSQ556" s="178"/>
      <c r="QSR556" s="178"/>
      <c r="QSS556" s="178"/>
      <c r="QST556" s="178"/>
      <c r="QSU556" s="178"/>
      <c r="QSV556" s="178"/>
      <c r="QSW556" s="178"/>
      <c r="QSX556" s="178"/>
      <c r="QSY556" s="178"/>
      <c r="QSZ556" s="178"/>
      <c r="QTA556" s="178"/>
      <c r="QTB556" s="178"/>
      <c r="QTC556" s="178"/>
      <c r="QTD556" s="178"/>
      <c r="QTE556" s="178"/>
      <c r="QTF556" s="178"/>
      <c r="QTG556" s="178"/>
      <c r="QTH556" s="178"/>
      <c r="QTI556" s="178"/>
      <c r="QTJ556" s="178"/>
      <c r="QTK556" s="178"/>
      <c r="QTL556" s="178"/>
      <c r="QTM556" s="178"/>
      <c r="QTN556" s="178"/>
      <c r="QTO556" s="178"/>
      <c r="QTP556" s="178"/>
      <c r="QTQ556" s="178"/>
      <c r="QTR556" s="178"/>
      <c r="QTS556" s="178"/>
      <c r="QTT556" s="178"/>
      <c r="QTU556" s="178"/>
      <c r="QTV556" s="178"/>
      <c r="QTW556" s="178"/>
      <c r="QTX556" s="178"/>
      <c r="QTY556" s="178"/>
      <c r="QTZ556" s="178"/>
      <c r="QUA556" s="178"/>
      <c r="QUB556" s="178"/>
      <c r="QUC556" s="178"/>
      <c r="QUD556" s="178"/>
      <c r="QUE556" s="178"/>
      <c r="QUF556" s="178"/>
      <c r="QUG556" s="178"/>
      <c r="QUH556" s="178"/>
      <c r="QUI556" s="178"/>
      <c r="QUJ556" s="178"/>
      <c r="QUK556" s="178"/>
      <c r="QUL556" s="178"/>
      <c r="QUM556" s="178"/>
      <c r="QUN556" s="178"/>
      <c r="QUO556" s="178"/>
      <c r="QUP556" s="178"/>
      <c r="QUQ556" s="178"/>
      <c r="QUR556" s="178"/>
      <c r="QUS556" s="178"/>
      <c r="QUT556" s="178"/>
      <c r="QUU556" s="178"/>
      <c r="QUV556" s="178"/>
      <c r="QUW556" s="178"/>
      <c r="QUX556" s="178"/>
      <c r="QUY556" s="178"/>
      <c r="QUZ556" s="178"/>
      <c r="QVA556" s="178"/>
      <c r="QVB556" s="178"/>
      <c r="QVC556" s="178"/>
      <c r="QVD556" s="178"/>
      <c r="QVE556" s="178"/>
      <c r="QVF556" s="178"/>
      <c r="QVG556" s="178"/>
      <c r="QVH556" s="178"/>
      <c r="QVI556" s="178"/>
      <c r="QVJ556" s="178"/>
      <c r="QVK556" s="178"/>
      <c r="QVL556" s="178"/>
      <c r="QVM556" s="178"/>
      <c r="QVN556" s="178"/>
      <c r="QVO556" s="178"/>
      <c r="QVP556" s="178"/>
      <c r="QVQ556" s="178"/>
      <c r="QVR556" s="178"/>
      <c r="QVS556" s="178"/>
      <c r="QVT556" s="178"/>
      <c r="QVU556" s="178"/>
      <c r="QVV556" s="178"/>
      <c r="QVW556" s="178"/>
      <c r="QVX556" s="178"/>
      <c r="QVY556" s="178"/>
      <c r="QVZ556" s="178"/>
      <c r="QWA556" s="178"/>
      <c r="QWB556" s="178"/>
      <c r="QWC556" s="178"/>
      <c r="QWD556" s="178"/>
      <c r="QWE556" s="178"/>
      <c r="QWF556" s="178"/>
      <c r="QWG556" s="178"/>
      <c r="QWH556" s="178"/>
      <c r="QWI556" s="178"/>
      <c r="QWJ556" s="178"/>
      <c r="QWK556" s="178"/>
      <c r="QWL556" s="178"/>
      <c r="QWM556" s="178"/>
      <c r="QWN556" s="178"/>
      <c r="QWO556" s="178"/>
      <c r="QWP556" s="178"/>
      <c r="QWQ556" s="178"/>
      <c r="QWR556" s="178"/>
      <c r="QWS556" s="178"/>
      <c r="QWT556" s="178"/>
      <c r="QWU556" s="178"/>
      <c r="QWV556" s="178"/>
      <c r="QWW556" s="178"/>
      <c r="QWX556" s="178"/>
      <c r="QWY556" s="178"/>
      <c r="QWZ556" s="178"/>
      <c r="QXA556" s="178"/>
      <c r="QXB556" s="178"/>
      <c r="QXC556" s="178"/>
      <c r="QXD556" s="178"/>
      <c r="QXE556" s="178"/>
      <c r="QXF556" s="178"/>
      <c r="QXG556" s="178"/>
      <c r="QXH556" s="178"/>
      <c r="QXI556" s="178"/>
      <c r="QXJ556" s="178"/>
      <c r="QXK556" s="178"/>
      <c r="QXL556" s="178"/>
      <c r="QXM556" s="178"/>
      <c r="QXN556" s="178"/>
      <c r="QXO556" s="178"/>
      <c r="QXP556" s="178"/>
      <c r="QXQ556" s="178"/>
      <c r="QXR556" s="178"/>
      <c r="QXS556" s="178"/>
      <c r="QXT556" s="178"/>
      <c r="QXU556" s="178"/>
      <c r="QXV556" s="178"/>
      <c r="QXW556" s="178"/>
      <c r="QXX556" s="178"/>
      <c r="QXY556" s="178"/>
      <c r="QXZ556" s="178"/>
      <c r="QYA556" s="178"/>
      <c r="QYB556" s="178"/>
      <c r="QYC556" s="178"/>
      <c r="QYD556" s="178"/>
      <c r="QYE556" s="178"/>
      <c r="QYF556" s="178"/>
      <c r="QYG556" s="178"/>
      <c r="QYH556" s="178"/>
      <c r="QYI556" s="178"/>
      <c r="QYJ556" s="178"/>
      <c r="QYK556" s="178"/>
      <c r="QYL556" s="178"/>
      <c r="QYM556" s="178"/>
      <c r="QYN556" s="178"/>
      <c r="QYO556" s="178"/>
      <c r="QYP556" s="178"/>
      <c r="QYQ556" s="178"/>
      <c r="QYR556" s="178"/>
      <c r="QYS556" s="178"/>
      <c r="QYT556" s="178"/>
      <c r="QYU556" s="178"/>
      <c r="QYV556" s="178"/>
      <c r="QYW556" s="178"/>
      <c r="QYX556" s="178"/>
      <c r="QYY556" s="178"/>
      <c r="QYZ556" s="178"/>
      <c r="QZA556" s="178"/>
      <c r="QZB556" s="178"/>
      <c r="QZC556" s="178"/>
      <c r="QZD556" s="178"/>
      <c r="QZE556" s="178"/>
      <c r="QZF556" s="178"/>
      <c r="QZG556" s="178"/>
      <c r="QZH556" s="178"/>
      <c r="QZI556" s="178"/>
      <c r="QZJ556" s="178"/>
      <c r="QZK556" s="178"/>
      <c r="QZL556" s="178"/>
      <c r="QZM556" s="178"/>
      <c r="QZN556" s="178"/>
      <c r="QZO556" s="178"/>
      <c r="QZP556" s="178"/>
      <c r="QZQ556" s="178"/>
      <c r="QZR556" s="178"/>
      <c r="QZS556" s="178"/>
      <c r="QZT556" s="178"/>
      <c r="QZU556" s="178"/>
      <c r="QZV556" s="178"/>
      <c r="QZW556" s="178"/>
      <c r="QZX556" s="178"/>
      <c r="QZY556" s="178"/>
      <c r="QZZ556" s="178"/>
      <c r="RAA556" s="178"/>
      <c r="RAB556" s="178"/>
      <c r="RAC556" s="178"/>
      <c r="RAD556" s="178"/>
      <c r="RAE556" s="178"/>
      <c r="RAF556" s="178"/>
      <c r="RAG556" s="178"/>
      <c r="RAH556" s="178"/>
      <c r="RAI556" s="178"/>
      <c r="RAJ556" s="178"/>
      <c r="RAK556" s="178"/>
      <c r="RAL556" s="178"/>
      <c r="RAM556" s="178"/>
      <c r="RAN556" s="178"/>
      <c r="RAO556" s="178"/>
      <c r="RAP556" s="178"/>
      <c r="RAQ556" s="178"/>
      <c r="RAR556" s="178"/>
      <c r="RAS556" s="178"/>
      <c r="RAT556" s="178"/>
      <c r="RAU556" s="178"/>
      <c r="RAV556" s="178"/>
      <c r="RAW556" s="178"/>
      <c r="RAX556" s="178"/>
      <c r="RAY556" s="178"/>
      <c r="RAZ556" s="178"/>
      <c r="RBA556" s="178"/>
      <c r="RBB556" s="178"/>
      <c r="RBC556" s="178"/>
      <c r="RBD556" s="178"/>
      <c r="RBE556" s="178"/>
      <c r="RBF556" s="178"/>
      <c r="RBG556" s="178"/>
      <c r="RBH556" s="178"/>
      <c r="RBI556" s="178"/>
      <c r="RBJ556" s="178"/>
      <c r="RBK556" s="178"/>
      <c r="RBL556" s="178"/>
      <c r="RBM556" s="178"/>
      <c r="RBN556" s="178"/>
      <c r="RBO556" s="178"/>
      <c r="RBP556" s="178"/>
      <c r="RBQ556" s="178"/>
      <c r="RBR556" s="178"/>
      <c r="RBS556" s="178"/>
      <c r="RBT556" s="178"/>
      <c r="RBU556" s="178"/>
      <c r="RBV556" s="178"/>
      <c r="RBW556" s="178"/>
      <c r="RBX556" s="178"/>
      <c r="RBY556" s="178"/>
      <c r="RBZ556" s="178"/>
      <c r="RCA556" s="178"/>
      <c r="RCB556" s="178"/>
      <c r="RCC556" s="178"/>
      <c r="RCD556" s="178"/>
      <c r="RCE556" s="178"/>
      <c r="RCF556" s="178"/>
      <c r="RCG556" s="178"/>
      <c r="RCH556" s="178"/>
      <c r="RCI556" s="178"/>
      <c r="RCJ556" s="178"/>
      <c r="RCK556" s="178"/>
      <c r="RCL556" s="178"/>
      <c r="RCM556" s="178"/>
      <c r="RCN556" s="178"/>
      <c r="RCO556" s="178"/>
      <c r="RCP556" s="178"/>
      <c r="RCQ556" s="178"/>
      <c r="RCR556" s="178"/>
      <c r="RCS556" s="178"/>
      <c r="RCT556" s="178"/>
      <c r="RCU556" s="178"/>
      <c r="RCV556" s="178"/>
      <c r="RCW556" s="178"/>
      <c r="RCX556" s="178"/>
      <c r="RCY556" s="178"/>
      <c r="RCZ556" s="178"/>
      <c r="RDA556" s="178"/>
      <c r="RDB556" s="178"/>
      <c r="RDC556" s="178"/>
      <c r="RDD556" s="178"/>
      <c r="RDE556" s="178"/>
      <c r="RDF556" s="178"/>
      <c r="RDG556" s="178"/>
      <c r="RDH556" s="178"/>
      <c r="RDI556" s="178"/>
      <c r="RDJ556" s="178"/>
      <c r="RDK556" s="178"/>
      <c r="RDL556" s="178"/>
      <c r="RDM556" s="178"/>
      <c r="RDN556" s="178"/>
      <c r="RDO556" s="178"/>
      <c r="RDP556" s="178"/>
      <c r="RDQ556" s="178"/>
      <c r="RDR556" s="178"/>
      <c r="RDS556" s="178"/>
      <c r="RDT556" s="178"/>
      <c r="RDU556" s="178"/>
      <c r="RDV556" s="178"/>
      <c r="RDW556" s="178"/>
      <c r="RDX556" s="178"/>
      <c r="RDY556" s="178"/>
      <c r="RDZ556" s="178"/>
      <c r="REA556" s="178"/>
      <c r="REB556" s="178"/>
      <c r="REC556" s="178"/>
      <c r="RED556" s="178"/>
      <c r="REE556" s="178"/>
      <c r="REF556" s="178"/>
      <c r="REG556" s="178"/>
      <c r="REH556" s="178"/>
      <c r="REI556" s="178"/>
      <c r="REJ556" s="178"/>
      <c r="REK556" s="178"/>
      <c r="REL556" s="178"/>
      <c r="REM556" s="178"/>
      <c r="REN556" s="178"/>
      <c r="REO556" s="178"/>
      <c r="REP556" s="178"/>
      <c r="REQ556" s="178"/>
      <c r="RER556" s="178"/>
      <c r="RES556" s="178"/>
      <c r="RET556" s="178"/>
      <c r="REU556" s="178"/>
      <c r="REV556" s="178"/>
      <c r="REW556" s="178"/>
      <c r="REX556" s="178"/>
      <c r="REY556" s="178"/>
      <c r="REZ556" s="178"/>
      <c r="RFA556" s="178"/>
      <c r="RFB556" s="178"/>
      <c r="RFC556" s="178"/>
      <c r="RFD556" s="178"/>
      <c r="RFE556" s="178"/>
      <c r="RFF556" s="178"/>
      <c r="RFG556" s="178"/>
      <c r="RFH556" s="178"/>
      <c r="RFI556" s="178"/>
      <c r="RFJ556" s="178"/>
      <c r="RFK556" s="178"/>
      <c r="RFL556" s="178"/>
      <c r="RFM556" s="178"/>
      <c r="RFN556" s="178"/>
      <c r="RFO556" s="178"/>
      <c r="RFP556" s="178"/>
      <c r="RFQ556" s="178"/>
      <c r="RFR556" s="178"/>
      <c r="RFS556" s="178"/>
      <c r="RFT556" s="178"/>
      <c r="RFU556" s="178"/>
      <c r="RFV556" s="178"/>
      <c r="RFW556" s="178"/>
      <c r="RFX556" s="178"/>
      <c r="RFY556" s="178"/>
      <c r="RFZ556" s="178"/>
      <c r="RGA556" s="178"/>
      <c r="RGB556" s="178"/>
      <c r="RGC556" s="178"/>
      <c r="RGD556" s="178"/>
      <c r="RGE556" s="178"/>
      <c r="RGF556" s="178"/>
      <c r="RGG556" s="178"/>
      <c r="RGH556" s="178"/>
      <c r="RGI556" s="178"/>
      <c r="RGJ556" s="178"/>
      <c r="RGK556" s="178"/>
      <c r="RGL556" s="178"/>
      <c r="RGM556" s="178"/>
      <c r="RGN556" s="178"/>
      <c r="RGO556" s="178"/>
      <c r="RGP556" s="178"/>
      <c r="RGQ556" s="178"/>
      <c r="RGR556" s="178"/>
      <c r="RGS556" s="178"/>
      <c r="RGT556" s="178"/>
      <c r="RGU556" s="178"/>
      <c r="RGV556" s="178"/>
      <c r="RGW556" s="178"/>
      <c r="RGX556" s="178"/>
      <c r="RGY556" s="178"/>
      <c r="RGZ556" s="178"/>
      <c r="RHA556" s="178"/>
      <c r="RHB556" s="178"/>
      <c r="RHC556" s="178"/>
      <c r="RHD556" s="178"/>
      <c r="RHE556" s="178"/>
      <c r="RHF556" s="178"/>
      <c r="RHG556" s="178"/>
      <c r="RHH556" s="178"/>
      <c r="RHI556" s="178"/>
      <c r="RHJ556" s="178"/>
      <c r="RHK556" s="178"/>
      <c r="RHL556" s="178"/>
      <c r="RHM556" s="178"/>
      <c r="RHN556" s="178"/>
      <c r="RHO556" s="178"/>
      <c r="RHP556" s="178"/>
      <c r="RHQ556" s="178"/>
      <c r="RHR556" s="178"/>
      <c r="RHS556" s="178"/>
      <c r="RHT556" s="178"/>
      <c r="RHU556" s="178"/>
      <c r="RHV556" s="178"/>
      <c r="RHW556" s="178"/>
      <c r="RHX556" s="178"/>
      <c r="RHY556" s="178"/>
      <c r="RHZ556" s="178"/>
      <c r="RIA556" s="178"/>
      <c r="RIB556" s="178"/>
      <c r="RIC556" s="178"/>
      <c r="RID556" s="178"/>
      <c r="RIE556" s="178"/>
      <c r="RIF556" s="178"/>
      <c r="RIG556" s="178"/>
      <c r="RIH556" s="178"/>
      <c r="RII556" s="178"/>
      <c r="RIJ556" s="178"/>
      <c r="RIK556" s="178"/>
      <c r="RIL556" s="178"/>
      <c r="RIM556" s="178"/>
      <c r="RIN556" s="178"/>
      <c r="RIO556" s="178"/>
      <c r="RIP556" s="178"/>
      <c r="RIQ556" s="178"/>
      <c r="RIR556" s="178"/>
      <c r="RIS556" s="178"/>
      <c r="RIT556" s="178"/>
      <c r="RIU556" s="178"/>
      <c r="RIV556" s="178"/>
      <c r="RIW556" s="178"/>
      <c r="RIX556" s="178"/>
      <c r="RIY556" s="178"/>
      <c r="RIZ556" s="178"/>
      <c r="RJA556" s="178"/>
      <c r="RJB556" s="178"/>
      <c r="RJC556" s="178"/>
      <c r="RJD556" s="178"/>
      <c r="RJE556" s="178"/>
      <c r="RJF556" s="178"/>
      <c r="RJG556" s="178"/>
      <c r="RJH556" s="178"/>
      <c r="RJI556" s="178"/>
      <c r="RJJ556" s="178"/>
      <c r="RJK556" s="178"/>
      <c r="RJL556" s="178"/>
      <c r="RJM556" s="178"/>
      <c r="RJN556" s="178"/>
      <c r="RJO556" s="178"/>
      <c r="RJP556" s="178"/>
      <c r="RJQ556" s="178"/>
      <c r="RJR556" s="178"/>
      <c r="RJS556" s="178"/>
      <c r="RJT556" s="178"/>
      <c r="RJU556" s="178"/>
      <c r="RJV556" s="178"/>
      <c r="RJW556" s="178"/>
      <c r="RJX556" s="178"/>
      <c r="RJY556" s="178"/>
      <c r="RJZ556" s="178"/>
      <c r="RKA556" s="178"/>
      <c r="RKB556" s="178"/>
      <c r="RKC556" s="178"/>
      <c r="RKD556" s="178"/>
      <c r="RKE556" s="178"/>
      <c r="RKF556" s="178"/>
      <c r="RKG556" s="178"/>
      <c r="RKH556" s="178"/>
      <c r="RKI556" s="178"/>
      <c r="RKJ556" s="178"/>
      <c r="RKK556" s="178"/>
      <c r="RKL556" s="178"/>
      <c r="RKM556" s="178"/>
      <c r="RKN556" s="178"/>
      <c r="RKO556" s="178"/>
      <c r="RKP556" s="178"/>
      <c r="RKQ556" s="178"/>
      <c r="RKR556" s="178"/>
      <c r="RKS556" s="178"/>
      <c r="RKT556" s="178"/>
      <c r="RKU556" s="178"/>
      <c r="RKV556" s="178"/>
      <c r="RKW556" s="178"/>
      <c r="RKX556" s="178"/>
      <c r="RKY556" s="178"/>
      <c r="RKZ556" s="178"/>
      <c r="RLA556" s="178"/>
      <c r="RLB556" s="178"/>
      <c r="RLC556" s="178"/>
      <c r="RLD556" s="178"/>
      <c r="RLE556" s="178"/>
      <c r="RLF556" s="178"/>
      <c r="RLG556" s="178"/>
      <c r="RLH556" s="178"/>
      <c r="RLI556" s="178"/>
      <c r="RLJ556" s="178"/>
      <c r="RLK556" s="178"/>
      <c r="RLL556" s="178"/>
      <c r="RLM556" s="178"/>
      <c r="RLN556" s="178"/>
      <c r="RLO556" s="178"/>
      <c r="RLP556" s="178"/>
      <c r="RLQ556" s="178"/>
      <c r="RLR556" s="178"/>
      <c r="RLS556" s="178"/>
      <c r="RLT556" s="178"/>
      <c r="RLU556" s="178"/>
      <c r="RLV556" s="178"/>
      <c r="RLW556" s="178"/>
      <c r="RLX556" s="178"/>
      <c r="RLY556" s="178"/>
      <c r="RLZ556" s="178"/>
      <c r="RMA556" s="178"/>
      <c r="RMB556" s="178"/>
      <c r="RMC556" s="178"/>
      <c r="RMD556" s="178"/>
      <c r="RME556" s="178"/>
      <c r="RMF556" s="178"/>
      <c r="RMG556" s="178"/>
      <c r="RMH556" s="178"/>
      <c r="RMI556" s="178"/>
      <c r="RMJ556" s="178"/>
      <c r="RMK556" s="178"/>
      <c r="RML556" s="178"/>
      <c r="RMM556" s="178"/>
      <c r="RMN556" s="178"/>
      <c r="RMO556" s="178"/>
      <c r="RMP556" s="178"/>
      <c r="RMQ556" s="178"/>
      <c r="RMR556" s="178"/>
      <c r="RMS556" s="178"/>
      <c r="RMT556" s="178"/>
      <c r="RMU556" s="178"/>
      <c r="RMV556" s="178"/>
      <c r="RMW556" s="178"/>
      <c r="RMX556" s="178"/>
      <c r="RMY556" s="178"/>
      <c r="RMZ556" s="178"/>
      <c r="RNA556" s="178"/>
      <c r="RNB556" s="178"/>
      <c r="RNC556" s="178"/>
      <c r="RND556" s="178"/>
      <c r="RNE556" s="178"/>
      <c r="RNF556" s="178"/>
      <c r="RNG556" s="178"/>
      <c r="RNH556" s="178"/>
      <c r="RNI556" s="178"/>
      <c r="RNJ556" s="178"/>
      <c r="RNK556" s="178"/>
      <c r="RNL556" s="178"/>
      <c r="RNM556" s="178"/>
      <c r="RNN556" s="178"/>
      <c r="RNO556" s="178"/>
      <c r="RNP556" s="178"/>
      <c r="RNQ556" s="178"/>
      <c r="RNR556" s="178"/>
      <c r="RNS556" s="178"/>
      <c r="RNT556" s="178"/>
      <c r="RNU556" s="178"/>
      <c r="RNV556" s="178"/>
      <c r="RNW556" s="178"/>
      <c r="RNX556" s="178"/>
      <c r="RNY556" s="178"/>
      <c r="RNZ556" s="178"/>
      <c r="ROA556" s="178"/>
      <c r="ROB556" s="178"/>
      <c r="ROC556" s="178"/>
      <c r="ROD556" s="178"/>
      <c r="ROE556" s="178"/>
      <c r="ROF556" s="178"/>
      <c r="ROG556" s="178"/>
      <c r="ROH556" s="178"/>
      <c r="ROI556" s="178"/>
      <c r="ROJ556" s="178"/>
      <c r="ROK556" s="178"/>
      <c r="ROL556" s="178"/>
      <c r="ROM556" s="178"/>
      <c r="RON556" s="178"/>
      <c r="ROO556" s="178"/>
      <c r="ROP556" s="178"/>
      <c r="ROQ556" s="178"/>
      <c r="ROR556" s="178"/>
      <c r="ROS556" s="178"/>
      <c r="ROT556" s="178"/>
      <c r="ROU556" s="178"/>
      <c r="ROV556" s="178"/>
      <c r="ROW556" s="178"/>
      <c r="ROX556" s="178"/>
      <c r="ROY556" s="178"/>
      <c r="ROZ556" s="178"/>
      <c r="RPA556" s="178"/>
      <c r="RPB556" s="178"/>
      <c r="RPC556" s="178"/>
      <c r="RPD556" s="178"/>
      <c r="RPE556" s="178"/>
      <c r="RPF556" s="178"/>
      <c r="RPG556" s="178"/>
      <c r="RPH556" s="178"/>
      <c r="RPI556" s="178"/>
      <c r="RPJ556" s="178"/>
      <c r="RPK556" s="178"/>
      <c r="RPL556" s="178"/>
      <c r="RPM556" s="178"/>
      <c r="RPN556" s="178"/>
      <c r="RPO556" s="178"/>
      <c r="RPP556" s="178"/>
      <c r="RPQ556" s="178"/>
      <c r="RPR556" s="178"/>
      <c r="RPS556" s="178"/>
      <c r="RPT556" s="178"/>
      <c r="RPU556" s="178"/>
      <c r="RPV556" s="178"/>
      <c r="RPW556" s="178"/>
      <c r="RPX556" s="178"/>
      <c r="RPY556" s="178"/>
      <c r="RPZ556" s="178"/>
      <c r="RQA556" s="178"/>
      <c r="RQB556" s="178"/>
      <c r="RQC556" s="178"/>
      <c r="RQD556" s="178"/>
      <c r="RQE556" s="178"/>
      <c r="RQF556" s="178"/>
      <c r="RQG556" s="178"/>
      <c r="RQH556" s="178"/>
      <c r="RQI556" s="178"/>
      <c r="RQJ556" s="178"/>
      <c r="RQK556" s="178"/>
      <c r="RQL556" s="178"/>
      <c r="RQM556" s="178"/>
      <c r="RQN556" s="178"/>
      <c r="RQO556" s="178"/>
      <c r="RQP556" s="178"/>
      <c r="RQQ556" s="178"/>
      <c r="RQR556" s="178"/>
      <c r="RQS556" s="178"/>
      <c r="RQT556" s="178"/>
      <c r="RQU556" s="178"/>
      <c r="RQV556" s="178"/>
      <c r="RQW556" s="178"/>
      <c r="RQX556" s="178"/>
      <c r="RQY556" s="178"/>
      <c r="RQZ556" s="178"/>
      <c r="RRA556" s="178"/>
      <c r="RRB556" s="178"/>
      <c r="RRC556" s="178"/>
      <c r="RRD556" s="178"/>
      <c r="RRE556" s="178"/>
      <c r="RRF556" s="178"/>
      <c r="RRG556" s="178"/>
      <c r="RRH556" s="178"/>
      <c r="RRI556" s="178"/>
      <c r="RRJ556" s="178"/>
      <c r="RRK556" s="178"/>
      <c r="RRL556" s="178"/>
      <c r="RRM556" s="178"/>
      <c r="RRN556" s="178"/>
      <c r="RRO556" s="178"/>
      <c r="RRP556" s="178"/>
      <c r="RRQ556" s="178"/>
      <c r="RRR556" s="178"/>
      <c r="RRS556" s="178"/>
      <c r="RRT556" s="178"/>
      <c r="RRU556" s="178"/>
      <c r="RRV556" s="178"/>
      <c r="RRW556" s="178"/>
      <c r="RRX556" s="178"/>
      <c r="RRY556" s="178"/>
      <c r="RRZ556" s="178"/>
      <c r="RSA556" s="178"/>
      <c r="RSB556" s="178"/>
      <c r="RSC556" s="178"/>
      <c r="RSD556" s="178"/>
      <c r="RSE556" s="178"/>
      <c r="RSF556" s="178"/>
      <c r="RSG556" s="178"/>
      <c r="RSH556" s="178"/>
      <c r="RSI556" s="178"/>
      <c r="RSJ556" s="178"/>
      <c r="RSK556" s="178"/>
      <c r="RSL556" s="178"/>
      <c r="RSM556" s="178"/>
      <c r="RSN556" s="178"/>
      <c r="RSO556" s="178"/>
      <c r="RSP556" s="178"/>
      <c r="RSQ556" s="178"/>
      <c r="RSR556" s="178"/>
      <c r="RSS556" s="178"/>
      <c r="RST556" s="178"/>
      <c r="RSU556" s="178"/>
      <c r="RSV556" s="178"/>
      <c r="RSW556" s="178"/>
      <c r="RSX556" s="178"/>
      <c r="RSY556" s="178"/>
      <c r="RSZ556" s="178"/>
      <c r="RTA556" s="178"/>
      <c r="RTB556" s="178"/>
      <c r="RTC556" s="178"/>
      <c r="RTD556" s="178"/>
      <c r="RTE556" s="178"/>
      <c r="RTF556" s="178"/>
      <c r="RTG556" s="178"/>
      <c r="RTH556" s="178"/>
      <c r="RTI556" s="178"/>
      <c r="RTJ556" s="178"/>
      <c r="RTK556" s="178"/>
      <c r="RTL556" s="178"/>
      <c r="RTM556" s="178"/>
      <c r="RTN556" s="178"/>
      <c r="RTO556" s="178"/>
      <c r="RTP556" s="178"/>
      <c r="RTQ556" s="178"/>
      <c r="RTR556" s="178"/>
      <c r="RTS556" s="178"/>
      <c r="RTT556" s="178"/>
      <c r="RTU556" s="178"/>
      <c r="RTV556" s="178"/>
      <c r="RTW556" s="178"/>
      <c r="RTX556" s="178"/>
      <c r="RTY556" s="178"/>
      <c r="RTZ556" s="178"/>
      <c r="RUA556" s="178"/>
      <c r="RUB556" s="178"/>
      <c r="RUC556" s="178"/>
      <c r="RUD556" s="178"/>
      <c r="RUE556" s="178"/>
      <c r="RUF556" s="178"/>
      <c r="RUG556" s="178"/>
      <c r="RUH556" s="178"/>
      <c r="RUI556" s="178"/>
      <c r="RUJ556" s="178"/>
      <c r="RUK556" s="178"/>
      <c r="RUL556" s="178"/>
      <c r="RUM556" s="178"/>
      <c r="RUN556" s="178"/>
      <c r="RUO556" s="178"/>
      <c r="RUP556" s="178"/>
      <c r="RUQ556" s="178"/>
      <c r="RUR556" s="178"/>
      <c r="RUS556" s="178"/>
      <c r="RUT556" s="178"/>
      <c r="RUU556" s="178"/>
      <c r="RUV556" s="178"/>
      <c r="RUW556" s="178"/>
      <c r="RUX556" s="178"/>
      <c r="RUY556" s="178"/>
      <c r="RUZ556" s="178"/>
      <c r="RVA556" s="178"/>
      <c r="RVB556" s="178"/>
      <c r="RVC556" s="178"/>
      <c r="RVD556" s="178"/>
      <c r="RVE556" s="178"/>
      <c r="RVF556" s="178"/>
      <c r="RVG556" s="178"/>
      <c r="RVH556" s="178"/>
      <c r="RVI556" s="178"/>
      <c r="RVJ556" s="178"/>
      <c r="RVK556" s="178"/>
      <c r="RVL556" s="178"/>
      <c r="RVM556" s="178"/>
      <c r="RVN556" s="178"/>
      <c r="RVO556" s="178"/>
      <c r="RVP556" s="178"/>
      <c r="RVQ556" s="178"/>
      <c r="RVR556" s="178"/>
      <c r="RVS556" s="178"/>
      <c r="RVT556" s="178"/>
      <c r="RVU556" s="178"/>
      <c r="RVV556" s="178"/>
      <c r="RVW556" s="178"/>
      <c r="RVX556" s="178"/>
      <c r="RVY556" s="178"/>
      <c r="RVZ556" s="178"/>
      <c r="RWA556" s="178"/>
      <c r="RWB556" s="178"/>
      <c r="RWC556" s="178"/>
      <c r="RWD556" s="178"/>
      <c r="RWE556" s="178"/>
      <c r="RWF556" s="178"/>
      <c r="RWG556" s="178"/>
      <c r="RWH556" s="178"/>
      <c r="RWI556" s="178"/>
      <c r="RWJ556" s="178"/>
      <c r="RWK556" s="178"/>
      <c r="RWL556" s="178"/>
      <c r="RWM556" s="178"/>
      <c r="RWN556" s="178"/>
      <c r="RWO556" s="178"/>
      <c r="RWP556" s="178"/>
      <c r="RWQ556" s="178"/>
      <c r="RWR556" s="178"/>
      <c r="RWS556" s="178"/>
      <c r="RWT556" s="178"/>
      <c r="RWU556" s="178"/>
      <c r="RWV556" s="178"/>
      <c r="RWW556" s="178"/>
      <c r="RWX556" s="178"/>
      <c r="RWY556" s="178"/>
      <c r="RWZ556" s="178"/>
      <c r="RXA556" s="178"/>
      <c r="RXB556" s="178"/>
      <c r="RXC556" s="178"/>
      <c r="RXD556" s="178"/>
      <c r="RXE556" s="178"/>
      <c r="RXF556" s="178"/>
      <c r="RXG556" s="178"/>
      <c r="RXH556" s="178"/>
      <c r="RXI556" s="178"/>
      <c r="RXJ556" s="178"/>
      <c r="RXK556" s="178"/>
      <c r="RXL556" s="178"/>
      <c r="RXM556" s="178"/>
      <c r="RXN556" s="178"/>
      <c r="RXO556" s="178"/>
      <c r="RXP556" s="178"/>
      <c r="RXQ556" s="178"/>
      <c r="RXR556" s="178"/>
      <c r="RXS556" s="178"/>
      <c r="RXT556" s="178"/>
      <c r="RXU556" s="178"/>
      <c r="RXV556" s="178"/>
      <c r="RXW556" s="178"/>
      <c r="RXX556" s="178"/>
      <c r="RXY556" s="178"/>
      <c r="RXZ556" s="178"/>
      <c r="RYA556" s="178"/>
      <c r="RYB556" s="178"/>
      <c r="RYC556" s="178"/>
      <c r="RYD556" s="178"/>
      <c r="RYE556" s="178"/>
      <c r="RYF556" s="178"/>
      <c r="RYG556" s="178"/>
      <c r="RYH556" s="178"/>
      <c r="RYI556" s="178"/>
      <c r="RYJ556" s="178"/>
      <c r="RYK556" s="178"/>
      <c r="RYL556" s="178"/>
      <c r="RYM556" s="178"/>
      <c r="RYN556" s="178"/>
      <c r="RYO556" s="178"/>
      <c r="RYP556" s="178"/>
      <c r="RYQ556" s="178"/>
      <c r="RYR556" s="178"/>
      <c r="RYS556" s="178"/>
      <c r="RYT556" s="178"/>
      <c r="RYU556" s="178"/>
      <c r="RYV556" s="178"/>
      <c r="RYW556" s="178"/>
      <c r="RYX556" s="178"/>
      <c r="RYY556" s="178"/>
      <c r="RYZ556" s="178"/>
      <c r="RZA556" s="178"/>
      <c r="RZB556" s="178"/>
      <c r="RZC556" s="178"/>
      <c r="RZD556" s="178"/>
      <c r="RZE556" s="178"/>
      <c r="RZF556" s="178"/>
      <c r="RZG556" s="178"/>
      <c r="RZH556" s="178"/>
      <c r="RZI556" s="178"/>
      <c r="RZJ556" s="178"/>
      <c r="RZK556" s="178"/>
      <c r="RZL556" s="178"/>
      <c r="RZM556" s="178"/>
      <c r="RZN556" s="178"/>
      <c r="RZO556" s="178"/>
      <c r="RZP556" s="178"/>
      <c r="RZQ556" s="178"/>
      <c r="RZR556" s="178"/>
      <c r="RZS556" s="178"/>
      <c r="RZT556" s="178"/>
      <c r="RZU556" s="178"/>
      <c r="RZV556" s="178"/>
      <c r="RZW556" s="178"/>
      <c r="RZX556" s="178"/>
      <c r="RZY556" s="178"/>
      <c r="RZZ556" s="178"/>
      <c r="SAA556" s="178"/>
      <c r="SAB556" s="178"/>
      <c r="SAC556" s="178"/>
      <c r="SAD556" s="178"/>
      <c r="SAE556" s="178"/>
      <c r="SAF556" s="178"/>
      <c r="SAG556" s="178"/>
      <c r="SAH556" s="178"/>
      <c r="SAI556" s="178"/>
      <c r="SAJ556" s="178"/>
      <c r="SAK556" s="178"/>
      <c r="SAL556" s="178"/>
      <c r="SAM556" s="178"/>
      <c r="SAN556" s="178"/>
      <c r="SAO556" s="178"/>
      <c r="SAP556" s="178"/>
      <c r="SAQ556" s="178"/>
      <c r="SAR556" s="178"/>
      <c r="SAS556" s="178"/>
      <c r="SAT556" s="178"/>
      <c r="SAU556" s="178"/>
      <c r="SAV556" s="178"/>
      <c r="SAW556" s="178"/>
      <c r="SAX556" s="178"/>
      <c r="SAY556" s="178"/>
      <c r="SAZ556" s="178"/>
      <c r="SBA556" s="178"/>
      <c r="SBB556" s="178"/>
      <c r="SBC556" s="178"/>
      <c r="SBD556" s="178"/>
      <c r="SBE556" s="178"/>
      <c r="SBF556" s="178"/>
      <c r="SBG556" s="178"/>
      <c r="SBH556" s="178"/>
      <c r="SBI556" s="178"/>
      <c r="SBJ556" s="178"/>
      <c r="SBK556" s="178"/>
      <c r="SBL556" s="178"/>
      <c r="SBM556" s="178"/>
      <c r="SBN556" s="178"/>
      <c r="SBO556" s="178"/>
      <c r="SBP556" s="178"/>
      <c r="SBQ556" s="178"/>
      <c r="SBR556" s="178"/>
      <c r="SBS556" s="178"/>
      <c r="SBT556" s="178"/>
      <c r="SBU556" s="178"/>
      <c r="SBV556" s="178"/>
      <c r="SBW556" s="178"/>
      <c r="SBX556" s="178"/>
      <c r="SBY556" s="178"/>
      <c r="SBZ556" s="178"/>
      <c r="SCA556" s="178"/>
      <c r="SCB556" s="178"/>
      <c r="SCC556" s="178"/>
      <c r="SCD556" s="178"/>
      <c r="SCE556" s="178"/>
      <c r="SCF556" s="178"/>
      <c r="SCG556" s="178"/>
      <c r="SCH556" s="178"/>
      <c r="SCI556" s="178"/>
      <c r="SCJ556" s="178"/>
      <c r="SCK556" s="178"/>
      <c r="SCL556" s="178"/>
      <c r="SCM556" s="178"/>
      <c r="SCN556" s="178"/>
      <c r="SCO556" s="178"/>
      <c r="SCP556" s="178"/>
      <c r="SCQ556" s="178"/>
      <c r="SCR556" s="178"/>
      <c r="SCS556" s="178"/>
      <c r="SCT556" s="178"/>
      <c r="SCU556" s="178"/>
      <c r="SCV556" s="178"/>
      <c r="SCW556" s="178"/>
      <c r="SCX556" s="178"/>
      <c r="SCY556" s="178"/>
      <c r="SCZ556" s="178"/>
      <c r="SDA556" s="178"/>
      <c r="SDB556" s="178"/>
      <c r="SDC556" s="178"/>
      <c r="SDD556" s="178"/>
      <c r="SDE556" s="178"/>
      <c r="SDF556" s="178"/>
      <c r="SDG556" s="178"/>
      <c r="SDH556" s="178"/>
      <c r="SDI556" s="178"/>
      <c r="SDJ556" s="178"/>
      <c r="SDK556" s="178"/>
      <c r="SDL556" s="178"/>
      <c r="SDM556" s="178"/>
      <c r="SDN556" s="178"/>
      <c r="SDO556" s="178"/>
      <c r="SDP556" s="178"/>
      <c r="SDQ556" s="178"/>
      <c r="SDR556" s="178"/>
      <c r="SDS556" s="178"/>
      <c r="SDT556" s="178"/>
      <c r="SDU556" s="178"/>
      <c r="SDV556" s="178"/>
      <c r="SDW556" s="178"/>
      <c r="SDX556" s="178"/>
      <c r="SDY556" s="178"/>
      <c r="SDZ556" s="178"/>
      <c r="SEA556" s="178"/>
      <c r="SEB556" s="178"/>
      <c r="SEC556" s="178"/>
      <c r="SED556" s="178"/>
      <c r="SEE556" s="178"/>
      <c r="SEF556" s="178"/>
      <c r="SEG556" s="178"/>
      <c r="SEH556" s="178"/>
      <c r="SEI556" s="178"/>
      <c r="SEJ556" s="178"/>
      <c r="SEK556" s="178"/>
      <c r="SEL556" s="178"/>
      <c r="SEM556" s="178"/>
      <c r="SEN556" s="178"/>
      <c r="SEO556" s="178"/>
      <c r="SEP556" s="178"/>
      <c r="SEQ556" s="178"/>
      <c r="SER556" s="178"/>
      <c r="SES556" s="178"/>
      <c r="SET556" s="178"/>
      <c r="SEU556" s="178"/>
      <c r="SEV556" s="178"/>
      <c r="SEW556" s="178"/>
      <c r="SEX556" s="178"/>
      <c r="SEY556" s="178"/>
      <c r="SEZ556" s="178"/>
      <c r="SFA556" s="178"/>
      <c r="SFB556" s="178"/>
      <c r="SFC556" s="178"/>
      <c r="SFD556" s="178"/>
      <c r="SFE556" s="178"/>
      <c r="SFF556" s="178"/>
      <c r="SFG556" s="178"/>
      <c r="SFH556" s="178"/>
      <c r="SFI556" s="178"/>
      <c r="SFJ556" s="178"/>
      <c r="SFK556" s="178"/>
      <c r="SFL556" s="178"/>
      <c r="SFM556" s="178"/>
      <c r="SFN556" s="178"/>
      <c r="SFO556" s="178"/>
      <c r="SFP556" s="178"/>
      <c r="SFQ556" s="178"/>
      <c r="SFR556" s="178"/>
      <c r="SFS556" s="178"/>
      <c r="SFT556" s="178"/>
      <c r="SFU556" s="178"/>
      <c r="SFV556" s="178"/>
      <c r="SFW556" s="178"/>
      <c r="SFX556" s="178"/>
      <c r="SFY556" s="178"/>
      <c r="SFZ556" s="178"/>
      <c r="SGA556" s="178"/>
      <c r="SGB556" s="178"/>
      <c r="SGC556" s="178"/>
      <c r="SGD556" s="178"/>
      <c r="SGE556" s="178"/>
      <c r="SGF556" s="178"/>
      <c r="SGG556" s="178"/>
      <c r="SGH556" s="178"/>
      <c r="SGI556" s="178"/>
      <c r="SGJ556" s="178"/>
      <c r="SGK556" s="178"/>
      <c r="SGL556" s="178"/>
      <c r="SGM556" s="178"/>
      <c r="SGN556" s="178"/>
      <c r="SGO556" s="178"/>
      <c r="SGP556" s="178"/>
      <c r="SGQ556" s="178"/>
      <c r="SGR556" s="178"/>
      <c r="SGS556" s="178"/>
      <c r="SGT556" s="178"/>
      <c r="SGU556" s="178"/>
      <c r="SGV556" s="178"/>
      <c r="SGW556" s="178"/>
      <c r="SGX556" s="178"/>
      <c r="SGY556" s="178"/>
      <c r="SGZ556" s="178"/>
      <c r="SHA556" s="178"/>
      <c r="SHB556" s="178"/>
      <c r="SHC556" s="178"/>
      <c r="SHD556" s="178"/>
      <c r="SHE556" s="178"/>
      <c r="SHF556" s="178"/>
      <c r="SHG556" s="178"/>
      <c r="SHH556" s="178"/>
      <c r="SHI556" s="178"/>
      <c r="SHJ556" s="178"/>
      <c r="SHK556" s="178"/>
      <c r="SHL556" s="178"/>
      <c r="SHM556" s="178"/>
      <c r="SHN556" s="178"/>
      <c r="SHO556" s="178"/>
      <c r="SHP556" s="178"/>
      <c r="SHQ556" s="178"/>
      <c r="SHR556" s="178"/>
      <c r="SHS556" s="178"/>
      <c r="SHT556" s="178"/>
      <c r="SHU556" s="178"/>
      <c r="SHV556" s="178"/>
      <c r="SHW556" s="178"/>
      <c r="SHX556" s="178"/>
      <c r="SHY556" s="178"/>
      <c r="SHZ556" s="178"/>
      <c r="SIA556" s="178"/>
      <c r="SIB556" s="178"/>
      <c r="SIC556" s="178"/>
      <c r="SID556" s="178"/>
      <c r="SIE556" s="178"/>
      <c r="SIF556" s="178"/>
      <c r="SIG556" s="178"/>
      <c r="SIH556" s="178"/>
      <c r="SII556" s="178"/>
      <c r="SIJ556" s="178"/>
      <c r="SIK556" s="178"/>
      <c r="SIL556" s="178"/>
      <c r="SIM556" s="178"/>
      <c r="SIN556" s="178"/>
      <c r="SIO556" s="178"/>
      <c r="SIP556" s="178"/>
      <c r="SIQ556" s="178"/>
      <c r="SIR556" s="178"/>
      <c r="SIS556" s="178"/>
      <c r="SIT556" s="178"/>
      <c r="SIU556" s="178"/>
      <c r="SIV556" s="178"/>
      <c r="SIW556" s="178"/>
      <c r="SIX556" s="178"/>
      <c r="SIY556" s="178"/>
      <c r="SIZ556" s="178"/>
      <c r="SJA556" s="178"/>
      <c r="SJB556" s="178"/>
      <c r="SJC556" s="178"/>
      <c r="SJD556" s="178"/>
      <c r="SJE556" s="178"/>
      <c r="SJF556" s="178"/>
      <c r="SJG556" s="178"/>
      <c r="SJH556" s="178"/>
      <c r="SJI556" s="178"/>
      <c r="SJJ556" s="178"/>
      <c r="SJK556" s="178"/>
      <c r="SJL556" s="178"/>
      <c r="SJM556" s="178"/>
      <c r="SJN556" s="178"/>
      <c r="SJO556" s="178"/>
      <c r="SJP556" s="178"/>
      <c r="SJQ556" s="178"/>
      <c r="SJR556" s="178"/>
      <c r="SJS556" s="178"/>
      <c r="SJT556" s="178"/>
      <c r="SJU556" s="178"/>
      <c r="SJV556" s="178"/>
      <c r="SJW556" s="178"/>
      <c r="SJX556" s="178"/>
      <c r="SJY556" s="178"/>
      <c r="SJZ556" s="178"/>
      <c r="SKA556" s="178"/>
      <c r="SKB556" s="178"/>
      <c r="SKC556" s="178"/>
      <c r="SKD556" s="178"/>
      <c r="SKE556" s="178"/>
      <c r="SKF556" s="178"/>
      <c r="SKG556" s="178"/>
      <c r="SKH556" s="178"/>
      <c r="SKI556" s="178"/>
      <c r="SKJ556" s="178"/>
      <c r="SKK556" s="178"/>
      <c r="SKL556" s="178"/>
      <c r="SKM556" s="178"/>
      <c r="SKN556" s="178"/>
      <c r="SKO556" s="178"/>
      <c r="SKP556" s="178"/>
      <c r="SKQ556" s="178"/>
      <c r="SKR556" s="178"/>
      <c r="SKS556" s="178"/>
      <c r="SKT556" s="178"/>
      <c r="SKU556" s="178"/>
      <c r="SKV556" s="178"/>
      <c r="SKW556" s="178"/>
      <c r="SKX556" s="178"/>
      <c r="SKY556" s="178"/>
      <c r="SKZ556" s="178"/>
      <c r="SLA556" s="178"/>
      <c r="SLB556" s="178"/>
      <c r="SLC556" s="178"/>
      <c r="SLD556" s="178"/>
      <c r="SLE556" s="178"/>
      <c r="SLF556" s="178"/>
      <c r="SLG556" s="178"/>
      <c r="SLH556" s="178"/>
      <c r="SLI556" s="178"/>
      <c r="SLJ556" s="178"/>
      <c r="SLK556" s="178"/>
      <c r="SLL556" s="178"/>
      <c r="SLM556" s="178"/>
      <c r="SLN556" s="178"/>
      <c r="SLO556" s="178"/>
      <c r="SLP556" s="178"/>
      <c r="SLQ556" s="178"/>
      <c r="SLR556" s="178"/>
      <c r="SLS556" s="178"/>
      <c r="SLT556" s="178"/>
      <c r="SLU556" s="178"/>
      <c r="SLV556" s="178"/>
      <c r="SLW556" s="178"/>
      <c r="SLX556" s="178"/>
      <c r="SLY556" s="178"/>
      <c r="SLZ556" s="178"/>
      <c r="SMA556" s="178"/>
      <c r="SMB556" s="178"/>
      <c r="SMC556" s="178"/>
      <c r="SMD556" s="178"/>
      <c r="SME556" s="178"/>
      <c r="SMF556" s="178"/>
      <c r="SMG556" s="178"/>
      <c r="SMH556" s="178"/>
      <c r="SMI556" s="178"/>
      <c r="SMJ556" s="178"/>
      <c r="SMK556" s="178"/>
      <c r="SML556" s="178"/>
      <c r="SMM556" s="178"/>
      <c r="SMN556" s="178"/>
      <c r="SMO556" s="178"/>
      <c r="SMP556" s="178"/>
      <c r="SMQ556" s="178"/>
      <c r="SMR556" s="178"/>
      <c r="SMS556" s="178"/>
      <c r="SMT556" s="178"/>
      <c r="SMU556" s="178"/>
      <c r="SMV556" s="178"/>
      <c r="SMW556" s="178"/>
      <c r="SMX556" s="178"/>
      <c r="SMY556" s="178"/>
      <c r="SMZ556" s="178"/>
      <c r="SNA556" s="178"/>
      <c r="SNB556" s="178"/>
      <c r="SNC556" s="178"/>
      <c r="SND556" s="178"/>
      <c r="SNE556" s="178"/>
      <c r="SNF556" s="178"/>
      <c r="SNG556" s="178"/>
      <c r="SNH556" s="178"/>
      <c r="SNI556" s="178"/>
      <c r="SNJ556" s="178"/>
      <c r="SNK556" s="178"/>
      <c r="SNL556" s="178"/>
      <c r="SNM556" s="178"/>
      <c r="SNN556" s="178"/>
      <c r="SNO556" s="178"/>
      <c r="SNP556" s="178"/>
      <c r="SNQ556" s="178"/>
      <c r="SNR556" s="178"/>
      <c r="SNS556" s="178"/>
      <c r="SNT556" s="178"/>
      <c r="SNU556" s="178"/>
      <c r="SNV556" s="178"/>
      <c r="SNW556" s="178"/>
      <c r="SNX556" s="178"/>
      <c r="SNY556" s="178"/>
      <c r="SNZ556" s="178"/>
      <c r="SOA556" s="178"/>
      <c r="SOB556" s="178"/>
      <c r="SOC556" s="178"/>
      <c r="SOD556" s="178"/>
      <c r="SOE556" s="178"/>
      <c r="SOF556" s="178"/>
      <c r="SOG556" s="178"/>
      <c r="SOH556" s="178"/>
      <c r="SOI556" s="178"/>
      <c r="SOJ556" s="178"/>
      <c r="SOK556" s="178"/>
      <c r="SOL556" s="178"/>
      <c r="SOM556" s="178"/>
      <c r="SON556" s="178"/>
      <c r="SOO556" s="178"/>
      <c r="SOP556" s="178"/>
      <c r="SOQ556" s="178"/>
      <c r="SOR556" s="178"/>
      <c r="SOS556" s="178"/>
      <c r="SOT556" s="178"/>
      <c r="SOU556" s="178"/>
      <c r="SOV556" s="178"/>
      <c r="SOW556" s="178"/>
      <c r="SOX556" s="178"/>
      <c r="SOY556" s="178"/>
      <c r="SOZ556" s="178"/>
      <c r="SPA556" s="178"/>
      <c r="SPB556" s="178"/>
      <c r="SPC556" s="178"/>
      <c r="SPD556" s="178"/>
      <c r="SPE556" s="178"/>
      <c r="SPF556" s="178"/>
      <c r="SPG556" s="178"/>
      <c r="SPH556" s="178"/>
      <c r="SPI556" s="178"/>
      <c r="SPJ556" s="178"/>
      <c r="SPK556" s="178"/>
      <c r="SPL556" s="178"/>
      <c r="SPM556" s="178"/>
      <c r="SPN556" s="178"/>
      <c r="SPO556" s="178"/>
      <c r="SPP556" s="178"/>
      <c r="SPQ556" s="178"/>
      <c r="SPR556" s="178"/>
      <c r="SPS556" s="178"/>
      <c r="SPT556" s="178"/>
      <c r="SPU556" s="178"/>
      <c r="SPV556" s="178"/>
      <c r="SPW556" s="178"/>
      <c r="SPX556" s="178"/>
      <c r="SPY556" s="178"/>
      <c r="SPZ556" s="178"/>
      <c r="SQA556" s="178"/>
      <c r="SQB556" s="178"/>
      <c r="SQC556" s="178"/>
      <c r="SQD556" s="178"/>
      <c r="SQE556" s="178"/>
      <c r="SQF556" s="178"/>
      <c r="SQG556" s="178"/>
      <c r="SQH556" s="178"/>
      <c r="SQI556" s="178"/>
      <c r="SQJ556" s="178"/>
      <c r="SQK556" s="178"/>
      <c r="SQL556" s="178"/>
      <c r="SQM556" s="178"/>
      <c r="SQN556" s="178"/>
      <c r="SQO556" s="178"/>
      <c r="SQP556" s="178"/>
      <c r="SQQ556" s="178"/>
      <c r="SQR556" s="178"/>
      <c r="SQS556" s="178"/>
      <c r="SQT556" s="178"/>
      <c r="SQU556" s="178"/>
      <c r="SQV556" s="178"/>
      <c r="SQW556" s="178"/>
      <c r="SQX556" s="178"/>
      <c r="SQY556" s="178"/>
      <c r="SQZ556" s="178"/>
      <c r="SRA556" s="178"/>
      <c r="SRB556" s="178"/>
      <c r="SRC556" s="178"/>
      <c r="SRD556" s="178"/>
      <c r="SRE556" s="178"/>
      <c r="SRF556" s="178"/>
      <c r="SRG556" s="178"/>
      <c r="SRH556" s="178"/>
      <c r="SRI556" s="178"/>
      <c r="SRJ556" s="178"/>
      <c r="SRK556" s="178"/>
      <c r="SRL556" s="178"/>
      <c r="SRM556" s="178"/>
      <c r="SRN556" s="178"/>
      <c r="SRO556" s="178"/>
      <c r="SRP556" s="178"/>
      <c r="SRQ556" s="178"/>
      <c r="SRR556" s="178"/>
      <c r="SRS556" s="178"/>
      <c r="SRT556" s="178"/>
      <c r="SRU556" s="178"/>
      <c r="SRV556" s="178"/>
      <c r="SRW556" s="178"/>
      <c r="SRX556" s="178"/>
      <c r="SRY556" s="178"/>
      <c r="SRZ556" s="178"/>
      <c r="SSA556" s="178"/>
      <c r="SSB556" s="178"/>
      <c r="SSC556" s="178"/>
      <c r="SSD556" s="178"/>
      <c r="SSE556" s="178"/>
      <c r="SSF556" s="178"/>
      <c r="SSG556" s="178"/>
      <c r="SSH556" s="178"/>
      <c r="SSI556" s="178"/>
      <c r="SSJ556" s="178"/>
      <c r="SSK556" s="178"/>
      <c r="SSL556" s="178"/>
      <c r="SSM556" s="178"/>
      <c r="SSN556" s="178"/>
      <c r="SSO556" s="178"/>
      <c r="SSP556" s="178"/>
      <c r="SSQ556" s="178"/>
      <c r="SSR556" s="178"/>
      <c r="SSS556" s="178"/>
      <c r="SST556" s="178"/>
      <c r="SSU556" s="178"/>
      <c r="SSV556" s="178"/>
      <c r="SSW556" s="178"/>
      <c r="SSX556" s="178"/>
      <c r="SSY556" s="178"/>
      <c r="SSZ556" s="178"/>
      <c r="STA556" s="178"/>
      <c r="STB556" s="178"/>
      <c r="STC556" s="178"/>
      <c r="STD556" s="178"/>
      <c r="STE556" s="178"/>
      <c r="STF556" s="178"/>
      <c r="STG556" s="178"/>
      <c r="STH556" s="178"/>
      <c r="STI556" s="178"/>
      <c r="STJ556" s="178"/>
      <c r="STK556" s="178"/>
      <c r="STL556" s="178"/>
      <c r="STM556" s="178"/>
      <c r="STN556" s="178"/>
      <c r="STO556" s="178"/>
      <c r="STP556" s="178"/>
      <c r="STQ556" s="178"/>
      <c r="STR556" s="178"/>
      <c r="STS556" s="178"/>
      <c r="STT556" s="178"/>
      <c r="STU556" s="178"/>
      <c r="STV556" s="178"/>
      <c r="STW556" s="178"/>
      <c r="STX556" s="178"/>
      <c r="STY556" s="178"/>
      <c r="STZ556" s="178"/>
      <c r="SUA556" s="178"/>
      <c r="SUB556" s="178"/>
      <c r="SUC556" s="178"/>
      <c r="SUD556" s="178"/>
      <c r="SUE556" s="178"/>
      <c r="SUF556" s="178"/>
      <c r="SUG556" s="178"/>
      <c r="SUH556" s="178"/>
      <c r="SUI556" s="178"/>
      <c r="SUJ556" s="178"/>
      <c r="SUK556" s="178"/>
      <c r="SUL556" s="178"/>
      <c r="SUM556" s="178"/>
      <c r="SUN556" s="178"/>
      <c r="SUO556" s="178"/>
      <c r="SUP556" s="178"/>
      <c r="SUQ556" s="178"/>
      <c r="SUR556" s="178"/>
      <c r="SUS556" s="178"/>
      <c r="SUT556" s="178"/>
      <c r="SUU556" s="178"/>
      <c r="SUV556" s="178"/>
      <c r="SUW556" s="178"/>
      <c r="SUX556" s="178"/>
      <c r="SUY556" s="178"/>
      <c r="SUZ556" s="178"/>
      <c r="SVA556" s="178"/>
      <c r="SVB556" s="178"/>
      <c r="SVC556" s="178"/>
      <c r="SVD556" s="178"/>
      <c r="SVE556" s="178"/>
      <c r="SVF556" s="178"/>
      <c r="SVG556" s="178"/>
      <c r="SVH556" s="178"/>
      <c r="SVI556" s="178"/>
      <c r="SVJ556" s="178"/>
      <c r="SVK556" s="178"/>
      <c r="SVL556" s="178"/>
      <c r="SVM556" s="178"/>
      <c r="SVN556" s="178"/>
      <c r="SVO556" s="178"/>
      <c r="SVP556" s="178"/>
      <c r="SVQ556" s="178"/>
      <c r="SVR556" s="178"/>
      <c r="SVS556" s="178"/>
      <c r="SVT556" s="178"/>
      <c r="SVU556" s="178"/>
      <c r="SVV556" s="178"/>
      <c r="SVW556" s="178"/>
      <c r="SVX556" s="178"/>
      <c r="SVY556" s="178"/>
      <c r="SVZ556" s="178"/>
      <c r="SWA556" s="178"/>
      <c r="SWB556" s="178"/>
      <c r="SWC556" s="178"/>
      <c r="SWD556" s="178"/>
      <c r="SWE556" s="178"/>
      <c r="SWF556" s="178"/>
      <c r="SWG556" s="178"/>
      <c r="SWH556" s="178"/>
      <c r="SWI556" s="178"/>
      <c r="SWJ556" s="178"/>
      <c r="SWK556" s="178"/>
      <c r="SWL556" s="178"/>
      <c r="SWM556" s="178"/>
      <c r="SWN556" s="178"/>
      <c r="SWO556" s="178"/>
      <c r="SWP556" s="178"/>
      <c r="SWQ556" s="178"/>
      <c r="SWR556" s="178"/>
      <c r="SWS556" s="178"/>
      <c r="SWT556" s="178"/>
      <c r="SWU556" s="178"/>
      <c r="SWV556" s="178"/>
      <c r="SWW556" s="178"/>
      <c r="SWX556" s="178"/>
      <c r="SWY556" s="178"/>
      <c r="SWZ556" s="178"/>
      <c r="SXA556" s="178"/>
      <c r="SXB556" s="178"/>
      <c r="SXC556" s="178"/>
      <c r="SXD556" s="178"/>
      <c r="SXE556" s="178"/>
      <c r="SXF556" s="178"/>
      <c r="SXG556" s="178"/>
      <c r="SXH556" s="178"/>
      <c r="SXI556" s="178"/>
      <c r="SXJ556" s="178"/>
      <c r="SXK556" s="178"/>
      <c r="SXL556" s="178"/>
      <c r="SXM556" s="178"/>
      <c r="SXN556" s="178"/>
      <c r="SXO556" s="178"/>
      <c r="SXP556" s="178"/>
      <c r="SXQ556" s="178"/>
      <c r="SXR556" s="178"/>
      <c r="SXS556" s="178"/>
      <c r="SXT556" s="178"/>
      <c r="SXU556" s="178"/>
      <c r="SXV556" s="178"/>
      <c r="SXW556" s="178"/>
      <c r="SXX556" s="178"/>
      <c r="SXY556" s="178"/>
      <c r="SXZ556" s="178"/>
      <c r="SYA556" s="178"/>
      <c r="SYB556" s="178"/>
      <c r="SYC556" s="178"/>
      <c r="SYD556" s="178"/>
      <c r="SYE556" s="178"/>
      <c r="SYF556" s="178"/>
      <c r="SYG556" s="178"/>
      <c r="SYH556" s="178"/>
      <c r="SYI556" s="178"/>
      <c r="SYJ556" s="178"/>
      <c r="SYK556" s="178"/>
      <c r="SYL556" s="178"/>
      <c r="SYM556" s="178"/>
      <c r="SYN556" s="178"/>
      <c r="SYO556" s="178"/>
      <c r="SYP556" s="178"/>
      <c r="SYQ556" s="178"/>
      <c r="SYR556" s="178"/>
      <c r="SYS556" s="178"/>
      <c r="SYT556" s="178"/>
      <c r="SYU556" s="178"/>
      <c r="SYV556" s="178"/>
      <c r="SYW556" s="178"/>
      <c r="SYX556" s="178"/>
      <c r="SYY556" s="178"/>
      <c r="SYZ556" s="178"/>
      <c r="SZA556" s="178"/>
      <c r="SZB556" s="178"/>
      <c r="SZC556" s="178"/>
      <c r="SZD556" s="178"/>
      <c r="SZE556" s="178"/>
      <c r="SZF556" s="178"/>
      <c r="SZG556" s="178"/>
      <c r="SZH556" s="178"/>
      <c r="SZI556" s="178"/>
      <c r="SZJ556" s="178"/>
      <c r="SZK556" s="178"/>
      <c r="SZL556" s="178"/>
      <c r="SZM556" s="178"/>
      <c r="SZN556" s="178"/>
      <c r="SZO556" s="178"/>
      <c r="SZP556" s="178"/>
      <c r="SZQ556" s="178"/>
      <c r="SZR556" s="178"/>
      <c r="SZS556" s="178"/>
      <c r="SZT556" s="178"/>
      <c r="SZU556" s="178"/>
      <c r="SZV556" s="178"/>
      <c r="SZW556" s="178"/>
      <c r="SZX556" s="178"/>
      <c r="SZY556" s="178"/>
      <c r="SZZ556" s="178"/>
      <c r="TAA556" s="178"/>
      <c r="TAB556" s="178"/>
      <c r="TAC556" s="178"/>
      <c r="TAD556" s="178"/>
      <c r="TAE556" s="178"/>
      <c r="TAF556" s="178"/>
      <c r="TAG556" s="178"/>
      <c r="TAH556" s="178"/>
      <c r="TAI556" s="178"/>
      <c r="TAJ556" s="178"/>
      <c r="TAK556" s="178"/>
      <c r="TAL556" s="178"/>
      <c r="TAM556" s="178"/>
      <c r="TAN556" s="178"/>
      <c r="TAO556" s="178"/>
      <c r="TAP556" s="178"/>
      <c r="TAQ556" s="178"/>
      <c r="TAR556" s="178"/>
      <c r="TAS556" s="178"/>
      <c r="TAT556" s="178"/>
      <c r="TAU556" s="178"/>
      <c r="TAV556" s="178"/>
      <c r="TAW556" s="178"/>
      <c r="TAX556" s="178"/>
      <c r="TAY556" s="178"/>
      <c r="TAZ556" s="178"/>
      <c r="TBA556" s="178"/>
      <c r="TBB556" s="178"/>
      <c r="TBC556" s="178"/>
      <c r="TBD556" s="178"/>
      <c r="TBE556" s="178"/>
      <c r="TBF556" s="178"/>
      <c r="TBG556" s="178"/>
      <c r="TBH556" s="178"/>
      <c r="TBI556" s="178"/>
      <c r="TBJ556" s="178"/>
      <c r="TBK556" s="178"/>
      <c r="TBL556" s="178"/>
      <c r="TBM556" s="178"/>
      <c r="TBN556" s="178"/>
      <c r="TBO556" s="178"/>
      <c r="TBP556" s="178"/>
      <c r="TBQ556" s="178"/>
      <c r="TBR556" s="178"/>
      <c r="TBS556" s="178"/>
      <c r="TBT556" s="178"/>
      <c r="TBU556" s="178"/>
      <c r="TBV556" s="178"/>
      <c r="TBW556" s="178"/>
      <c r="TBX556" s="178"/>
      <c r="TBY556" s="178"/>
      <c r="TBZ556" s="178"/>
      <c r="TCA556" s="178"/>
      <c r="TCB556" s="178"/>
      <c r="TCC556" s="178"/>
      <c r="TCD556" s="178"/>
      <c r="TCE556" s="178"/>
      <c r="TCF556" s="178"/>
      <c r="TCG556" s="178"/>
      <c r="TCH556" s="178"/>
      <c r="TCI556" s="178"/>
      <c r="TCJ556" s="178"/>
      <c r="TCK556" s="178"/>
      <c r="TCL556" s="178"/>
      <c r="TCM556" s="178"/>
      <c r="TCN556" s="178"/>
      <c r="TCO556" s="178"/>
      <c r="TCP556" s="178"/>
      <c r="TCQ556" s="178"/>
      <c r="TCR556" s="178"/>
      <c r="TCS556" s="178"/>
      <c r="TCT556" s="178"/>
      <c r="TCU556" s="178"/>
      <c r="TCV556" s="178"/>
      <c r="TCW556" s="178"/>
      <c r="TCX556" s="178"/>
      <c r="TCY556" s="178"/>
      <c r="TCZ556" s="178"/>
      <c r="TDA556" s="178"/>
      <c r="TDB556" s="178"/>
      <c r="TDC556" s="178"/>
      <c r="TDD556" s="178"/>
      <c r="TDE556" s="178"/>
      <c r="TDF556" s="178"/>
      <c r="TDG556" s="178"/>
      <c r="TDH556" s="178"/>
      <c r="TDI556" s="178"/>
      <c r="TDJ556" s="178"/>
      <c r="TDK556" s="178"/>
      <c r="TDL556" s="178"/>
      <c r="TDM556" s="178"/>
      <c r="TDN556" s="178"/>
      <c r="TDO556" s="178"/>
      <c r="TDP556" s="178"/>
      <c r="TDQ556" s="178"/>
      <c r="TDR556" s="178"/>
      <c r="TDS556" s="178"/>
      <c r="TDT556" s="178"/>
      <c r="TDU556" s="178"/>
      <c r="TDV556" s="178"/>
      <c r="TDW556" s="178"/>
      <c r="TDX556" s="178"/>
      <c r="TDY556" s="178"/>
      <c r="TDZ556" s="178"/>
      <c r="TEA556" s="178"/>
      <c r="TEB556" s="178"/>
      <c r="TEC556" s="178"/>
      <c r="TED556" s="178"/>
      <c r="TEE556" s="178"/>
      <c r="TEF556" s="178"/>
      <c r="TEG556" s="178"/>
      <c r="TEH556" s="178"/>
      <c r="TEI556" s="178"/>
      <c r="TEJ556" s="178"/>
      <c r="TEK556" s="178"/>
      <c r="TEL556" s="178"/>
      <c r="TEM556" s="178"/>
      <c r="TEN556" s="178"/>
      <c r="TEO556" s="178"/>
      <c r="TEP556" s="178"/>
      <c r="TEQ556" s="178"/>
      <c r="TER556" s="178"/>
      <c r="TES556" s="178"/>
      <c r="TET556" s="178"/>
      <c r="TEU556" s="178"/>
      <c r="TEV556" s="178"/>
      <c r="TEW556" s="178"/>
      <c r="TEX556" s="178"/>
      <c r="TEY556" s="178"/>
      <c r="TEZ556" s="178"/>
      <c r="TFA556" s="178"/>
      <c r="TFB556" s="178"/>
      <c r="TFC556" s="178"/>
      <c r="TFD556" s="178"/>
      <c r="TFE556" s="178"/>
      <c r="TFF556" s="178"/>
      <c r="TFG556" s="178"/>
      <c r="TFH556" s="178"/>
      <c r="TFI556" s="178"/>
      <c r="TFJ556" s="178"/>
      <c r="TFK556" s="178"/>
      <c r="TFL556" s="178"/>
      <c r="TFM556" s="178"/>
      <c r="TFN556" s="178"/>
      <c r="TFO556" s="178"/>
      <c r="TFP556" s="178"/>
      <c r="TFQ556" s="178"/>
      <c r="TFR556" s="178"/>
      <c r="TFS556" s="178"/>
      <c r="TFT556" s="178"/>
      <c r="TFU556" s="178"/>
      <c r="TFV556" s="178"/>
      <c r="TFW556" s="178"/>
      <c r="TFX556" s="178"/>
      <c r="TFY556" s="178"/>
      <c r="TFZ556" s="178"/>
      <c r="TGA556" s="178"/>
      <c r="TGB556" s="178"/>
      <c r="TGC556" s="178"/>
      <c r="TGD556" s="178"/>
      <c r="TGE556" s="178"/>
      <c r="TGF556" s="178"/>
      <c r="TGG556" s="178"/>
      <c r="TGH556" s="178"/>
      <c r="TGI556" s="178"/>
      <c r="TGJ556" s="178"/>
      <c r="TGK556" s="178"/>
      <c r="TGL556" s="178"/>
      <c r="TGM556" s="178"/>
      <c r="TGN556" s="178"/>
      <c r="TGO556" s="178"/>
      <c r="TGP556" s="178"/>
      <c r="TGQ556" s="178"/>
      <c r="TGR556" s="178"/>
      <c r="TGS556" s="178"/>
      <c r="TGT556" s="178"/>
      <c r="TGU556" s="178"/>
      <c r="TGV556" s="178"/>
      <c r="TGW556" s="178"/>
      <c r="TGX556" s="178"/>
      <c r="TGY556" s="178"/>
      <c r="TGZ556" s="178"/>
      <c r="THA556" s="178"/>
      <c r="THB556" s="178"/>
      <c r="THC556" s="178"/>
      <c r="THD556" s="178"/>
      <c r="THE556" s="178"/>
      <c r="THF556" s="178"/>
      <c r="THG556" s="178"/>
      <c r="THH556" s="178"/>
      <c r="THI556" s="178"/>
      <c r="THJ556" s="178"/>
      <c r="THK556" s="178"/>
      <c r="THL556" s="178"/>
      <c r="THM556" s="178"/>
      <c r="THN556" s="178"/>
      <c r="THO556" s="178"/>
      <c r="THP556" s="178"/>
      <c r="THQ556" s="178"/>
      <c r="THR556" s="178"/>
      <c r="THS556" s="178"/>
      <c r="THT556" s="178"/>
      <c r="THU556" s="178"/>
      <c r="THV556" s="178"/>
      <c r="THW556" s="178"/>
      <c r="THX556" s="178"/>
      <c r="THY556" s="178"/>
      <c r="THZ556" s="178"/>
      <c r="TIA556" s="178"/>
      <c r="TIB556" s="178"/>
      <c r="TIC556" s="178"/>
      <c r="TID556" s="178"/>
      <c r="TIE556" s="178"/>
      <c r="TIF556" s="178"/>
      <c r="TIG556" s="178"/>
      <c r="TIH556" s="178"/>
      <c r="TII556" s="178"/>
      <c r="TIJ556" s="178"/>
      <c r="TIK556" s="178"/>
      <c r="TIL556" s="178"/>
      <c r="TIM556" s="178"/>
      <c r="TIN556" s="178"/>
      <c r="TIO556" s="178"/>
      <c r="TIP556" s="178"/>
      <c r="TIQ556" s="178"/>
      <c r="TIR556" s="178"/>
      <c r="TIS556" s="178"/>
      <c r="TIT556" s="178"/>
      <c r="TIU556" s="178"/>
      <c r="TIV556" s="178"/>
      <c r="TIW556" s="178"/>
      <c r="TIX556" s="178"/>
      <c r="TIY556" s="178"/>
      <c r="TIZ556" s="178"/>
      <c r="TJA556" s="178"/>
      <c r="TJB556" s="178"/>
      <c r="TJC556" s="178"/>
      <c r="TJD556" s="178"/>
      <c r="TJE556" s="178"/>
      <c r="TJF556" s="178"/>
      <c r="TJG556" s="178"/>
      <c r="TJH556" s="178"/>
      <c r="TJI556" s="178"/>
      <c r="TJJ556" s="178"/>
      <c r="TJK556" s="178"/>
      <c r="TJL556" s="178"/>
      <c r="TJM556" s="178"/>
      <c r="TJN556" s="178"/>
      <c r="TJO556" s="178"/>
      <c r="TJP556" s="178"/>
      <c r="TJQ556" s="178"/>
      <c r="TJR556" s="178"/>
      <c r="TJS556" s="178"/>
      <c r="TJT556" s="178"/>
      <c r="TJU556" s="178"/>
      <c r="TJV556" s="178"/>
      <c r="TJW556" s="178"/>
      <c r="TJX556" s="178"/>
      <c r="TJY556" s="178"/>
      <c r="TJZ556" s="178"/>
      <c r="TKA556" s="178"/>
      <c r="TKB556" s="178"/>
      <c r="TKC556" s="178"/>
      <c r="TKD556" s="178"/>
      <c r="TKE556" s="178"/>
      <c r="TKF556" s="178"/>
      <c r="TKG556" s="178"/>
      <c r="TKH556" s="178"/>
      <c r="TKI556" s="178"/>
      <c r="TKJ556" s="178"/>
      <c r="TKK556" s="178"/>
      <c r="TKL556" s="178"/>
      <c r="TKM556" s="178"/>
      <c r="TKN556" s="178"/>
      <c r="TKO556" s="178"/>
      <c r="TKP556" s="178"/>
      <c r="TKQ556" s="178"/>
      <c r="TKR556" s="178"/>
      <c r="TKS556" s="178"/>
      <c r="TKT556" s="178"/>
      <c r="TKU556" s="178"/>
      <c r="TKV556" s="178"/>
      <c r="TKW556" s="178"/>
      <c r="TKX556" s="178"/>
      <c r="TKY556" s="178"/>
      <c r="TKZ556" s="178"/>
      <c r="TLA556" s="178"/>
      <c r="TLB556" s="178"/>
      <c r="TLC556" s="178"/>
      <c r="TLD556" s="178"/>
      <c r="TLE556" s="178"/>
      <c r="TLF556" s="178"/>
      <c r="TLG556" s="178"/>
      <c r="TLH556" s="178"/>
      <c r="TLI556" s="178"/>
      <c r="TLJ556" s="178"/>
      <c r="TLK556" s="178"/>
      <c r="TLL556" s="178"/>
      <c r="TLM556" s="178"/>
      <c r="TLN556" s="178"/>
      <c r="TLO556" s="178"/>
      <c r="TLP556" s="178"/>
      <c r="TLQ556" s="178"/>
      <c r="TLR556" s="178"/>
      <c r="TLS556" s="178"/>
      <c r="TLT556" s="178"/>
      <c r="TLU556" s="178"/>
      <c r="TLV556" s="178"/>
      <c r="TLW556" s="178"/>
      <c r="TLX556" s="178"/>
      <c r="TLY556" s="178"/>
      <c r="TLZ556" s="178"/>
      <c r="TMA556" s="178"/>
      <c r="TMB556" s="178"/>
      <c r="TMC556" s="178"/>
      <c r="TMD556" s="178"/>
      <c r="TME556" s="178"/>
      <c r="TMF556" s="178"/>
      <c r="TMG556" s="178"/>
      <c r="TMH556" s="178"/>
      <c r="TMI556" s="178"/>
      <c r="TMJ556" s="178"/>
      <c r="TMK556" s="178"/>
      <c r="TML556" s="178"/>
      <c r="TMM556" s="178"/>
      <c r="TMN556" s="178"/>
      <c r="TMO556" s="178"/>
      <c r="TMP556" s="178"/>
      <c r="TMQ556" s="178"/>
      <c r="TMR556" s="178"/>
      <c r="TMS556" s="178"/>
      <c r="TMT556" s="178"/>
      <c r="TMU556" s="178"/>
      <c r="TMV556" s="178"/>
      <c r="TMW556" s="178"/>
      <c r="TMX556" s="178"/>
      <c r="TMY556" s="178"/>
      <c r="TMZ556" s="178"/>
      <c r="TNA556" s="178"/>
      <c r="TNB556" s="178"/>
      <c r="TNC556" s="178"/>
      <c r="TND556" s="178"/>
      <c r="TNE556" s="178"/>
      <c r="TNF556" s="178"/>
      <c r="TNG556" s="178"/>
      <c r="TNH556" s="178"/>
      <c r="TNI556" s="178"/>
      <c r="TNJ556" s="178"/>
      <c r="TNK556" s="178"/>
      <c r="TNL556" s="178"/>
      <c r="TNM556" s="178"/>
      <c r="TNN556" s="178"/>
      <c r="TNO556" s="178"/>
      <c r="TNP556" s="178"/>
      <c r="TNQ556" s="178"/>
      <c r="TNR556" s="178"/>
      <c r="TNS556" s="178"/>
      <c r="TNT556" s="178"/>
      <c r="TNU556" s="178"/>
      <c r="TNV556" s="178"/>
      <c r="TNW556" s="178"/>
      <c r="TNX556" s="178"/>
      <c r="TNY556" s="178"/>
      <c r="TNZ556" s="178"/>
      <c r="TOA556" s="178"/>
      <c r="TOB556" s="178"/>
      <c r="TOC556" s="178"/>
      <c r="TOD556" s="178"/>
      <c r="TOE556" s="178"/>
      <c r="TOF556" s="178"/>
      <c r="TOG556" s="178"/>
      <c r="TOH556" s="178"/>
      <c r="TOI556" s="178"/>
      <c r="TOJ556" s="178"/>
      <c r="TOK556" s="178"/>
      <c r="TOL556" s="178"/>
      <c r="TOM556" s="178"/>
      <c r="TON556" s="178"/>
      <c r="TOO556" s="178"/>
      <c r="TOP556" s="178"/>
      <c r="TOQ556" s="178"/>
      <c r="TOR556" s="178"/>
      <c r="TOS556" s="178"/>
      <c r="TOT556" s="178"/>
      <c r="TOU556" s="178"/>
      <c r="TOV556" s="178"/>
      <c r="TOW556" s="178"/>
      <c r="TOX556" s="178"/>
      <c r="TOY556" s="178"/>
      <c r="TOZ556" s="178"/>
      <c r="TPA556" s="178"/>
      <c r="TPB556" s="178"/>
      <c r="TPC556" s="178"/>
      <c r="TPD556" s="178"/>
      <c r="TPE556" s="178"/>
      <c r="TPF556" s="178"/>
      <c r="TPG556" s="178"/>
      <c r="TPH556" s="178"/>
      <c r="TPI556" s="178"/>
      <c r="TPJ556" s="178"/>
      <c r="TPK556" s="178"/>
      <c r="TPL556" s="178"/>
      <c r="TPM556" s="178"/>
      <c r="TPN556" s="178"/>
      <c r="TPO556" s="178"/>
      <c r="TPP556" s="178"/>
      <c r="TPQ556" s="178"/>
      <c r="TPR556" s="178"/>
      <c r="TPS556" s="178"/>
      <c r="TPT556" s="178"/>
      <c r="TPU556" s="178"/>
      <c r="TPV556" s="178"/>
      <c r="TPW556" s="178"/>
      <c r="TPX556" s="178"/>
      <c r="TPY556" s="178"/>
      <c r="TPZ556" s="178"/>
      <c r="TQA556" s="178"/>
      <c r="TQB556" s="178"/>
      <c r="TQC556" s="178"/>
      <c r="TQD556" s="178"/>
      <c r="TQE556" s="178"/>
      <c r="TQF556" s="178"/>
      <c r="TQG556" s="178"/>
      <c r="TQH556" s="178"/>
      <c r="TQI556" s="178"/>
      <c r="TQJ556" s="178"/>
      <c r="TQK556" s="178"/>
      <c r="TQL556" s="178"/>
      <c r="TQM556" s="178"/>
      <c r="TQN556" s="178"/>
      <c r="TQO556" s="178"/>
      <c r="TQP556" s="178"/>
      <c r="TQQ556" s="178"/>
      <c r="TQR556" s="178"/>
      <c r="TQS556" s="178"/>
      <c r="TQT556" s="178"/>
      <c r="TQU556" s="178"/>
      <c r="TQV556" s="178"/>
      <c r="TQW556" s="178"/>
      <c r="TQX556" s="178"/>
      <c r="TQY556" s="178"/>
      <c r="TQZ556" s="178"/>
      <c r="TRA556" s="178"/>
      <c r="TRB556" s="178"/>
      <c r="TRC556" s="178"/>
      <c r="TRD556" s="178"/>
      <c r="TRE556" s="178"/>
      <c r="TRF556" s="178"/>
      <c r="TRG556" s="178"/>
      <c r="TRH556" s="178"/>
      <c r="TRI556" s="178"/>
      <c r="TRJ556" s="178"/>
      <c r="TRK556" s="178"/>
      <c r="TRL556" s="178"/>
      <c r="TRM556" s="178"/>
      <c r="TRN556" s="178"/>
      <c r="TRO556" s="178"/>
      <c r="TRP556" s="178"/>
      <c r="TRQ556" s="178"/>
      <c r="TRR556" s="178"/>
      <c r="TRS556" s="178"/>
      <c r="TRT556" s="178"/>
      <c r="TRU556" s="178"/>
      <c r="TRV556" s="178"/>
      <c r="TRW556" s="178"/>
      <c r="TRX556" s="178"/>
      <c r="TRY556" s="178"/>
      <c r="TRZ556" s="178"/>
      <c r="TSA556" s="178"/>
      <c r="TSB556" s="178"/>
      <c r="TSC556" s="178"/>
      <c r="TSD556" s="178"/>
      <c r="TSE556" s="178"/>
      <c r="TSF556" s="178"/>
      <c r="TSG556" s="178"/>
      <c r="TSH556" s="178"/>
      <c r="TSI556" s="178"/>
      <c r="TSJ556" s="178"/>
      <c r="TSK556" s="178"/>
      <c r="TSL556" s="178"/>
      <c r="TSM556" s="178"/>
      <c r="TSN556" s="178"/>
      <c r="TSO556" s="178"/>
      <c r="TSP556" s="178"/>
      <c r="TSQ556" s="178"/>
      <c r="TSR556" s="178"/>
      <c r="TSS556" s="178"/>
      <c r="TST556" s="178"/>
      <c r="TSU556" s="178"/>
      <c r="TSV556" s="178"/>
      <c r="TSW556" s="178"/>
      <c r="TSX556" s="178"/>
      <c r="TSY556" s="178"/>
      <c r="TSZ556" s="178"/>
      <c r="TTA556" s="178"/>
      <c r="TTB556" s="178"/>
      <c r="TTC556" s="178"/>
      <c r="TTD556" s="178"/>
      <c r="TTE556" s="178"/>
      <c r="TTF556" s="178"/>
      <c r="TTG556" s="178"/>
      <c r="TTH556" s="178"/>
      <c r="TTI556" s="178"/>
      <c r="TTJ556" s="178"/>
      <c r="TTK556" s="178"/>
      <c r="TTL556" s="178"/>
      <c r="TTM556" s="178"/>
      <c r="TTN556" s="178"/>
      <c r="TTO556" s="178"/>
      <c r="TTP556" s="178"/>
      <c r="TTQ556" s="178"/>
      <c r="TTR556" s="178"/>
      <c r="TTS556" s="178"/>
      <c r="TTT556" s="178"/>
      <c r="TTU556" s="178"/>
      <c r="TTV556" s="178"/>
      <c r="TTW556" s="178"/>
      <c r="TTX556" s="178"/>
      <c r="TTY556" s="178"/>
      <c r="TTZ556" s="178"/>
      <c r="TUA556" s="178"/>
      <c r="TUB556" s="178"/>
      <c r="TUC556" s="178"/>
      <c r="TUD556" s="178"/>
      <c r="TUE556" s="178"/>
      <c r="TUF556" s="178"/>
      <c r="TUG556" s="178"/>
      <c r="TUH556" s="178"/>
      <c r="TUI556" s="178"/>
      <c r="TUJ556" s="178"/>
      <c r="TUK556" s="178"/>
      <c r="TUL556" s="178"/>
      <c r="TUM556" s="178"/>
      <c r="TUN556" s="178"/>
      <c r="TUO556" s="178"/>
      <c r="TUP556" s="178"/>
      <c r="TUQ556" s="178"/>
      <c r="TUR556" s="178"/>
      <c r="TUS556" s="178"/>
      <c r="TUT556" s="178"/>
      <c r="TUU556" s="178"/>
      <c r="TUV556" s="178"/>
      <c r="TUW556" s="178"/>
      <c r="TUX556" s="178"/>
      <c r="TUY556" s="178"/>
      <c r="TUZ556" s="178"/>
      <c r="TVA556" s="178"/>
      <c r="TVB556" s="178"/>
      <c r="TVC556" s="178"/>
      <c r="TVD556" s="178"/>
      <c r="TVE556" s="178"/>
      <c r="TVF556" s="178"/>
      <c r="TVG556" s="178"/>
      <c r="TVH556" s="178"/>
      <c r="TVI556" s="178"/>
      <c r="TVJ556" s="178"/>
      <c r="TVK556" s="178"/>
      <c r="TVL556" s="178"/>
      <c r="TVM556" s="178"/>
      <c r="TVN556" s="178"/>
      <c r="TVO556" s="178"/>
      <c r="TVP556" s="178"/>
      <c r="TVQ556" s="178"/>
      <c r="TVR556" s="178"/>
      <c r="TVS556" s="178"/>
      <c r="TVT556" s="178"/>
      <c r="TVU556" s="178"/>
      <c r="TVV556" s="178"/>
      <c r="TVW556" s="178"/>
      <c r="TVX556" s="178"/>
      <c r="TVY556" s="178"/>
      <c r="TVZ556" s="178"/>
      <c r="TWA556" s="178"/>
      <c r="TWB556" s="178"/>
      <c r="TWC556" s="178"/>
      <c r="TWD556" s="178"/>
      <c r="TWE556" s="178"/>
      <c r="TWF556" s="178"/>
      <c r="TWG556" s="178"/>
      <c r="TWH556" s="178"/>
      <c r="TWI556" s="178"/>
      <c r="TWJ556" s="178"/>
      <c r="TWK556" s="178"/>
      <c r="TWL556" s="178"/>
      <c r="TWM556" s="178"/>
      <c r="TWN556" s="178"/>
      <c r="TWO556" s="178"/>
      <c r="TWP556" s="178"/>
      <c r="TWQ556" s="178"/>
      <c r="TWR556" s="178"/>
      <c r="TWS556" s="178"/>
      <c r="TWT556" s="178"/>
      <c r="TWU556" s="178"/>
      <c r="TWV556" s="178"/>
      <c r="TWW556" s="178"/>
      <c r="TWX556" s="178"/>
      <c r="TWY556" s="178"/>
      <c r="TWZ556" s="178"/>
      <c r="TXA556" s="178"/>
      <c r="TXB556" s="178"/>
      <c r="TXC556" s="178"/>
      <c r="TXD556" s="178"/>
      <c r="TXE556" s="178"/>
      <c r="TXF556" s="178"/>
      <c r="TXG556" s="178"/>
      <c r="TXH556" s="178"/>
      <c r="TXI556" s="178"/>
      <c r="TXJ556" s="178"/>
      <c r="TXK556" s="178"/>
      <c r="TXL556" s="178"/>
      <c r="TXM556" s="178"/>
      <c r="TXN556" s="178"/>
      <c r="TXO556" s="178"/>
      <c r="TXP556" s="178"/>
      <c r="TXQ556" s="178"/>
      <c r="TXR556" s="178"/>
      <c r="TXS556" s="178"/>
      <c r="TXT556" s="178"/>
      <c r="TXU556" s="178"/>
      <c r="TXV556" s="178"/>
      <c r="TXW556" s="178"/>
      <c r="TXX556" s="178"/>
      <c r="TXY556" s="178"/>
      <c r="TXZ556" s="178"/>
      <c r="TYA556" s="178"/>
      <c r="TYB556" s="178"/>
      <c r="TYC556" s="178"/>
      <c r="TYD556" s="178"/>
      <c r="TYE556" s="178"/>
      <c r="TYF556" s="178"/>
      <c r="TYG556" s="178"/>
      <c r="TYH556" s="178"/>
      <c r="TYI556" s="178"/>
      <c r="TYJ556" s="178"/>
      <c r="TYK556" s="178"/>
      <c r="TYL556" s="178"/>
      <c r="TYM556" s="178"/>
      <c r="TYN556" s="178"/>
      <c r="TYO556" s="178"/>
      <c r="TYP556" s="178"/>
      <c r="TYQ556" s="178"/>
      <c r="TYR556" s="178"/>
      <c r="TYS556" s="178"/>
      <c r="TYT556" s="178"/>
      <c r="TYU556" s="178"/>
      <c r="TYV556" s="178"/>
      <c r="TYW556" s="178"/>
      <c r="TYX556" s="178"/>
      <c r="TYY556" s="178"/>
      <c r="TYZ556" s="178"/>
      <c r="TZA556" s="178"/>
      <c r="TZB556" s="178"/>
      <c r="TZC556" s="178"/>
      <c r="TZD556" s="178"/>
      <c r="TZE556" s="178"/>
      <c r="TZF556" s="178"/>
      <c r="TZG556" s="178"/>
      <c r="TZH556" s="178"/>
      <c r="TZI556" s="178"/>
      <c r="TZJ556" s="178"/>
      <c r="TZK556" s="178"/>
      <c r="TZL556" s="178"/>
      <c r="TZM556" s="178"/>
      <c r="TZN556" s="178"/>
      <c r="TZO556" s="178"/>
      <c r="TZP556" s="178"/>
      <c r="TZQ556" s="178"/>
      <c r="TZR556" s="178"/>
      <c r="TZS556" s="178"/>
      <c r="TZT556" s="178"/>
      <c r="TZU556" s="178"/>
      <c r="TZV556" s="178"/>
      <c r="TZW556" s="178"/>
      <c r="TZX556" s="178"/>
      <c r="TZY556" s="178"/>
      <c r="TZZ556" s="178"/>
      <c r="UAA556" s="178"/>
      <c r="UAB556" s="178"/>
      <c r="UAC556" s="178"/>
      <c r="UAD556" s="178"/>
      <c r="UAE556" s="178"/>
      <c r="UAF556" s="178"/>
      <c r="UAG556" s="178"/>
      <c r="UAH556" s="178"/>
      <c r="UAI556" s="178"/>
      <c r="UAJ556" s="178"/>
      <c r="UAK556" s="178"/>
      <c r="UAL556" s="178"/>
      <c r="UAM556" s="178"/>
      <c r="UAN556" s="178"/>
      <c r="UAO556" s="178"/>
      <c r="UAP556" s="178"/>
      <c r="UAQ556" s="178"/>
      <c r="UAR556" s="178"/>
      <c r="UAS556" s="178"/>
      <c r="UAT556" s="178"/>
      <c r="UAU556" s="178"/>
      <c r="UAV556" s="178"/>
      <c r="UAW556" s="178"/>
      <c r="UAX556" s="178"/>
      <c r="UAY556" s="178"/>
      <c r="UAZ556" s="178"/>
      <c r="UBA556" s="178"/>
      <c r="UBB556" s="178"/>
      <c r="UBC556" s="178"/>
      <c r="UBD556" s="178"/>
      <c r="UBE556" s="178"/>
      <c r="UBF556" s="178"/>
      <c r="UBG556" s="178"/>
      <c r="UBH556" s="178"/>
      <c r="UBI556" s="178"/>
      <c r="UBJ556" s="178"/>
      <c r="UBK556" s="178"/>
      <c r="UBL556" s="178"/>
      <c r="UBM556" s="178"/>
      <c r="UBN556" s="178"/>
      <c r="UBO556" s="178"/>
      <c r="UBP556" s="178"/>
      <c r="UBQ556" s="178"/>
      <c r="UBR556" s="178"/>
      <c r="UBS556" s="178"/>
      <c r="UBT556" s="178"/>
      <c r="UBU556" s="178"/>
      <c r="UBV556" s="178"/>
      <c r="UBW556" s="178"/>
      <c r="UBX556" s="178"/>
      <c r="UBY556" s="178"/>
      <c r="UBZ556" s="178"/>
      <c r="UCA556" s="178"/>
      <c r="UCB556" s="178"/>
      <c r="UCC556" s="178"/>
      <c r="UCD556" s="178"/>
      <c r="UCE556" s="178"/>
      <c r="UCF556" s="178"/>
      <c r="UCG556" s="178"/>
      <c r="UCH556" s="178"/>
      <c r="UCI556" s="178"/>
      <c r="UCJ556" s="178"/>
      <c r="UCK556" s="178"/>
      <c r="UCL556" s="178"/>
      <c r="UCM556" s="178"/>
      <c r="UCN556" s="178"/>
      <c r="UCO556" s="178"/>
      <c r="UCP556" s="178"/>
      <c r="UCQ556" s="178"/>
      <c r="UCR556" s="178"/>
      <c r="UCS556" s="178"/>
      <c r="UCT556" s="178"/>
      <c r="UCU556" s="178"/>
      <c r="UCV556" s="178"/>
      <c r="UCW556" s="178"/>
      <c r="UCX556" s="178"/>
      <c r="UCY556" s="178"/>
      <c r="UCZ556" s="178"/>
      <c r="UDA556" s="178"/>
      <c r="UDB556" s="178"/>
      <c r="UDC556" s="178"/>
      <c r="UDD556" s="178"/>
      <c r="UDE556" s="178"/>
      <c r="UDF556" s="178"/>
      <c r="UDG556" s="178"/>
      <c r="UDH556" s="178"/>
      <c r="UDI556" s="178"/>
      <c r="UDJ556" s="178"/>
      <c r="UDK556" s="178"/>
      <c r="UDL556" s="178"/>
      <c r="UDM556" s="178"/>
      <c r="UDN556" s="178"/>
      <c r="UDO556" s="178"/>
      <c r="UDP556" s="178"/>
      <c r="UDQ556" s="178"/>
      <c r="UDR556" s="178"/>
      <c r="UDS556" s="178"/>
      <c r="UDT556" s="178"/>
      <c r="UDU556" s="178"/>
      <c r="UDV556" s="178"/>
      <c r="UDW556" s="178"/>
      <c r="UDX556" s="178"/>
      <c r="UDY556" s="178"/>
      <c r="UDZ556" s="178"/>
      <c r="UEA556" s="178"/>
      <c r="UEB556" s="178"/>
      <c r="UEC556" s="178"/>
      <c r="UED556" s="178"/>
      <c r="UEE556" s="178"/>
      <c r="UEF556" s="178"/>
      <c r="UEG556" s="178"/>
      <c r="UEH556" s="178"/>
      <c r="UEI556" s="178"/>
      <c r="UEJ556" s="178"/>
      <c r="UEK556" s="178"/>
      <c r="UEL556" s="178"/>
      <c r="UEM556" s="178"/>
      <c r="UEN556" s="178"/>
      <c r="UEO556" s="178"/>
      <c r="UEP556" s="178"/>
      <c r="UEQ556" s="178"/>
      <c r="UER556" s="178"/>
      <c r="UES556" s="178"/>
      <c r="UET556" s="178"/>
      <c r="UEU556" s="178"/>
      <c r="UEV556" s="178"/>
      <c r="UEW556" s="178"/>
      <c r="UEX556" s="178"/>
      <c r="UEY556" s="178"/>
      <c r="UEZ556" s="178"/>
      <c r="UFA556" s="178"/>
      <c r="UFB556" s="178"/>
      <c r="UFC556" s="178"/>
      <c r="UFD556" s="178"/>
      <c r="UFE556" s="178"/>
      <c r="UFF556" s="178"/>
      <c r="UFG556" s="178"/>
      <c r="UFH556" s="178"/>
      <c r="UFI556" s="178"/>
      <c r="UFJ556" s="178"/>
      <c r="UFK556" s="178"/>
      <c r="UFL556" s="178"/>
      <c r="UFM556" s="178"/>
      <c r="UFN556" s="178"/>
      <c r="UFO556" s="178"/>
      <c r="UFP556" s="178"/>
      <c r="UFQ556" s="178"/>
      <c r="UFR556" s="178"/>
      <c r="UFS556" s="178"/>
      <c r="UFT556" s="178"/>
      <c r="UFU556" s="178"/>
      <c r="UFV556" s="178"/>
      <c r="UFW556" s="178"/>
      <c r="UFX556" s="178"/>
      <c r="UFY556" s="178"/>
      <c r="UFZ556" s="178"/>
      <c r="UGA556" s="178"/>
      <c r="UGB556" s="178"/>
      <c r="UGC556" s="178"/>
      <c r="UGD556" s="178"/>
      <c r="UGE556" s="178"/>
      <c r="UGF556" s="178"/>
      <c r="UGG556" s="178"/>
      <c r="UGH556" s="178"/>
      <c r="UGI556" s="178"/>
      <c r="UGJ556" s="178"/>
      <c r="UGK556" s="178"/>
      <c r="UGL556" s="178"/>
      <c r="UGM556" s="178"/>
      <c r="UGN556" s="178"/>
      <c r="UGO556" s="178"/>
      <c r="UGP556" s="178"/>
      <c r="UGQ556" s="178"/>
      <c r="UGR556" s="178"/>
      <c r="UGS556" s="178"/>
      <c r="UGT556" s="178"/>
      <c r="UGU556" s="178"/>
      <c r="UGV556" s="178"/>
      <c r="UGW556" s="178"/>
      <c r="UGX556" s="178"/>
      <c r="UGY556" s="178"/>
      <c r="UGZ556" s="178"/>
      <c r="UHA556" s="178"/>
      <c r="UHB556" s="178"/>
      <c r="UHC556" s="178"/>
      <c r="UHD556" s="178"/>
      <c r="UHE556" s="178"/>
      <c r="UHF556" s="178"/>
      <c r="UHG556" s="178"/>
      <c r="UHH556" s="178"/>
      <c r="UHI556" s="178"/>
      <c r="UHJ556" s="178"/>
      <c r="UHK556" s="178"/>
      <c r="UHL556" s="178"/>
      <c r="UHM556" s="178"/>
      <c r="UHN556" s="178"/>
      <c r="UHO556" s="178"/>
      <c r="UHP556" s="178"/>
      <c r="UHQ556" s="178"/>
      <c r="UHR556" s="178"/>
      <c r="UHS556" s="178"/>
      <c r="UHT556" s="178"/>
      <c r="UHU556" s="178"/>
      <c r="UHV556" s="178"/>
      <c r="UHW556" s="178"/>
      <c r="UHX556" s="178"/>
      <c r="UHY556" s="178"/>
      <c r="UHZ556" s="178"/>
      <c r="UIA556" s="178"/>
      <c r="UIB556" s="178"/>
      <c r="UIC556" s="178"/>
      <c r="UID556" s="178"/>
      <c r="UIE556" s="178"/>
      <c r="UIF556" s="178"/>
      <c r="UIG556" s="178"/>
      <c r="UIH556" s="178"/>
      <c r="UII556" s="178"/>
      <c r="UIJ556" s="178"/>
      <c r="UIK556" s="178"/>
      <c r="UIL556" s="178"/>
      <c r="UIM556" s="178"/>
      <c r="UIN556" s="178"/>
      <c r="UIO556" s="178"/>
      <c r="UIP556" s="178"/>
      <c r="UIQ556" s="178"/>
      <c r="UIR556" s="178"/>
      <c r="UIS556" s="178"/>
      <c r="UIT556" s="178"/>
      <c r="UIU556" s="178"/>
      <c r="UIV556" s="178"/>
      <c r="UIW556" s="178"/>
      <c r="UIX556" s="178"/>
      <c r="UIY556" s="178"/>
      <c r="UIZ556" s="178"/>
      <c r="UJA556" s="178"/>
      <c r="UJB556" s="178"/>
      <c r="UJC556" s="178"/>
      <c r="UJD556" s="178"/>
      <c r="UJE556" s="178"/>
      <c r="UJF556" s="178"/>
      <c r="UJG556" s="178"/>
      <c r="UJH556" s="178"/>
      <c r="UJI556" s="178"/>
      <c r="UJJ556" s="178"/>
      <c r="UJK556" s="178"/>
      <c r="UJL556" s="178"/>
      <c r="UJM556" s="178"/>
      <c r="UJN556" s="178"/>
      <c r="UJO556" s="178"/>
      <c r="UJP556" s="178"/>
      <c r="UJQ556" s="178"/>
      <c r="UJR556" s="178"/>
      <c r="UJS556" s="178"/>
      <c r="UJT556" s="178"/>
      <c r="UJU556" s="178"/>
      <c r="UJV556" s="178"/>
      <c r="UJW556" s="178"/>
      <c r="UJX556" s="178"/>
      <c r="UJY556" s="178"/>
      <c r="UJZ556" s="178"/>
      <c r="UKA556" s="178"/>
      <c r="UKB556" s="178"/>
      <c r="UKC556" s="178"/>
      <c r="UKD556" s="178"/>
      <c r="UKE556" s="178"/>
      <c r="UKF556" s="178"/>
      <c r="UKG556" s="178"/>
      <c r="UKH556" s="178"/>
      <c r="UKI556" s="178"/>
      <c r="UKJ556" s="178"/>
      <c r="UKK556" s="178"/>
      <c r="UKL556" s="178"/>
      <c r="UKM556" s="178"/>
      <c r="UKN556" s="178"/>
      <c r="UKO556" s="178"/>
      <c r="UKP556" s="178"/>
      <c r="UKQ556" s="178"/>
      <c r="UKR556" s="178"/>
      <c r="UKS556" s="178"/>
      <c r="UKT556" s="178"/>
      <c r="UKU556" s="178"/>
      <c r="UKV556" s="178"/>
      <c r="UKW556" s="178"/>
      <c r="UKX556" s="178"/>
      <c r="UKY556" s="178"/>
      <c r="UKZ556" s="178"/>
      <c r="ULA556" s="178"/>
      <c r="ULB556" s="178"/>
      <c r="ULC556" s="178"/>
      <c r="ULD556" s="178"/>
      <c r="ULE556" s="178"/>
      <c r="ULF556" s="178"/>
      <c r="ULG556" s="178"/>
      <c r="ULH556" s="178"/>
      <c r="ULI556" s="178"/>
      <c r="ULJ556" s="178"/>
      <c r="ULK556" s="178"/>
      <c r="ULL556" s="178"/>
      <c r="ULM556" s="178"/>
      <c r="ULN556" s="178"/>
      <c r="ULO556" s="178"/>
      <c r="ULP556" s="178"/>
      <c r="ULQ556" s="178"/>
      <c r="ULR556" s="178"/>
      <c r="ULS556" s="178"/>
      <c r="ULT556" s="178"/>
      <c r="ULU556" s="178"/>
      <c r="ULV556" s="178"/>
      <c r="ULW556" s="178"/>
      <c r="ULX556" s="178"/>
      <c r="ULY556" s="178"/>
      <c r="ULZ556" s="178"/>
      <c r="UMA556" s="178"/>
      <c r="UMB556" s="178"/>
      <c r="UMC556" s="178"/>
      <c r="UMD556" s="178"/>
      <c r="UME556" s="178"/>
      <c r="UMF556" s="178"/>
      <c r="UMG556" s="178"/>
      <c r="UMH556" s="178"/>
      <c r="UMI556" s="178"/>
      <c r="UMJ556" s="178"/>
      <c r="UMK556" s="178"/>
      <c r="UML556" s="178"/>
      <c r="UMM556" s="178"/>
      <c r="UMN556" s="178"/>
      <c r="UMO556" s="178"/>
      <c r="UMP556" s="178"/>
      <c r="UMQ556" s="178"/>
      <c r="UMR556" s="178"/>
      <c r="UMS556" s="178"/>
      <c r="UMT556" s="178"/>
      <c r="UMU556" s="178"/>
      <c r="UMV556" s="178"/>
      <c r="UMW556" s="178"/>
      <c r="UMX556" s="178"/>
      <c r="UMY556" s="178"/>
      <c r="UMZ556" s="178"/>
      <c r="UNA556" s="178"/>
      <c r="UNB556" s="178"/>
      <c r="UNC556" s="178"/>
      <c r="UND556" s="178"/>
      <c r="UNE556" s="178"/>
      <c r="UNF556" s="178"/>
      <c r="UNG556" s="178"/>
      <c r="UNH556" s="178"/>
      <c r="UNI556" s="178"/>
      <c r="UNJ556" s="178"/>
      <c r="UNK556" s="178"/>
      <c r="UNL556" s="178"/>
      <c r="UNM556" s="178"/>
      <c r="UNN556" s="178"/>
      <c r="UNO556" s="178"/>
      <c r="UNP556" s="178"/>
      <c r="UNQ556" s="178"/>
      <c r="UNR556" s="178"/>
      <c r="UNS556" s="178"/>
      <c r="UNT556" s="178"/>
      <c r="UNU556" s="178"/>
      <c r="UNV556" s="178"/>
      <c r="UNW556" s="178"/>
      <c r="UNX556" s="178"/>
      <c r="UNY556" s="178"/>
      <c r="UNZ556" s="178"/>
      <c r="UOA556" s="178"/>
      <c r="UOB556" s="178"/>
      <c r="UOC556" s="178"/>
      <c r="UOD556" s="178"/>
      <c r="UOE556" s="178"/>
      <c r="UOF556" s="178"/>
      <c r="UOG556" s="178"/>
      <c r="UOH556" s="178"/>
      <c r="UOI556" s="178"/>
      <c r="UOJ556" s="178"/>
      <c r="UOK556" s="178"/>
      <c r="UOL556" s="178"/>
      <c r="UOM556" s="178"/>
      <c r="UON556" s="178"/>
      <c r="UOO556" s="178"/>
      <c r="UOP556" s="178"/>
      <c r="UOQ556" s="178"/>
      <c r="UOR556" s="178"/>
      <c r="UOS556" s="178"/>
      <c r="UOT556" s="178"/>
      <c r="UOU556" s="178"/>
      <c r="UOV556" s="178"/>
      <c r="UOW556" s="178"/>
      <c r="UOX556" s="178"/>
      <c r="UOY556" s="178"/>
      <c r="UOZ556" s="178"/>
      <c r="UPA556" s="178"/>
      <c r="UPB556" s="178"/>
      <c r="UPC556" s="178"/>
      <c r="UPD556" s="178"/>
      <c r="UPE556" s="178"/>
      <c r="UPF556" s="178"/>
      <c r="UPG556" s="178"/>
      <c r="UPH556" s="178"/>
      <c r="UPI556" s="178"/>
      <c r="UPJ556" s="178"/>
      <c r="UPK556" s="178"/>
      <c r="UPL556" s="178"/>
      <c r="UPM556" s="178"/>
      <c r="UPN556" s="178"/>
      <c r="UPO556" s="178"/>
      <c r="UPP556" s="178"/>
      <c r="UPQ556" s="178"/>
      <c r="UPR556" s="178"/>
      <c r="UPS556" s="178"/>
      <c r="UPT556" s="178"/>
      <c r="UPU556" s="178"/>
      <c r="UPV556" s="178"/>
      <c r="UPW556" s="178"/>
      <c r="UPX556" s="178"/>
      <c r="UPY556" s="178"/>
      <c r="UPZ556" s="178"/>
      <c r="UQA556" s="178"/>
      <c r="UQB556" s="178"/>
      <c r="UQC556" s="178"/>
      <c r="UQD556" s="178"/>
      <c r="UQE556" s="178"/>
      <c r="UQF556" s="178"/>
      <c r="UQG556" s="178"/>
      <c r="UQH556" s="178"/>
      <c r="UQI556" s="178"/>
      <c r="UQJ556" s="178"/>
      <c r="UQK556" s="178"/>
      <c r="UQL556" s="178"/>
      <c r="UQM556" s="178"/>
      <c r="UQN556" s="178"/>
      <c r="UQO556" s="178"/>
      <c r="UQP556" s="178"/>
      <c r="UQQ556" s="178"/>
      <c r="UQR556" s="178"/>
      <c r="UQS556" s="178"/>
      <c r="UQT556" s="178"/>
      <c r="UQU556" s="178"/>
      <c r="UQV556" s="178"/>
      <c r="UQW556" s="178"/>
      <c r="UQX556" s="178"/>
      <c r="UQY556" s="178"/>
      <c r="UQZ556" s="178"/>
      <c r="URA556" s="178"/>
      <c r="URB556" s="178"/>
      <c r="URC556" s="178"/>
      <c r="URD556" s="178"/>
      <c r="URE556" s="178"/>
      <c r="URF556" s="178"/>
      <c r="URG556" s="178"/>
      <c r="URH556" s="178"/>
      <c r="URI556" s="178"/>
      <c r="URJ556" s="178"/>
      <c r="URK556" s="178"/>
      <c r="URL556" s="178"/>
      <c r="URM556" s="178"/>
      <c r="URN556" s="178"/>
      <c r="URO556" s="178"/>
      <c r="URP556" s="178"/>
      <c r="URQ556" s="178"/>
      <c r="URR556" s="178"/>
      <c r="URS556" s="178"/>
      <c r="URT556" s="178"/>
      <c r="URU556" s="178"/>
      <c r="URV556" s="178"/>
      <c r="URW556" s="178"/>
      <c r="URX556" s="178"/>
      <c r="URY556" s="178"/>
      <c r="URZ556" s="178"/>
      <c r="USA556" s="178"/>
      <c r="USB556" s="178"/>
      <c r="USC556" s="178"/>
      <c r="USD556" s="178"/>
      <c r="USE556" s="178"/>
      <c r="USF556" s="178"/>
      <c r="USG556" s="178"/>
      <c r="USH556" s="178"/>
      <c r="USI556" s="178"/>
      <c r="USJ556" s="178"/>
      <c r="USK556" s="178"/>
      <c r="USL556" s="178"/>
      <c r="USM556" s="178"/>
      <c r="USN556" s="178"/>
      <c r="USO556" s="178"/>
      <c r="USP556" s="178"/>
      <c r="USQ556" s="178"/>
      <c r="USR556" s="178"/>
      <c r="USS556" s="178"/>
      <c r="UST556" s="178"/>
      <c r="USU556" s="178"/>
      <c r="USV556" s="178"/>
      <c r="USW556" s="178"/>
      <c r="USX556" s="178"/>
      <c r="USY556" s="178"/>
      <c r="USZ556" s="178"/>
      <c r="UTA556" s="178"/>
      <c r="UTB556" s="178"/>
      <c r="UTC556" s="178"/>
      <c r="UTD556" s="178"/>
      <c r="UTE556" s="178"/>
      <c r="UTF556" s="178"/>
      <c r="UTG556" s="178"/>
      <c r="UTH556" s="178"/>
      <c r="UTI556" s="178"/>
      <c r="UTJ556" s="178"/>
      <c r="UTK556" s="178"/>
      <c r="UTL556" s="178"/>
      <c r="UTM556" s="178"/>
      <c r="UTN556" s="178"/>
      <c r="UTO556" s="178"/>
      <c r="UTP556" s="178"/>
      <c r="UTQ556" s="178"/>
      <c r="UTR556" s="178"/>
      <c r="UTS556" s="178"/>
      <c r="UTT556" s="178"/>
      <c r="UTU556" s="178"/>
      <c r="UTV556" s="178"/>
      <c r="UTW556" s="178"/>
      <c r="UTX556" s="178"/>
      <c r="UTY556" s="178"/>
      <c r="UTZ556" s="178"/>
      <c r="UUA556" s="178"/>
      <c r="UUB556" s="178"/>
      <c r="UUC556" s="178"/>
      <c r="UUD556" s="178"/>
      <c r="UUE556" s="178"/>
      <c r="UUF556" s="178"/>
      <c r="UUG556" s="178"/>
      <c r="UUH556" s="178"/>
      <c r="UUI556" s="178"/>
      <c r="UUJ556" s="178"/>
      <c r="UUK556" s="178"/>
      <c r="UUL556" s="178"/>
      <c r="UUM556" s="178"/>
      <c r="UUN556" s="178"/>
      <c r="UUO556" s="178"/>
      <c r="UUP556" s="178"/>
      <c r="UUQ556" s="178"/>
      <c r="UUR556" s="178"/>
      <c r="UUS556" s="178"/>
      <c r="UUT556" s="178"/>
      <c r="UUU556" s="178"/>
      <c r="UUV556" s="178"/>
      <c r="UUW556" s="178"/>
      <c r="UUX556" s="178"/>
      <c r="UUY556" s="178"/>
      <c r="UUZ556" s="178"/>
      <c r="UVA556" s="178"/>
      <c r="UVB556" s="178"/>
      <c r="UVC556" s="178"/>
      <c r="UVD556" s="178"/>
      <c r="UVE556" s="178"/>
      <c r="UVF556" s="178"/>
      <c r="UVG556" s="178"/>
      <c r="UVH556" s="178"/>
      <c r="UVI556" s="178"/>
      <c r="UVJ556" s="178"/>
      <c r="UVK556" s="178"/>
      <c r="UVL556" s="178"/>
      <c r="UVM556" s="178"/>
      <c r="UVN556" s="178"/>
      <c r="UVO556" s="178"/>
      <c r="UVP556" s="178"/>
      <c r="UVQ556" s="178"/>
      <c r="UVR556" s="178"/>
      <c r="UVS556" s="178"/>
      <c r="UVT556" s="178"/>
      <c r="UVU556" s="178"/>
      <c r="UVV556" s="178"/>
      <c r="UVW556" s="178"/>
      <c r="UVX556" s="178"/>
      <c r="UVY556" s="178"/>
      <c r="UVZ556" s="178"/>
      <c r="UWA556" s="178"/>
      <c r="UWB556" s="178"/>
      <c r="UWC556" s="178"/>
      <c r="UWD556" s="178"/>
      <c r="UWE556" s="178"/>
      <c r="UWF556" s="178"/>
      <c r="UWG556" s="178"/>
      <c r="UWH556" s="178"/>
      <c r="UWI556" s="178"/>
      <c r="UWJ556" s="178"/>
      <c r="UWK556" s="178"/>
      <c r="UWL556" s="178"/>
      <c r="UWM556" s="178"/>
      <c r="UWN556" s="178"/>
      <c r="UWO556" s="178"/>
      <c r="UWP556" s="178"/>
      <c r="UWQ556" s="178"/>
      <c r="UWR556" s="178"/>
      <c r="UWS556" s="178"/>
      <c r="UWT556" s="178"/>
      <c r="UWU556" s="178"/>
      <c r="UWV556" s="178"/>
      <c r="UWW556" s="178"/>
      <c r="UWX556" s="178"/>
      <c r="UWY556" s="178"/>
      <c r="UWZ556" s="178"/>
      <c r="UXA556" s="178"/>
      <c r="UXB556" s="178"/>
      <c r="UXC556" s="178"/>
      <c r="UXD556" s="178"/>
      <c r="UXE556" s="178"/>
      <c r="UXF556" s="178"/>
      <c r="UXG556" s="178"/>
      <c r="UXH556" s="178"/>
      <c r="UXI556" s="178"/>
      <c r="UXJ556" s="178"/>
      <c r="UXK556" s="178"/>
      <c r="UXL556" s="178"/>
      <c r="UXM556" s="178"/>
      <c r="UXN556" s="178"/>
      <c r="UXO556" s="178"/>
      <c r="UXP556" s="178"/>
      <c r="UXQ556" s="178"/>
      <c r="UXR556" s="178"/>
      <c r="UXS556" s="178"/>
      <c r="UXT556" s="178"/>
      <c r="UXU556" s="178"/>
      <c r="UXV556" s="178"/>
      <c r="UXW556" s="178"/>
      <c r="UXX556" s="178"/>
      <c r="UXY556" s="178"/>
      <c r="UXZ556" s="178"/>
      <c r="UYA556" s="178"/>
      <c r="UYB556" s="178"/>
      <c r="UYC556" s="178"/>
      <c r="UYD556" s="178"/>
      <c r="UYE556" s="178"/>
      <c r="UYF556" s="178"/>
      <c r="UYG556" s="178"/>
      <c r="UYH556" s="178"/>
      <c r="UYI556" s="178"/>
      <c r="UYJ556" s="178"/>
      <c r="UYK556" s="178"/>
      <c r="UYL556" s="178"/>
      <c r="UYM556" s="178"/>
      <c r="UYN556" s="178"/>
      <c r="UYO556" s="178"/>
      <c r="UYP556" s="178"/>
      <c r="UYQ556" s="178"/>
      <c r="UYR556" s="178"/>
      <c r="UYS556" s="178"/>
      <c r="UYT556" s="178"/>
      <c r="UYU556" s="178"/>
      <c r="UYV556" s="178"/>
      <c r="UYW556" s="178"/>
      <c r="UYX556" s="178"/>
      <c r="UYY556" s="178"/>
      <c r="UYZ556" s="178"/>
      <c r="UZA556" s="178"/>
      <c r="UZB556" s="178"/>
      <c r="UZC556" s="178"/>
      <c r="UZD556" s="178"/>
      <c r="UZE556" s="178"/>
      <c r="UZF556" s="178"/>
      <c r="UZG556" s="178"/>
      <c r="UZH556" s="178"/>
      <c r="UZI556" s="178"/>
      <c r="UZJ556" s="178"/>
      <c r="UZK556" s="178"/>
      <c r="UZL556" s="178"/>
      <c r="UZM556" s="178"/>
      <c r="UZN556" s="178"/>
      <c r="UZO556" s="178"/>
      <c r="UZP556" s="178"/>
      <c r="UZQ556" s="178"/>
      <c r="UZR556" s="178"/>
      <c r="UZS556" s="178"/>
      <c r="UZT556" s="178"/>
      <c r="UZU556" s="178"/>
      <c r="UZV556" s="178"/>
      <c r="UZW556" s="178"/>
      <c r="UZX556" s="178"/>
      <c r="UZY556" s="178"/>
      <c r="UZZ556" s="178"/>
      <c r="VAA556" s="178"/>
      <c r="VAB556" s="178"/>
      <c r="VAC556" s="178"/>
      <c r="VAD556" s="178"/>
      <c r="VAE556" s="178"/>
      <c r="VAF556" s="178"/>
      <c r="VAG556" s="178"/>
      <c r="VAH556" s="178"/>
      <c r="VAI556" s="178"/>
      <c r="VAJ556" s="178"/>
      <c r="VAK556" s="178"/>
      <c r="VAL556" s="178"/>
      <c r="VAM556" s="178"/>
      <c r="VAN556" s="178"/>
      <c r="VAO556" s="178"/>
      <c r="VAP556" s="178"/>
      <c r="VAQ556" s="178"/>
      <c r="VAR556" s="178"/>
      <c r="VAS556" s="178"/>
      <c r="VAT556" s="178"/>
      <c r="VAU556" s="178"/>
      <c r="VAV556" s="178"/>
      <c r="VAW556" s="178"/>
      <c r="VAX556" s="178"/>
      <c r="VAY556" s="178"/>
      <c r="VAZ556" s="178"/>
      <c r="VBA556" s="178"/>
      <c r="VBB556" s="178"/>
      <c r="VBC556" s="178"/>
      <c r="VBD556" s="178"/>
      <c r="VBE556" s="178"/>
      <c r="VBF556" s="178"/>
      <c r="VBG556" s="178"/>
      <c r="VBH556" s="178"/>
      <c r="VBI556" s="178"/>
      <c r="VBJ556" s="178"/>
      <c r="VBK556" s="178"/>
      <c r="VBL556" s="178"/>
      <c r="VBM556" s="178"/>
      <c r="VBN556" s="178"/>
      <c r="VBO556" s="178"/>
      <c r="VBP556" s="178"/>
      <c r="VBQ556" s="178"/>
      <c r="VBR556" s="178"/>
      <c r="VBS556" s="178"/>
      <c r="VBT556" s="178"/>
      <c r="VBU556" s="178"/>
      <c r="VBV556" s="178"/>
      <c r="VBW556" s="178"/>
      <c r="VBX556" s="178"/>
      <c r="VBY556" s="178"/>
      <c r="VBZ556" s="178"/>
      <c r="VCA556" s="178"/>
      <c r="VCB556" s="178"/>
      <c r="VCC556" s="178"/>
      <c r="VCD556" s="178"/>
      <c r="VCE556" s="178"/>
      <c r="VCF556" s="178"/>
      <c r="VCG556" s="178"/>
      <c r="VCH556" s="178"/>
      <c r="VCI556" s="178"/>
      <c r="VCJ556" s="178"/>
      <c r="VCK556" s="178"/>
      <c r="VCL556" s="178"/>
      <c r="VCM556" s="178"/>
      <c r="VCN556" s="178"/>
      <c r="VCO556" s="178"/>
      <c r="VCP556" s="178"/>
      <c r="VCQ556" s="178"/>
      <c r="VCR556" s="178"/>
      <c r="VCS556" s="178"/>
      <c r="VCT556" s="178"/>
      <c r="VCU556" s="178"/>
      <c r="VCV556" s="178"/>
      <c r="VCW556" s="178"/>
      <c r="VCX556" s="178"/>
      <c r="VCY556" s="178"/>
      <c r="VCZ556" s="178"/>
      <c r="VDA556" s="178"/>
      <c r="VDB556" s="178"/>
      <c r="VDC556" s="178"/>
      <c r="VDD556" s="178"/>
      <c r="VDE556" s="178"/>
      <c r="VDF556" s="178"/>
      <c r="VDG556" s="178"/>
      <c r="VDH556" s="178"/>
      <c r="VDI556" s="178"/>
      <c r="VDJ556" s="178"/>
      <c r="VDK556" s="178"/>
      <c r="VDL556" s="178"/>
      <c r="VDM556" s="178"/>
      <c r="VDN556" s="178"/>
      <c r="VDO556" s="178"/>
      <c r="VDP556" s="178"/>
      <c r="VDQ556" s="178"/>
      <c r="VDR556" s="178"/>
      <c r="VDS556" s="178"/>
      <c r="VDT556" s="178"/>
      <c r="VDU556" s="178"/>
      <c r="VDV556" s="178"/>
      <c r="VDW556" s="178"/>
      <c r="VDX556" s="178"/>
      <c r="VDY556" s="178"/>
      <c r="VDZ556" s="178"/>
      <c r="VEA556" s="178"/>
      <c r="VEB556" s="178"/>
      <c r="VEC556" s="178"/>
      <c r="VED556" s="178"/>
      <c r="VEE556" s="178"/>
      <c r="VEF556" s="178"/>
      <c r="VEG556" s="178"/>
      <c r="VEH556" s="178"/>
      <c r="VEI556" s="178"/>
      <c r="VEJ556" s="178"/>
      <c r="VEK556" s="178"/>
      <c r="VEL556" s="178"/>
      <c r="VEM556" s="178"/>
      <c r="VEN556" s="178"/>
      <c r="VEO556" s="178"/>
      <c r="VEP556" s="178"/>
      <c r="VEQ556" s="178"/>
      <c r="VER556" s="178"/>
      <c r="VES556" s="178"/>
      <c r="VET556" s="178"/>
      <c r="VEU556" s="178"/>
      <c r="VEV556" s="178"/>
      <c r="VEW556" s="178"/>
      <c r="VEX556" s="178"/>
      <c r="VEY556" s="178"/>
      <c r="VEZ556" s="178"/>
      <c r="VFA556" s="178"/>
      <c r="VFB556" s="178"/>
      <c r="VFC556" s="178"/>
      <c r="VFD556" s="178"/>
      <c r="VFE556" s="178"/>
      <c r="VFF556" s="178"/>
      <c r="VFG556" s="178"/>
      <c r="VFH556" s="178"/>
      <c r="VFI556" s="178"/>
      <c r="VFJ556" s="178"/>
      <c r="VFK556" s="178"/>
      <c r="VFL556" s="178"/>
      <c r="VFM556" s="178"/>
      <c r="VFN556" s="178"/>
      <c r="VFO556" s="178"/>
      <c r="VFP556" s="178"/>
      <c r="VFQ556" s="178"/>
      <c r="VFR556" s="178"/>
      <c r="VFS556" s="178"/>
      <c r="VFT556" s="178"/>
      <c r="VFU556" s="178"/>
      <c r="VFV556" s="178"/>
      <c r="VFW556" s="178"/>
      <c r="VFX556" s="178"/>
      <c r="VFY556" s="178"/>
      <c r="VFZ556" s="178"/>
      <c r="VGA556" s="178"/>
      <c r="VGB556" s="178"/>
      <c r="VGC556" s="178"/>
      <c r="VGD556" s="178"/>
      <c r="VGE556" s="178"/>
      <c r="VGF556" s="178"/>
      <c r="VGG556" s="178"/>
      <c r="VGH556" s="178"/>
      <c r="VGI556" s="178"/>
      <c r="VGJ556" s="178"/>
      <c r="VGK556" s="178"/>
      <c r="VGL556" s="178"/>
      <c r="VGM556" s="178"/>
      <c r="VGN556" s="178"/>
      <c r="VGO556" s="178"/>
      <c r="VGP556" s="178"/>
      <c r="VGQ556" s="178"/>
      <c r="VGR556" s="178"/>
      <c r="VGS556" s="178"/>
      <c r="VGT556" s="178"/>
      <c r="VGU556" s="178"/>
      <c r="VGV556" s="178"/>
      <c r="VGW556" s="178"/>
      <c r="VGX556" s="178"/>
      <c r="VGY556" s="178"/>
      <c r="VGZ556" s="178"/>
      <c r="VHA556" s="178"/>
      <c r="VHB556" s="178"/>
      <c r="VHC556" s="178"/>
      <c r="VHD556" s="178"/>
      <c r="VHE556" s="178"/>
      <c r="VHF556" s="178"/>
      <c r="VHG556" s="178"/>
      <c r="VHH556" s="178"/>
      <c r="VHI556" s="178"/>
      <c r="VHJ556" s="178"/>
      <c r="VHK556" s="178"/>
      <c r="VHL556" s="178"/>
      <c r="VHM556" s="178"/>
      <c r="VHN556" s="178"/>
      <c r="VHO556" s="178"/>
      <c r="VHP556" s="178"/>
      <c r="VHQ556" s="178"/>
      <c r="VHR556" s="178"/>
      <c r="VHS556" s="178"/>
      <c r="VHT556" s="178"/>
      <c r="VHU556" s="178"/>
      <c r="VHV556" s="178"/>
      <c r="VHW556" s="178"/>
      <c r="VHX556" s="178"/>
      <c r="VHY556" s="178"/>
      <c r="VHZ556" s="178"/>
      <c r="VIA556" s="178"/>
      <c r="VIB556" s="178"/>
      <c r="VIC556" s="178"/>
      <c r="VID556" s="178"/>
      <c r="VIE556" s="178"/>
      <c r="VIF556" s="178"/>
      <c r="VIG556" s="178"/>
      <c r="VIH556" s="178"/>
      <c r="VII556" s="178"/>
      <c r="VIJ556" s="178"/>
      <c r="VIK556" s="178"/>
      <c r="VIL556" s="178"/>
      <c r="VIM556" s="178"/>
      <c r="VIN556" s="178"/>
      <c r="VIO556" s="178"/>
      <c r="VIP556" s="178"/>
      <c r="VIQ556" s="178"/>
      <c r="VIR556" s="178"/>
      <c r="VIS556" s="178"/>
      <c r="VIT556" s="178"/>
      <c r="VIU556" s="178"/>
      <c r="VIV556" s="178"/>
      <c r="VIW556" s="178"/>
      <c r="VIX556" s="178"/>
      <c r="VIY556" s="178"/>
      <c r="VIZ556" s="178"/>
      <c r="VJA556" s="178"/>
      <c r="VJB556" s="178"/>
      <c r="VJC556" s="178"/>
      <c r="VJD556" s="178"/>
      <c r="VJE556" s="178"/>
      <c r="VJF556" s="178"/>
      <c r="VJG556" s="178"/>
      <c r="VJH556" s="178"/>
      <c r="VJI556" s="178"/>
      <c r="VJJ556" s="178"/>
      <c r="VJK556" s="178"/>
      <c r="VJL556" s="178"/>
      <c r="VJM556" s="178"/>
      <c r="VJN556" s="178"/>
      <c r="VJO556" s="178"/>
      <c r="VJP556" s="178"/>
      <c r="VJQ556" s="178"/>
      <c r="VJR556" s="178"/>
      <c r="VJS556" s="178"/>
      <c r="VJT556" s="178"/>
      <c r="VJU556" s="178"/>
      <c r="VJV556" s="178"/>
      <c r="VJW556" s="178"/>
      <c r="VJX556" s="178"/>
      <c r="VJY556" s="178"/>
      <c r="VJZ556" s="178"/>
      <c r="VKA556" s="178"/>
      <c r="VKB556" s="178"/>
      <c r="VKC556" s="178"/>
      <c r="VKD556" s="178"/>
      <c r="VKE556" s="178"/>
      <c r="VKF556" s="178"/>
      <c r="VKG556" s="178"/>
      <c r="VKH556" s="178"/>
      <c r="VKI556" s="178"/>
      <c r="VKJ556" s="178"/>
      <c r="VKK556" s="178"/>
      <c r="VKL556" s="178"/>
      <c r="VKM556" s="178"/>
      <c r="VKN556" s="178"/>
      <c r="VKO556" s="178"/>
      <c r="VKP556" s="178"/>
      <c r="VKQ556" s="178"/>
      <c r="VKR556" s="178"/>
      <c r="VKS556" s="178"/>
      <c r="VKT556" s="178"/>
      <c r="VKU556" s="178"/>
      <c r="VKV556" s="178"/>
      <c r="VKW556" s="178"/>
      <c r="VKX556" s="178"/>
      <c r="VKY556" s="178"/>
      <c r="VKZ556" s="178"/>
      <c r="VLA556" s="178"/>
      <c r="VLB556" s="178"/>
      <c r="VLC556" s="178"/>
      <c r="VLD556" s="178"/>
      <c r="VLE556" s="178"/>
      <c r="VLF556" s="178"/>
      <c r="VLG556" s="178"/>
      <c r="VLH556" s="178"/>
      <c r="VLI556" s="178"/>
      <c r="VLJ556" s="178"/>
      <c r="VLK556" s="178"/>
      <c r="VLL556" s="178"/>
      <c r="VLM556" s="178"/>
      <c r="VLN556" s="178"/>
      <c r="VLO556" s="178"/>
      <c r="VLP556" s="178"/>
      <c r="VLQ556" s="178"/>
      <c r="VLR556" s="178"/>
      <c r="VLS556" s="178"/>
      <c r="VLT556" s="178"/>
      <c r="VLU556" s="178"/>
      <c r="VLV556" s="178"/>
      <c r="VLW556" s="178"/>
      <c r="VLX556" s="178"/>
      <c r="VLY556" s="178"/>
      <c r="VLZ556" s="178"/>
      <c r="VMA556" s="178"/>
      <c r="VMB556" s="178"/>
      <c r="VMC556" s="178"/>
      <c r="VMD556" s="178"/>
      <c r="VME556" s="178"/>
      <c r="VMF556" s="178"/>
      <c r="VMG556" s="178"/>
      <c r="VMH556" s="178"/>
      <c r="VMI556" s="178"/>
      <c r="VMJ556" s="178"/>
      <c r="VMK556" s="178"/>
      <c r="VML556" s="178"/>
      <c r="VMM556" s="178"/>
      <c r="VMN556" s="178"/>
      <c r="VMO556" s="178"/>
      <c r="VMP556" s="178"/>
      <c r="VMQ556" s="178"/>
      <c r="VMR556" s="178"/>
      <c r="VMS556" s="178"/>
      <c r="VMT556" s="178"/>
      <c r="VMU556" s="178"/>
      <c r="VMV556" s="178"/>
      <c r="VMW556" s="178"/>
      <c r="VMX556" s="178"/>
      <c r="VMY556" s="178"/>
      <c r="VMZ556" s="178"/>
      <c r="VNA556" s="178"/>
      <c r="VNB556" s="178"/>
      <c r="VNC556" s="178"/>
      <c r="VND556" s="178"/>
      <c r="VNE556" s="178"/>
      <c r="VNF556" s="178"/>
      <c r="VNG556" s="178"/>
      <c r="VNH556" s="178"/>
      <c r="VNI556" s="178"/>
      <c r="VNJ556" s="178"/>
      <c r="VNK556" s="178"/>
      <c r="VNL556" s="178"/>
      <c r="VNM556" s="178"/>
      <c r="VNN556" s="178"/>
      <c r="VNO556" s="178"/>
      <c r="VNP556" s="178"/>
      <c r="VNQ556" s="178"/>
      <c r="VNR556" s="178"/>
      <c r="VNS556" s="178"/>
      <c r="VNT556" s="178"/>
      <c r="VNU556" s="178"/>
      <c r="VNV556" s="178"/>
      <c r="VNW556" s="178"/>
      <c r="VNX556" s="178"/>
      <c r="VNY556" s="178"/>
      <c r="VNZ556" s="178"/>
      <c r="VOA556" s="178"/>
      <c r="VOB556" s="178"/>
      <c r="VOC556" s="178"/>
      <c r="VOD556" s="178"/>
      <c r="VOE556" s="178"/>
      <c r="VOF556" s="178"/>
      <c r="VOG556" s="178"/>
      <c r="VOH556" s="178"/>
      <c r="VOI556" s="178"/>
      <c r="VOJ556" s="178"/>
      <c r="VOK556" s="178"/>
      <c r="VOL556" s="178"/>
      <c r="VOM556" s="178"/>
      <c r="VON556" s="178"/>
      <c r="VOO556" s="178"/>
      <c r="VOP556" s="178"/>
      <c r="VOQ556" s="178"/>
      <c r="VOR556" s="178"/>
      <c r="VOS556" s="178"/>
      <c r="VOT556" s="178"/>
      <c r="VOU556" s="178"/>
      <c r="VOV556" s="178"/>
      <c r="VOW556" s="178"/>
      <c r="VOX556" s="178"/>
      <c r="VOY556" s="178"/>
      <c r="VOZ556" s="178"/>
      <c r="VPA556" s="178"/>
      <c r="VPB556" s="178"/>
      <c r="VPC556" s="178"/>
      <c r="VPD556" s="178"/>
      <c r="VPE556" s="178"/>
      <c r="VPF556" s="178"/>
      <c r="VPG556" s="178"/>
      <c r="VPH556" s="178"/>
      <c r="VPI556" s="178"/>
      <c r="VPJ556" s="178"/>
      <c r="VPK556" s="178"/>
      <c r="VPL556" s="178"/>
      <c r="VPM556" s="178"/>
      <c r="VPN556" s="178"/>
      <c r="VPO556" s="178"/>
      <c r="VPP556" s="178"/>
      <c r="VPQ556" s="178"/>
      <c r="VPR556" s="178"/>
      <c r="VPS556" s="178"/>
      <c r="VPT556" s="178"/>
      <c r="VPU556" s="178"/>
      <c r="VPV556" s="178"/>
      <c r="VPW556" s="178"/>
      <c r="VPX556" s="178"/>
      <c r="VPY556" s="178"/>
      <c r="VPZ556" s="178"/>
      <c r="VQA556" s="178"/>
      <c r="VQB556" s="178"/>
      <c r="VQC556" s="178"/>
      <c r="VQD556" s="178"/>
      <c r="VQE556" s="178"/>
      <c r="VQF556" s="178"/>
      <c r="VQG556" s="178"/>
      <c r="VQH556" s="178"/>
      <c r="VQI556" s="178"/>
      <c r="VQJ556" s="178"/>
      <c r="VQK556" s="178"/>
      <c r="VQL556" s="178"/>
      <c r="VQM556" s="178"/>
      <c r="VQN556" s="178"/>
      <c r="VQO556" s="178"/>
      <c r="VQP556" s="178"/>
      <c r="VQQ556" s="178"/>
      <c r="VQR556" s="178"/>
      <c r="VQS556" s="178"/>
      <c r="VQT556" s="178"/>
      <c r="VQU556" s="178"/>
      <c r="VQV556" s="178"/>
      <c r="VQW556" s="178"/>
      <c r="VQX556" s="178"/>
      <c r="VQY556" s="178"/>
      <c r="VQZ556" s="178"/>
      <c r="VRA556" s="178"/>
      <c r="VRB556" s="178"/>
      <c r="VRC556" s="178"/>
      <c r="VRD556" s="178"/>
      <c r="VRE556" s="178"/>
      <c r="VRF556" s="178"/>
      <c r="VRG556" s="178"/>
      <c r="VRH556" s="178"/>
      <c r="VRI556" s="178"/>
      <c r="VRJ556" s="178"/>
      <c r="VRK556" s="178"/>
      <c r="VRL556" s="178"/>
      <c r="VRM556" s="178"/>
      <c r="VRN556" s="178"/>
      <c r="VRO556" s="178"/>
      <c r="VRP556" s="178"/>
      <c r="VRQ556" s="178"/>
      <c r="VRR556" s="178"/>
      <c r="VRS556" s="178"/>
      <c r="VRT556" s="178"/>
      <c r="VRU556" s="178"/>
      <c r="VRV556" s="178"/>
      <c r="VRW556" s="178"/>
      <c r="VRX556" s="178"/>
      <c r="VRY556" s="178"/>
      <c r="VRZ556" s="178"/>
      <c r="VSA556" s="178"/>
      <c r="VSB556" s="178"/>
      <c r="VSC556" s="178"/>
      <c r="VSD556" s="178"/>
      <c r="VSE556" s="178"/>
      <c r="VSF556" s="178"/>
      <c r="VSG556" s="178"/>
      <c r="VSH556" s="178"/>
      <c r="VSI556" s="178"/>
      <c r="VSJ556" s="178"/>
      <c r="VSK556" s="178"/>
      <c r="VSL556" s="178"/>
      <c r="VSM556" s="178"/>
      <c r="VSN556" s="178"/>
      <c r="VSO556" s="178"/>
      <c r="VSP556" s="178"/>
      <c r="VSQ556" s="178"/>
      <c r="VSR556" s="178"/>
      <c r="VSS556" s="178"/>
      <c r="VST556" s="178"/>
      <c r="VSU556" s="178"/>
      <c r="VSV556" s="178"/>
      <c r="VSW556" s="178"/>
      <c r="VSX556" s="178"/>
      <c r="VSY556" s="178"/>
      <c r="VSZ556" s="178"/>
      <c r="VTA556" s="178"/>
      <c r="VTB556" s="178"/>
      <c r="VTC556" s="178"/>
      <c r="VTD556" s="178"/>
      <c r="VTE556" s="178"/>
      <c r="VTF556" s="178"/>
      <c r="VTG556" s="178"/>
      <c r="VTH556" s="178"/>
      <c r="VTI556" s="178"/>
      <c r="VTJ556" s="178"/>
      <c r="VTK556" s="178"/>
      <c r="VTL556" s="178"/>
      <c r="VTM556" s="178"/>
      <c r="VTN556" s="178"/>
      <c r="VTO556" s="178"/>
      <c r="VTP556" s="178"/>
      <c r="VTQ556" s="178"/>
      <c r="VTR556" s="178"/>
      <c r="VTS556" s="178"/>
      <c r="VTT556" s="178"/>
      <c r="VTU556" s="178"/>
      <c r="VTV556" s="178"/>
      <c r="VTW556" s="178"/>
      <c r="VTX556" s="178"/>
      <c r="VTY556" s="178"/>
      <c r="VTZ556" s="178"/>
      <c r="VUA556" s="178"/>
      <c r="VUB556" s="178"/>
      <c r="VUC556" s="178"/>
      <c r="VUD556" s="178"/>
      <c r="VUE556" s="178"/>
      <c r="VUF556" s="178"/>
      <c r="VUG556" s="178"/>
      <c r="VUH556" s="178"/>
      <c r="VUI556" s="178"/>
      <c r="VUJ556" s="178"/>
      <c r="VUK556" s="178"/>
      <c r="VUL556" s="178"/>
      <c r="VUM556" s="178"/>
      <c r="VUN556" s="178"/>
      <c r="VUO556" s="178"/>
      <c r="VUP556" s="178"/>
      <c r="VUQ556" s="178"/>
      <c r="VUR556" s="178"/>
      <c r="VUS556" s="178"/>
      <c r="VUT556" s="178"/>
      <c r="VUU556" s="178"/>
      <c r="VUV556" s="178"/>
      <c r="VUW556" s="178"/>
      <c r="VUX556" s="178"/>
      <c r="VUY556" s="178"/>
      <c r="VUZ556" s="178"/>
      <c r="VVA556" s="178"/>
      <c r="VVB556" s="178"/>
      <c r="VVC556" s="178"/>
      <c r="VVD556" s="178"/>
      <c r="VVE556" s="178"/>
      <c r="VVF556" s="178"/>
      <c r="VVG556" s="178"/>
      <c r="VVH556" s="178"/>
      <c r="VVI556" s="178"/>
      <c r="VVJ556" s="178"/>
      <c r="VVK556" s="178"/>
      <c r="VVL556" s="178"/>
      <c r="VVM556" s="178"/>
      <c r="VVN556" s="178"/>
      <c r="VVO556" s="178"/>
      <c r="VVP556" s="178"/>
      <c r="VVQ556" s="178"/>
      <c r="VVR556" s="178"/>
      <c r="VVS556" s="178"/>
      <c r="VVT556" s="178"/>
      <c r="VVU556" s="178"/>
      <c r="VVV556" s="178"/>
      <c r="VVW556" s="178"/>
      <c r="VVX556" s="178"/>
      <c r="VVY556" s="178"/>
      <c r="VVZ556" s="178"/>
      <c r="VWA556" s="178"/>
      <c r="VWB556" s="178"/>
      <c r="VWC556" s="178"/>
      <c r="VWD556" s="178"/>
      <c r="VWE556" s="178"/>
      <c r="VWF556" s="178"/>
      <c r="VWG556" s="178"/>
      <c r="VWH556" s="178"/>
      <c r="VWI556" s="178"/>
      <c r="VWJ556" s="178"/>
      <c r="VWK556" s="178"/>
      <c r="VWL556" s="178"/>
      <c r="VWM556" s="178"/>
      <c r="VWN556" s="178"/>
      <c r="VWO556" s="178"/>
      <c r="VWP556" s="178"/>
      <c r="VWQ556" s="178"/>
      <c r="VWR556" s="178"/>
      <c r="VWS556" s="178"/>
      <c r="VWT556" s="178"/>
      <c r="VWU556" s="178"/>
      <c r="VWV556" s="178"/>
      <c r="VWW556" s="178"/>
      <c r="VWX556" s="178"/>
      <c r="VWY556" s="178"/>
      <c r="VWZ556" s="178"/>
      <c r="VXA556" s="178"/>
      <c r="VXB556" s="178"/>
      <c r="VXC556" s="178"/>
      <c r="VXD556" s="178"/>
      <c r="VXE556" s="178"/>
      <c r="VXF556" s="178"/>
      <c r="VXG556" s="178"/>
      <c r="VXH556" s="178"/>
      <c r="VXI556" s="178"/>
      <c r="VXJ556" s="178"/>
      <c r="VXK556" s="178"/>
      <c r="VXL556" s="178"/>
      <c r="VXM556" s="178"/>
      <c r="VXN556" s="178"/>
      <c r="VXO556" s="178"/>
      <c r="VXP556" s="178"/>
      <c r="VXQ556" s="178"/>
      <c r="VXR556" s="178"/>
      <c r="VXS556" s="178"/>
      <c r="VXT556" s="178"/>
      <c r="VXU556" s="178"/>
      <c r="VXV556" s="178"/>
      <c r="VXW556" s="178"/>
      <c r="VXX556" s="178"/>
      <c r="VXY556" s="178"/>
      <c r="VXZ556" s="178"/>
      <c r="VYA556" s="178"/>
      <c r="VYB556" s="178"/>
      <c r="VYC556" s="178"/>
      <c r="VYD556" s="178"/>
      <c r="VYE556" s="178"/>
      <c r="VYF556" s="178"/>
      <c r="VYG556" s="178"/>
      <c r="VYH556" s="178"/>
      <c r="VYI556" s="178"/>
      <c r="VYJ556" s="178"/>
      <c r="VYK556" s="178"/>
      <c r="VYL556" s="178"/>
      <c r="VYM556" s="178"/>
      <c r="VYN556" s="178"/>
      <c r="VYO556" s="178"/>
      <c r="VYP556" s="178"/>
      <c r="VYQ556" s="178"/>
      <c r="VYR556" s="178"/>
      <c r="VYS556" s="178"/>
      <c r="VYT556" s="178"/>
      <c r="VYU556" s="178"/>
      <c r="VYV556" s="178"/>
      <c r="VYW556" s="178"/>
      <c r="VYX556" s="178"/>
      <c r="VYY556" s="178"/>
      <c r="VYZ556" s="178"/>
      <c r="VZA556" s="178"/>
      <c r="VZB556" s="178"/>
      <c r="VZC556" s="178"/>
      <c r="VZD556" s="178"/>
      <c r="VZE556" s="178"/>
      <c r="VZF556" s="178"/>
      <c r="VZG556" s="178"/>
      <c r="VZH556" s="178"/>
      <c r="VZI556" s="178"/>
      <c r="VZJ556" s="178"/>
      <c r="VZK556" s="178"/>
      <c r="VZL556" s="178"/>
      <c r="VZM556" s="178"/>
      <c r="VZN556" s="178"/>
      <c r="VZO556" s="178"/>
      <c r="VZP556" s="178"/>
      <c r="VZQ556" s="178"/>
      <c r="VZR556" s="178"/>
      <c r="VZS556" s="178"/>
      <c r="VZT556" s="178"/>
      <c r="VZU556" s="178"/>
      <c r="VZV556" s="178"/>
      <c r="VZW556" s="178"/>
      <c r="VZX556" s="178"/>
      <c r="VZY556" s="178"/>
      <c r="VZZ556" s="178"/>
      <c r="WAA556" s="178"/>
      <c r="WAB556" s="178"/>
      <c r="WAC556" s="178"/>
      <c r="WAD556" s="178"/>
      <c r="WAE556" s="178"/>
      <c r="WAF556" s="178"/>
      <c r="WAG556" s="178"/>
      <c r="WAH556" s="178"/>
      <c r="WAI556" s="178"/>
      <c r="WAJ556" s="178"/>
      <c r="WAK556" s="178"/>
      <c r="WAL556" s="178"/>
      <c r="WAM556" s="178"/>
      <c r="WAN556" s="178"/>
      <c r="WAO556" s="178"/>
      <c r="WAP556" s="178"/>
      <c r="WAQ556" s="178"/>
      <c r="WAR556" s="178"/>
      <c r="WAS556" s="178"/>
      <c r="WAT556" s="178"/>
      <c r="WAU556" s="178"/>
      <c r="WAV556" s="178"/>
      <c r="WAW556" s="178"/>
      <c r="WAX556" s="178"/>
      <c r="WAY556" s="178"/>
      <c r="WAZ556" s="178"/>
      <c r="WBA556" s="178"/>
      <c r="WBB556" s="178"/>
      <c r="WBC556" s="178"/>
      <c r="WBD556" s="178"/>
      <c r="WBE556" s="178"/>
      <c r="WBF556" s="178"/>
      <c r="WBG556" s="178"/>
      <c r="WBH556" s="178"/>
      <c r="WBI556" s="178"/>
      <c r="WBJ556" s="178"/>
      <c r="WBK556" s="178"/>
      <c r="WBL556" s="178"/>
      <c r="WBM556" s="178"/>
      <c r="WBN556" s="178"/>
      <c r="WBO556" s="178"/>
      <c r="WBP556" s="178"/>
      <c r="WBQ556" s="178"/>
      <c r="WBR556" s="178"/>
      <c r="WBS556" s="178"/>
      <c r="WBT556" s="178"/>
      <c r="WBU556" s="178"/>
      <c r="WBV556" s="178"/>
      <c r="WBW556" s="178"/>
      <c r="WBX556" s="178"/>
      <c r="WBY556" s="178"/>
      <c r="WBZ556" s="178"/>
      <c r="WCA556" s="178"/>
      <c r="WCB556" s="178"/>
      <c r="WCC556" s="178"/>
      <c r="WCD556" s="178"/>
      <c r="WCE556" s="178"/>
      <c r="WCF556" s="178"/>
      <c r="WCG556" s="178"/>
      <c r="WCH556" s="178"/>
      <c r="WCI556" s="178"/>
      <c r="WCJ556" s="178"/>
      <c r="WCK556" s="178"/>
      <c r="WCL556" s="178"/>
      <c r="WCM556" s="178"/>
      <c r="WCN556" s="178"/>
      <c r="WCO556" s="178"/>
      <c r="WCP556" s="178"/>
      <c r="WCQ556" s="178"/>
      <c r="WCR556" s="178"/>
      <c r="WCS556" s="178"/>
      <c r="WCT556" s="178"/>
      <c r="WCU556" s="178"/>
      <c r="WCV556" s="178"/>
      <c r="WCW556" s="178"/>
      <c r="WCX556" s="178"/>
      <c r="WCY556" s="178"/>
      <c r="WCZ556" s="178"/>
      <c r="WDA556" s="178"/>
      <c r="WDB556" s="178"/>
      <c r="WDC556" s="178"/>
      <c r="WDD556" s="178"/>
      <c r="WDE556" s="178"/>
      <c r="WDF556" s="178"/>
      <c r="WDG556" s="178"/>
      <c r="WDH556" s="178"/>
      <c r="WDI556" s="178"/>
      <c r="WDJ556" s="178"/>
      <c r="WDK556" s="178"/>
      <c r="WDL556" s="178"/>
      <c r="WDM556" s="178"/>
      <c r="WDN556" s="178"/>
      <c r="WDO556" s="178"/>
      <c r="WDP556" s="178"/>
      <c r="WDQ556" s="178"/>
      <c r="WDR556" s="178"/>
      <c r="WDS556" s="178"/>
      <c r="WDT556" s="178"/>
      <c r="WDU556" s="178"/>
      <c r="WDV556" s="178"/>
      <c r="WDW556" s="178"/>
      <c r="WDX556" s="178"/>
      <c r="WDY556" s="178"/>
      <c r="WDZ556" s="178"/>
      <c r="WEA556" s="178"/>
      <c r="WEB556" s="178"/>
      <c r="WEC556" s="178"/>
      <c r="WED556" s="178"/>
      <c r="WEE556" s="178"/>
      <c r="WEF556" s="178"/>
      <c r="WEG556" s="178"/>
      <c r="WEH556" s="178"/>
      <c r="WEI556" s="178"/>
      <c r="WEJ556" s="178"/>
      <c r="WEK556" s="178"/>
      <c r="WEL556" s="178"/>
      <c r="WEM556" s="178"/>
      <c r="WEN556" s="178"/>
      <c r="WEO556" s="178"/>
      <c r="WEP556" s="178"/>
      <c r="WEQ556" s="178"/>
      <c r="WER556" s="178"/>
      <c r="WES556" s="178"/>
      <c r="WET556" s="178"/>
      <c r="WEU556" s="178"/>
      <c r="WEV556" s="178"/>
      <c r="WEW556" s="178"/>
      <c r="WEX556" s="178"/>
      <c r="WEY556" s="178"/>
      <c r="WEZ556" s="178"/>
      <c r="WFA556" s="178"/>
      <c r="WFB556" s="178"/>
      <c r="WFC556" s="178"/>
      <c r="WFD556" s="178"/>
      <c r="WFE556" s="178"/>
      <c r="WFF556" s="178"/>
      <c r="WFG556" s="178"/>
      <c r="WFH556" s="178"/>
      <c r="WFI556" s="178"/>
      <c r="WFJ556" s="178"/>
      <c r="WFK556" s="178"/>
      <c r="WFL556" s="178"/>
      <c r="WFM556" s="178"/>
      <c r="WFN556" s="178"/>
      <c r="WFO556" s="178"/>
      <c r="WFP556" s="178"/>
      <c r="WFQ556" s="178"/>
      <c r="WFR556" s="178"/>
      <c r="WFS556" s="178"/>
      <c r="WFT556" s="178"/>
      <c r="WFU556" s="178"/>
      <c r="WFV556" s="178"/>
      <c r="WFW556" s="178"/>
      <c r="WFX556" s="178"/>
      <c r="WFY556" s="178"/>
      <c r="WFZ556" s="178"/>
      <c r="WGA556" s="178"/>
      <c r="WGB556" s="178"/>
      <c r="WGC556" s="178"/>
      <c r="WGD556" s="178"/>
      <c r="WGE556" s="178"/>
      <c r="WGF556" s="178"/>
      <c r="WGG556" s="178"/>
      <c r="WGH556" s="178"/>
      <c r="WGI556" s="178"/>
      <c r="WGJ556" s="178"/>
      <c r="WGK556" s="178"/>
      <c r="WGL556" s="178"/>
      <c r="WGM556" s="178"/>
      <c r="WGN556" s="178"/>
      <c r="WGO556" s="178"/>
      <c r="WGP556" s="178"/>
      <c r="WGQ556" s="178"/>
      <c r="WGR556" s="178"/>
      <c r="WGS556" s="178"/>
      <c r="WGT556" s="178"/>
      <c r="WGU556" s="178"/>
      <c r="WGV556" s="178"/>
      <c r="WGW556" s="178"/>
      <c r="WGX556" s="178"/>
      <c r="WGY556" s="178"/>
      <c r="WGZ556" s="178"/>
      <c r="WHA556" s="178"/>
      <c r="WHB556" s="178"/>
      <c r="WHC556" s="178"/>
      <c r="WHD556" s="178"/>
      <c r="WHE556" s="178"/>
      <c r="WHF556" s="178"/>
      <c r="WHG556" s="178"/>
      <c r="WHH556" s="178"/>
      <c r="WHI556" s="178"/>
      <c r="WHJ556" s="178"/>
      <c r="WHK556" s="178"/>
      <c r="WHL556" s="178"/>
      <c r="WHM556" s="178"/>
      <c r="WHN556" s="178"/>
      <c r="WHO556" s="178"/>
      <c r="WHP556" s="178"/>
      <c r="WHQ556" s="178"/>
      <c r="WHR556" s="178"/>
      <c r="WHS556" s="178"/>
      <c r="WHT556" s="178"/>
      <c r="WHU556" s="178"/>
      <c r="WHV556" s="178"/>
      <c r="WHW556" s="178"/>
      <c r="WHX556" s="178"/>
      <c r="WHY556" s="178"/>
      <c r="WHZ556" s="178"/>
      <c r="WIA556" s="178"/>
      <c r="WIB556" s="178"/>
      <c r="WIC556" s="178"/>
      <c r="WID556" s="178"/>
      <c r="WIE556" s="178"/>
      <c r="WIF556" s="178"/>
      <c r="WIG556" s="178"/>
      <c r="WIH556" s="178"/>
      <c r="WII556" s="178"/>
      <c r="WIJ556" s="178"/>
      <c r="WIK556" s="178"/>
      <c r="WIL556" s="178"/>
      <c r="WIM556" s="178"/>
      <c r="WIN556" s="178"/>
      <c r="WIO556" s="178"/>
      <c r="WIP556" s="178"/>
      <c r="WIQ556" s="178"/>
      <c r="WIR556" s="178"/>
      <c r="WIS556" s="178"/>
      <c r="WIT556" s="178"/>
      <c r="WIU556" s="178"/>
      <c r="WIV556" s="178"/>
      <c r="WIW556" s="178"/>
      <c r="WIX556" s="178"/>
      <c r="WIY556" s="178"/>
      <c r="WIZ556" s="178"/>
      <c r="WJA556" s="178"/>
      <c r="WJB556" s="178"/>
      <c r="WJC556" s="178"/>
      <c r="WJD556" s="178"/>
      <c r="WJE556" s="178"/>
      <c r="WJF556" s="178"/>
      <c r="WJG556" s="178"/>
      <c r="WJH556" s="178"/>
      <c r="WJI556" s="178"/>
      <c r="WJJ556" s="178"/>
      <c r="WJK556" s="178"/>
      <c r="WJL556" s="178"/>
      <c r="WJM556" s="178"/>
      <c r="WJN556" s="178"/>
      <c r="WJO556" s="178"/>
      <c r="WJP556" s="178"/>
      <c r="WJQ556" s="178"/>
      <c r="WJR556" s="178"/>
      <c r="WJS556" s="178"/>
      <c r="WJT556" s="178"/>
      <c r="WJU556" s="178"/>
      <c r="WJV556" s="178"/>
      <c r="WJW556" s="178"/>
      <c r="WJX556" s="178"/>
      <c r="WJY556" s="178"/>
      <c r="WJZ556" s="178"/>
      <c r="WKA556" s="178"/>
      <c r="WKB556" s="178"/>
      <c r="WKC556" s="178"/>
      <c r="WKD556" s="178"/>
      <c r="WKE556" s="178"/>
      <c r="WKF556" s="178"/>
      <c r="WKG556" s="178"/>
      <c r="WKH556" s="178"/>
      <c r="WKI556" s="178"/>
      <c r="WKJ556" s="178"/>
      <c r="WKK556" s="178"/>
      <c r="WKL556" s="178"/>
      <c r="WKM556" s="178"/>
      <c r="WKN556" s="178"/>
      <c r="WKO556" s="178"/>
      <c r="WKP556" s="178"/>
      <c r="WKQ556" s="178"/>
      <c r="WKR556" s="178"/>
      <c r="WKS556" s="178"/>
      <c r="WKT556" s="178"/>
      <c r="WKU556" s="178"/>
      <c r="WKV556" s="178"/>
      <c r="WKW556" s="178"/>
      <c r="WKX556" s="178"/>
      <c r="WKY556" s="178"/>
      <c r="WKZ556" s="178"/>
      <c r="WLA556" s="178"/>
      <c r="WLB556" s="178"/>
      <c r="WLC556" s="178"/>
      <c r="WLD556" s="178"/>
      <c r="WLE556" s="178"/>
      <c r="WLF556" s="178"/>
      <c r="WLG556" s="178"/>
      <c r="WLH556" s="178"/>
      <c r="WLI556" s="178"/>
      <c r="WLJ556" s="178"/>
      <c r="WLK556" s="178"/>
      <c r="WLL556" s="178"/>
      <c r="WLM556" s="178"/>
      <c r="WLN556" s="178"/>
      <c r="WLO556" s="178"/>
      <c r="WLP556" s="178"/>
      <c r="WLQ556" s="178"/>
      <c r="WLR556" s="178"/>
      <c r="WLS556" s="178"/>
      <c r="WLT556" s="178"/>
      <c r="WLU556" s="178"/>
      <c r="WLV556" s="178"/>
      <c r="WLW556" s="178"/>
      <c r="WLX556" s="178"/>
      <c r="WLY556" s="178"/>
      <c r="WLZ556" s="178"/>
      <c r="WMA556" s="178"/>
      <c r="WMB556" s="178"/>
      <c r="WMC556" s="178"/>
      <c r="WMD556" s="178"/>
      <c r="WME556" s="178"/>
      <c r="WMF556" s="178"/>
      <c r="WMG556" s="178"/>
      <c r="WMH556" s="178"/>
      <c r="WMI556" s="178"/>
      <c r="WMJ556" s="178"/>
      <c r="WMK556" s="178"/>
      <c r="WML556" s="178"/>
      <c r="WMM556" s="178"/>
      <c r="WMN556" s="178"/>
      <c r="WMO556" s="178"/>
      <c r="WMP556" s="178"/>
      <c r="WMQ556" s="178"/>
      <c r="WMR556" s="178"/>
      <c r="WMS556" s="178"/>
      <c r="WMT556" s="178"/>
      <c r="WMU556" s="178"/>
      <c r="WMV556" s="178"/>
      <c r="WMW556" s="178"/>
      <c r="WMX556" s="178"/>
      <c r="WMY556" s="178"/>
      <c r="WMZ556" s="178"/>
      <c r="WNA556" s="178"/>
      <c r="WNB556" s="178"/>
      <c r="WNC556" s="178"/>
      <c r="WND556" s="178"/>
      <c r="WNE556" s="178"/>
      <c r="WNF556" s="178"/>
      <c r="WNG556" s="178"/>
      <c r="WNH556" s="178"/>
      <c r="WNI556" s="178"/>
      <c r="WNJ556" s="178"/>
      <c r="WNK556" s="178"/>
      <c r="WNL556" s="178"/>
      <c r="WNM556" s="178"/>
      <c r="WNN556" s="178"/>
      <c r="WNO556" s="178"/>
      <c r="WNP556" s="178"/>
      <c r="WNQ556" s="178"/>
      <c r="WNR556" s="178"/>
      <c r="WNS556" s="178"/>
      <c r="WNT556" s="178"/>
      <c r="WNU556" s="178"/>
      <c r="WNV556" s="178"/>
      <c r="WNW556" s="178"/>
      <c r="WNX556" s="178"/>
      <c r="WNY556" s="178"/>
      <c r="WNZ556" s="178"/>
      <c r="WOA556" s="178"/>
      <c r="WOB556" s="178"/>
      <c r="WOC556" s="178"/>
      <c r="WOD556" s="178"/>
      <c r="WOE556" s="178"/>
      <c r="WOF556" s="178"/>
      <c r="WOG556" s="178"/>
      <c r="WOH556" s="178"/>
      <c r="WOI556" s="178"/>
      <c r="WOJ556" s="178"/>
      <c r="WOK556" s="178"/>
      <c r="WOL556" s="178"/>
      <c r="WOM556" s="178"/>
      <c r="WON556" s="178"/>
      <c r="WOO556" s="178"/>
      <c r="WOP556" s="178"/>
      <c r="WOQ556" s="178"/>
      <c r="WOR556" s="178"/>
      <c r="WOS556" s="178"/>
      <c r="WOT556" s="178"/>
      <c r="WOU556" s="178"/>
      <c r="WOV556" s="178"/>
      <c r="WOW556" s="178"/>
      <c r="WOX556" s="178"/>
      <c r="WOY556" s="178"/>
      <c r="WOZ556" s="178"/>
      <c r="WPA556" s="178"/>
      <c r="WPB556" s="178"/>
      <c r="WPC556" s="178"/>
      <c r="WPD556" s="178"/>
      <c r="WPE556" s="178"/>
      <c r="WPF556" s="178"/>
      <c r="WPG556" s="178"/>
      <c r="WPH556" s="178"/>
      <c r="WPI556" s="178"/>
      <c r="WPJ556" s="178"/>
      <c r="WPK556" s="178"/>
      <c r="WPL556" s="178"/>
      <c r="WPM556" s="178"/>
      <c r="WPN556" s="178"/>
      <c r="WPO556" s="178"/>
      <c r="WPP556" s="178"/>
      <c r="WPQ556" s="178"/>
      <c r="WPR556" s="178"/>
      <c r="WPS556" s="178"/>
      <c r="WPT556" s="178"/>
      <c r="WPU556" s="178"/>
      <c r="WPV556" s="178"/>
      <c r="WPW556" s="178"/>
      <c r="WPX556" s="178"/>
      <c r="WPY556" s="178"/>
      <c r="WPZ556" s="178"/>
      <c r="WQA556" s="178"/>
      <c r="WQB556" s="178"/>
      <c r="WQC556" s="178"/>
      <c r="WQD556" s="178"/>
      <c r="WQE556" s="178"/>
      <c r="WQF556" s="178"/>
      <c r="WQG556" s="178"/>
      <c r="WQH556" s="178"/>
      <c r="WQI556" s="178"/>
      <c r="WQJ556" s="178"/>
      <c r="WQK556" s="178"/>
      <c r="WQL556" s="178"/>
      <c r="WQM556" s="178"/>
      <c r="WQN556" s="178"/>
      <c r="WQO556" s="178"/>
      <c r="WQP556" s="178"/>
      <c r="WQQ556" s="178"/>
      <c r="WQR556" s="178"/>
      <c r="WQS556" s="178"/>
      <c r="WQT556" s="178"/>
      <c r="WQU556" s="178"/>
      <c r="WQV556" s="178"/>
      <c r="WQW556" s="178"/>
      <c r="WQX556" s="178"/>
      <c r="WQY556" s="178"/>
      <c r="WQZ556" s="178"/>
      <c r="WRA556" s="178"/>
      <c r="WRB556" s="178"/>
      <c r="WRC556" s="178"/>
      <c r="WRD556" s="178"/>
      <c r="WRE556" s="178"/>
      <c r="WRF556" s="178"/>
      <c r="WRG556" s="178"/>
      <c r="WRH556" s="178"/>
      <c r="WRI556" s="178"/>
      <c r="WRJ556" s="178"/>
      <c r="WRK556" s="178"/>
      <c r="WRL556" s="178"/>
      <c r="WRM556" s="178"/>
      <c r="WRN556" s="178"/>
      <c r="WRO556" s="178"/>
      <c r="WRP556" s="178"/>
      <c r="WRQ556" s="178"/>
      <c r="WRR556" s="178"/>
      <c r="WRS556" s="178"/>
      <c r="WRT556" s="178"/>
      <c r="WRU556" s="178"/>
      <c r="WRV556" s="178"/>
      <c r="WRW556" s="178"/>
      <c r="WRX556" s="178"/>
      <c r="WRY556" s="178"/>
      <c r="WRZ556" s="178"/>
      <c r="WSA556" s="178"/>
      <c r="WSB556" s="178"/>
      <c r="WSC556" s="178"/>
      <c r="WSD556" s="178"/>
      <c r="WSE556" s="178"/>
      <c r="WSF556" s="178"/>
      <c r="WSG556" s="178"/>
      <c r="WSH556" s="178"/>
      <c r="WSI556" s="178"/>
      <c r="WSJ556" s="178"/>
      <c r="WSK556" s="178"/>
      <c r="WSL556" s="178"/>
      <c r="WSM556" s="178"/>
      <c r="WSN556" s="178"/>
      <c r="WSO556" s="178"/>
      <c r="WSP556" s="178"/>
      <c r="WSQ556" s="178"/>
      <c r="WSR556" s="178"/>
      <c r="WSS556" s="178"/>
      <c r="WST556" s="178"/>
      <c r="WSU556" s="178"/>
      <c r="WSV556" s="178"/>
      <c r="WSW556" s="178"/>
      <c r="WSX556" s="178"/>
      <c r="WSY556" s="178"/>
      <c r="WSZ556" s="178"/>
      <c r="WTA556" s="178"/>
      <c r="WTB556" s="178"/>
      <c r="WTC556" s="178"/>
      <c r="WTD556" s="178"/>
      <c r="WTE556" s="178"/>
      <c r="WTF556" s="178"/>
      <c r="WTG556" s="178"/>
      <c r="WTH556" s="178"/>
      <c r="WTI556" s="178"/>
      <c r="WTJ556" s="178"/>
      <c r="WTK556" s="178"/>
      <c r="WTL556" s="178"/>
      <c r="WTM556" s="178"/>
      <c r="WTN556" s="178"/>
      <c r="WTO556" s="178"/>
      <c r="WTP556" s="178"/>
      <c r="WTQ556" s="178"/>
      <c r="WTR556" s="178"/>
      <c r="WTS556" s="178"/>
      <c r="WTT556" s="178"/>
      <c r="WTU556" s="178"/>
      <c r="WTV556" s="178"/>
      <c r="WTW556" s="178"/>
      <c r="WTX556" s="178"/>
      <c r="WTY556" s="178"/>
      <c r="WTZ556" s="178"/>
      <c r="WUA556" s="178"/>
      <c r="WUB556" s="178"/>
      <c r="WUC556" s="178"/>
      <c r="WUD556" s="178"/>
      <c r="WUE556" s="178"/>
      <c r="WUF556" s="178"/>
      <c r="WUG556" s="178"/>
      <c r="WUH556" s="178"/>
      <c r="WUI556" s="178"/>
      <c r="WUJ556" s="178"/>
      <c r="WUK556" s="178"/>
      <c r="WUL556" s="178"/>
      <c r="WUM556" s="178"/>
      <c r="WUN556" s="178"/>
      <c r="WUO556" s="178"/>
      <c r="WUP556" s="178"/>
      <c r="WUQ556" s="178"/>
      <c r="WUR556" s="178"/>
      <c r="WUS556" s="178"/>
      <c r="WUT556" s="178"/>
      <c r="WUU556" s="178"/>
      <c r="WUV556" s="178"/>
      <c r="WUW556" s="178"/>
      <c r="WUX556" s="178"/>
      <c r="WUY556" s="178"/>
      <c r="WUZ556" s="178"/>
      <c r="WVA556" s="178"/>
      <c r="WVB556" s="178"/>
      <c r="WVC556" s="178"/>
      <c r="WVD556" s="178"/>
      <c r="WVE556" s="178"/>
      <c r="WVF556" s="178"/>
      <c r="WVG556" s="178"/>
      <c r="WVH556" s="178"/>
      <c r="WVI556" s="178"/>
      <c r="WVJ556" s="178"/>
      <c r="WVK556" s="178"/>
      <c r="WVL556" s="178"/>
      <c r="WVM556" s="178"/>
      <c r="WVN556" s="178"/>
      <c r="WVO556" s="178"/>
      <c r="WVP556" s="178"/>
      <c r="WVQ556" s="178"/>
      <c r="WVR556" s="178"/>
      <c r="WVS556" s="178"/>
      <c r="WVT556" s="178"/>
      <c r="WVU556" s="178"/>
      <c r="WVV556" s="178"/>
      <c r="WVW556" s="178"/>
      <c r="WVX556" s="178"/>
      <c r="WVY556" s="178"/>
      <c r="WVZ556" s="178"/>
      <c r="WWA556" s="178"/>
      <c r="WWB556" s="178"/>
      <c r="WWC556" s="178"/>
      <c r="WWD556" s="178"/>
      <c r="WWE556" s="178"/>
      <c r="WWF556" s="178"/>
      <c r="WWG556" s="178"/>
      <c r="WWH556" s="178"/>
      <c r="WWI556" s="178"/>
      <c r="WWJ556" s="178"/>
      <c r="WWK556" s="178"/>
      <c r="WWL556" s="178"/>
      <c r="WWM556" s="178"/>
      <c r="WWN556" s="178"/>
      <c r="WWO556" s="178"/>
      <c r="WWP556" s="178"/>
      <c r="WWQ556" s="178"/>
      <c r="WWR556" s="178"/>
      <c r="WWS556" s="178"/>
      <c r="WWT556" s="178"/>
      <c r="WWU556" s="178"/>
      <c r="WWV556" s="178"/>
      <c r="WWW556" s="178"/>
      <c r="WWX556" s="178"/>
      <c r="WWY556" s="178"/>
      <c r="WWZ556" s="178"/>
      <c r="WXA556" s="178"/>
      <c r="WXB556" s="178"/>
      <c r="WXC556" s="178"/>
      <c r="WXD556" s="178"/>
      <c r="WXE556" s="178"/>
      <c r="WXF556" s="178"/>
      <c r="WXG556" s="178"/>
      <c r="WXH556" s="178"/>
      <c r="WXI556" s="178"/>
      <c r="WXJ556" s="178"/>
      <c r="WXK556" s="178"/>
      <c r="WXL556" s="178"/>
      <c r="WXM556" s="178"/>
      <c r="WXN556" s="178"/>
      <c r="WXO556" s="178"/>
      <c r="WXP556" s="178"/>
      <c r="WXQ556" s="178"/>
      <c r="WXR556" s="178"/>
      <c r="WXS556" s="178"/>
      <c r="WXT556" s="178"/>
      <c r="WXU556" s="178"/>
      <c r="WXV556" s="178"/>
      <c r="WXW556" s="178"/>
      <c r="WXX556" s="178"/>
      <c r="WXY556" s="178"/>
      <c r="WXZ556" s="178"/>
      <c r="WYA556" s="178"/>
      <c r="WYB556" s="178"/>
      <c r="WYC556" s="178"/>
      <c r="WYD556" s="178"/>
      <c r="WYE556" s="178"/>
      <c r="WYF556" s="178"/>
      <c r="WYG556" s="178"/>
      <c r="WYH556" s="178"/>
      <c r="WYI556" s="178"/>
      <c r="WYJ556" s="178"/>
      <c r="WYK556" s="178"/>
      <c r="WYL556" s="178"/>
      <c r="WYM556" s="178"/>
      <c r="WYN556" s="178"/>
      <c r="WYO556" s="178"/>
      <c r="WYP556" s="178"/>
      <c r="WYQ556" s="178"/>
      <c r="WYR556" s="178"/>
      <c r="WYS556" s="178"/>
      <c r="WYT556" s="178"/>
      <c r="WYU556" s="178"/>
      <c r="WYV556" s="178"/>
      <c r="WYW556" s="178"/>
      <c r="WYX556" s="178"/>
      <c r="WYY556" s="178"/>
      <c r="WYZ556" s="178"/>
      <c r="WZA556" s="178"/>
      <c r="WZB556" s="178"/>
      <c r="WZC556" s="178"/>
      <c r="WZD556" s="178"/>
      <c r="WZE556" s="178"/>
      <c r="WZF556" s="178"/>
      <c r="WZG556" s="178"/>
      <c r="WZH556" s="178"/>
      <c r="WZI556" s="178"/>
      <c r="WZJ556" s="178"/>
      <c r="WZK556" s="178"/>
      <c r="WZL556" s="178"/>
      <c r="WZM556" s="178"/>
      <c r="WZN556" s="178"/>
      <c r="WZO556" s="178"/>
      <c r="WZP556" s="178"/>
      <c r="WZQ556" s="178"/>
      <c r="WZR556" s="178"/>
      <c r="WZS556" s="178"/>
      <c r="WZT556" s="178"/>
      <c r="WZU556" s="178"/>
      <c r="WZV556" s="178"/>
      <c r="WZW556" s="178"/>
      <c r="WZX556" s="178"/>
      <c r="WZY556" s="178"/>
      <c r="WZZ556" s="178"/>
      <c r="XAA556" s="178"/>
      <c r="XAB556" s="178"/>
      <c r="XAC556" s="178"/>
      <c r="XAD556" s="178"/>
      <c r="XAE556" s="178"/>
      <c r="XAF556" s="178"/>
      <c r="XAG556" s="178"/>
      <c r="XAH556" s="178"/>
      <c r="XAI556" s="178"/>
      <c r="XAJ556" s="178"/>
      <c r="XAK556" s="178"/>
      <c r="XAL556" s="178"/>
      <c r="XAM556" s="178"/>
      <c r="XAN556" s="178"/>
      <c r="XAO556" s="178"/>
      <c r="XAP556" s="178"/>
      <c r="XAQ556" s="178"/>
      <c r="XAR556" s="178"/>
      <c r="XAS556" s="178"/>
      <c r="XAT556" s="178"/>
      <c r="XAU556" s="178"/>
      <c r="XAV556" s="178"/>
      <c r="XAW556" s="178"/>
      <c r="XAX556" s="178"/>
      <c r="XAY556" s="178"/>
      <c r="XAZ556" s="178"/>
      <c r="XBA556" s="178"/>
      <c r="XBB556" s="178"/>
      <c r="XBC556" s="178"/>
      <c r="XBD556" s="178"/>
      <c r="XBE556" s="178"/>
      <c r="XBF556" s="178"/>
      <c r="XBG556" s="178"/>
      <c r="XBH556" s="178"/>
      <c r="XBI556" s="178"/>
      <c r="XBJ556" s="178"/>
      <c r="XBK556" s="178"/>
      <c r="XBL556" s="178"/>
      <c r="XBM556" s="178"/>
      <c r="XBN556" s="178"/>
      <c r="XBO556" s="178"/>
      <c r="XBP556" s="178"/>
      <c r="XBQ556" s="178"/>
      <c r="XBR556" s="178"/>
      <c r="XBS556" s="178"/>
      <c r="XBT556" s="178"/>
      <c r="XBU556" s="178"/>
      <c r="XBV556" s="178"/>
      <c r="XBW556" s="178"/>
      <c r="XBX556" s="178"/>
      <c r="XBY556" s="178"/>
      <c r="XBZ556" s="178"/>
      <c r="XCA556" s="178"/>
      <c r="XCB556" s="178"/>
      <c r="XCC556" s="178"/>
      <c r="XCD556" s="178"/>
      <c r="XCE556" s="178"/>
      <c r="XCF556" s="178"/>
      <c r="XCG556" s="178"/>
      <c r="XCH556" s="178"/>
      <c r="XCI556" s="178"/>
      <c r="XCJ556" s="178"/>
      <c r="XCK556" s="178"/>
      <c r="XCL556" s="178"/>
      <c r="XCM556" s="178"/>
      <c r="XCN556" s="178"/>
      <c r="XCO556" s="178"/>
      <c r="XCP556" s="178"/>
      <c r="XCQ556" s="178"/>
      <c r="XCR556" s="178"/>
      <c r="XCS556" s="178"/>
      <c r="XCT556" s="178"/>
      <c r="XCU556" s="178"/>
      <c r="XCV556" s="178"/>
      <c r="XCW556" s="178"/>
      <c r="XCX556" s="178"/>
      <c r="XCY556" s="178"/>
      <c r="XCZ556" s="178"/>
      <c r="XDA556" s="178"/>
      <c r="XDB556" s="178"/>
      <c r="XDC556" s="178"/>
      <c r="XDD556" s="178"/>
      <c r="XDE556" s="178"/>
      <c r="XDF556" s="178"/>
      <c r="XDG556" s="178"/>
      <c r="XDH556" s="178"/>
      <c r="XDI556" s="178"/>
      <c r="XDJ556" s="178"/>
      <c r="XDK556" s="178"/>
      <c r="XDL556" s="178"/>
      <c r="XDM556" s="178"/>
      <c r="XDN556" s="178"/>
      <c r="XDO556" s="178"/>
      <c r="XDP556" s="178"/>
      <c r="XDQ556" s="178"/>
      <c r="XDR556" s="178"/>
      <c r="XDS556" s="178"/>
      <c r="XDT556" s="178"/>
      <c r="XDU556" s="178"/>
      <c r="XDV556" s="178"/>
      <c r="XDW556" s="178"/>
      <c r="XDX556" s="178"/>
      <c r="XDY556" s="178"/>
      <c r="XDZ556" s="178"/>
      <c r="XEA556" s="178"/>
      <c r="XEB556" s="178"/>
      <c r="XEC556" s="178"/>
      <c r="XED556" s="178"/>
      <c r="XEE556" s="178"/>
      <c r="XEF556" s="178"/>
      <c r="XEG556" s="178"/>
      <c r="XEH556" s="178"/>
      <c r="XEI556" s="178"/>
      <c r="XEJ556" s="178"/>
      <c r="XEK556" s="178"/>
      <c r="XEL556" s="178"/>
      <c r="XEM556" s="178"/>
      <c r="XEN556" s="178"/>
      <c r="XEO556" s="178"/>
      <c r="XEP556" s="178"/>
      <c r="XEQ556" s="178"/>
      <c r="XER556" s="178"/>
      <c r="XES556" s="178"/>
      <c r="XET556" s="178"/>
      <c r="XEU556" s="178"/>
    </row>
    <row r="557" spans="1:16375" s="420" customFormat="1">
      <c r="C557" s="421"/>
      <c r="D557" s="422"/>
      <c r="E557" s="640"/>
      <c r="F557" s="640"/>
      <c r="G557" s="640"/>
      <c r="H557" s="640"/>
      <c r="I557" s="640"/>
      <c r="J557" s="640"/>
      <c r="K557" s="640"/>
      <c r="L557" s="641"/>
      <c r="M557" s="638"/>
      <c r="N557" s="178"/>
      <c r="O557" s="178"/>
      <c r="P557" s="178"/>
      <c r="Q557" s="178"/>
      <c r="R557" s="178"/>
      <c r="S557" s="178"/>
      <c r="T557" s="178"/>
      <c r="U557" s="178"/>
      <c r="V557" s="178"/>
      <c r="W557" s="178"/>
      <c r="X557" s="178"/>
      <c r="Y557" s="178"/>
      <c r="Z557" s="178"/>
      <c r="AA557" s="178"/>
      <c r="AB557" s="178"/>
      <c r="AC557" s="178"/>
      <c r="AD557" s="178"/>
      <c r="AE557" s="178"/>
      <c r="AF557" s="178"/>
      <c r="AG557" s="178"/>
      <c r="AH557" s="178"/>
      <c r="AI557" s="178"/>
      <c r="AJ557" s="178"/>
      <c r="AK557" s="178"/>
      <c r="AL557" s="178"/>
      <c r="AM557" s="178"/>
      <c r="AN557" s="178"/>
      <c r="AO557" s="178"/>
      <c r="AP557" s="178"/>
      <c r="AQ557" s="178"/>
      <c r="AR557" s="178"/>
      <c r="AS557" s="178"/>
      <c r="AT557" s="178"/>
      <c r="AU557" s="178"/>
      <c r="AV557" s="178"/>
      <c r="AW557" s="178"/>
      <c r="AX557" s="178"/>
      <c r="AY557" s="178"/>
      <c r="AZ557" s="178"/>
      <c r="BA557" s="178"/>
      <c r="BB557" s="178"/>
      <c r="BC557" s="178"/>
      <c r="BD557" s="178"/>
      <c r="BE557" s="178"/>
      <c r="BF557" s="178"/>
      <c r="BG557" s="178"/>
      <c r="BH557" s="178"/>
      <c r="BI557" s="178"/>
      <c r="BJ557" s="178"/>
      <c r="BK557" s="178"/>
      <c r="BL557" s="178"/>
      <c r="BM557" s="178"/>
      <c r="BN557" s="178"/>
      <c r="BO557" s="178"/>
      <c r="BP557" s="178"/>
      <c r="BQ557" s="178"/>
      <c r="BR557" s="178"/>
      <c r="BS557" s="178"/>
      <c r="BT557" s="178"/>
      <c r="BU557" s="178"/>
      <c r="BV557" s="178"/>
      <c r="BW557" s="178"/>
      <c r="BX557" s="178"/>
      <c r="BY557" s="178"/>
      <c r="BZ557" s="178"/>
      <c r="CA557" s="178"/>
      <c r="CB557" s="178"/>
      <c r="CC557" s="178"/>
      <c r="CD557" s="178"/>
      <c r="CE557" s="178"/>
      <c r="CF557" s="178"/>
      <c r="CG557" s="178"/>
      <c r="CH557" s="178"/>
      <c r="CI557" s="178"/>
      <c r="CJ557" s="178"/>
      <c r="CK557" s="178"/>
      <c r="CL557" s="178"/>
      <c r="CM557" s="178"/>
      <c r="CN557" s="178"/>
      <c r="CO557" s="178"/>
      <c r="CP557" s="178"/>
      <c r="CQ557" s="178"/>
      <c r="CR557" s="178"/>
      <c r="CS557" s="178"/>
      <c r="CT557" s="178"/>
      <c r="CU557" s="178"/>
      <c r="CV557" s="178"/>
      <c r="CW557" s="178"/>
      <c r="CX557" s="178"/>
      <c r="CY557" s="178"/>
      <c r="CZ557" s="178"/>
      <c r="DA557" s="178"/>
      <c r="DB557" s="178"/>
      <c r="DC557" s="178"/>
      <c r="DD557" s="178"/>
      <c r="DE557" s="178"/>
      <c r="DF557" s="178"/>
      <c r="DG557" s="178"/>
      <c r="DH557" s="178"/>
      <c r="DI557" s="178"/>
      <c r="DJ557" s="178"/>
      <c r="DK557" s="178"/>
      <c r="DL557" s="178"/>
      <c r="DM557" s="178"/>
      <c r="DN557" s="178"/>
      <c r="DO557" s="178"/>
      <c r="DP557" s="178"/>
      <c r="DQ557" s="178"/>
      <c r="DR557" s="178"/>
      <c r="DS557" s="178"/>
      <c r="DT557" s="178"/>
      <c r="DU557" s="178"/>
      <c r="DV557" s="178"/>
      <c r="DW557" s="178"/>
      <c r="DX557" s="178"/>
      <c r="DY557" s="178"/>
      <c r="DZ557" s="178"/>
      <c r="EA557" s="178"/>
      <c r="EB557" s="178"/>
      <c r="EC557" s="178"/>
      <c r="ED557" s="178"/>
      <c r="EE557" s="178"/>
      <c r="EF557" s="178"/>
      <c r="EG557" s="178"/>
      <c r="EH557" s="178"/>
      <c r="EI557" s="178"/>
      <c r="EJ557" s="178"/>
      <c r="EK557" s="178"/>
      <c r="EL557" s="178"/>
      <c r="EM557" s="178"/>
      <c r="EN557" s="178"/>
      <c r="EO557" s="178"/>
      <c r="EP557" s="178"/>
      <c r="EQ557" s="178"/>
      <c r="ER557" s="178"/>
      <c r="ES557" s="178"/>
      <c r="ET557" s="178"/>
      <c r="EU557" s="178"/>
      <c r="EV557" s="178"/>
      <c r="EW557" s="178"/>
      <c r="EX557" s="178"/>
      <c r="EY557" s="178"/>
      <c r="EZ557" s="178"/>
      <c r="FA557" s="178"/>
      <c r="FB557" s="178"/>
      <c r="FC557" s="178"/>
      <c r="FD557" s="178"/>
      <c r="FE557" s="178"/>
      <c r="FF557" s="178"/>
      <c r="FG557" s="178"/>
      <c r="FH557" s="178"/>
      <c r="FI557" s="178"/>
      <c r="FJ557" s="178"/>
      <c r="FK557" s="178"/>
      <c r="FL557" s="178"/>
      <c r="FM557" s="178"/>
      <c r="FN557" s="178"/>
      <c r="FO557" s="178"/>
      <c r="FP557" s="178"/>
      <c r="FQ557" s="178"/>
      <c r="FR557" s="178"/>
      <c r="FS557" s="178"/>
      <c r="FT557" s="178"/>
      <c r="FU557" s="178"/>
      <c r="FV557" s="178"/>
      <c r="FW557" s="178"/>
      <c r="FX557" s="178"/>
      <c r="FY557" s="178"/>
      <c r="FZ557" s="178"/>
      <c r="GA557" s="178"/>
      <c r="GB557" s="178"/>
      <c r="GC557" s="178"/>
      <c r="GD557" s="178"/>
      <c r="GE557" s="178"/>
      <c r="GF557" s="178"/>
      <c r="GG557" s="178"/>
      <c r="GH557" s="178"/>
      <c r="GI557" s="178"/>
      <c r="GJ557" s="178"/>
      <c r="GK557" s="178"/>
      <c r="GL557" s="178"/>
      <c r="GM557" s="178"/>
      <c r="GN557" s="178"/>
      <c r="GO557" s="178"/>
      <c r="GP557" s="178"/>
      <c r="GQ557" s="178"/>
      <c r="GR557" s="178"/>
      <c r="GS557" s="178"/>
      <c r="GT557" s="178"/>
      <c r="GU557" s="178"/>
      <c r="GV557" s="178"/>
      <c r="GW557" s="178"/>
      <c r="GX557" s="178"/>
      <c r="GY557" s="178"/>
      <c r="GZ557" s="178"/>
      <c r="HA557" s="178"/>
      <c r="HB557" s="178"/>
      <c r="HC557" s="178"/>
      <c r="HD557" s="178"/>
      <c r="HE557" s="178"/>
      <c r="HF557" s="178"/>
      <c r="HG557" s="178"/>
      <c r="HH557" s="178"/>
      <c r="HI557" s="178"/>
      <c r="HJ557" s="178"/>
      <c r="HK557" s="178"/>
      <c r="HL557" s="178"/>
      <c r="HM557" s="178"/>
      <c r="HN557" s="178"/>
      <c r="HO557" s="178"/>
      <c r="HP557" s="178"/>
      <c r="HQ557" s="178"/>
      <c r="HR557" s="178"/>
      <c r="HS557" s="178"/>
      <c r="HT557" s="178"/>
      <c r="HU557" s="178"/>
      <c r="HV557" s="178"/>
      <c r="HW557" s="178"/>
      <c r="HX557" s="178"/>
      <c r="HY557" s="178"/>
      <c r="HZ557" s="178"/>
      <c r="IA557" s="178"/>
      <c r="IB557" s="178"/>
      <c r="IC557" s="178"/>
      <c r="ID557" s="178"/>
      <c r="IE557" s="178"/>
      <c r="IF557" s="178"/>
      <c r="IG557" s="178"/>
      <c r="IH557" s="178"/>
      <c r="II557" s="178"/>
      <c r="IJ557" s="178"/>
      <c r="IK557" s="178"/>
      <c r="IL557" s="178"/>
      <c r="IM557" s="178"/>
      <c r="IN557" s="178"/>
      <c r="IO557" s="178"/>
      <c r="IP557" s="178"/>
      <c r="IQ557" s="178"/>
      <c r="IR557" s="178"/>
      <c r="IS557" s="178"/>
      <c r="IT557" s="178"/>
      <c r="IU557" s="178"/>
      <c r="IV557" s="178"/>
      <c r="IW557" s="178"/>
      <c r="IX557" s="178"/>
      <c r="IY557" s="178"/>
      <c r="IZ557" s="178"/>
      <c r="JA557" s="178"/>
      <c r="JB557" s="178"/>
      <c r="JC557" s="178"/>
      <c r="JD557" s="178"/>
      <c r="JE557" s="178"/>
      <c r="JF557" s="178"/>
      <c r="JG557" s="178"/>
      <c r="JH557" s="178"/>
      <c r="JI557" s="178"/>
      <c r="JJ557" s="178"/>
      <c r="JK557" s="178"/>
      <c r="JL557" s="178"/>
      <c r="JM557" s="178"/>
      <c r="JN557" s="178"/>
      <c r="JO557" s="178"/>
      <c r="JP557" s="178"/>
      <c r="JQ557" s="178"/>
      <c r="JR557" s="178"/>
      <c r="JS557" s="178"/>
      <c r="JT557" s="178"/>
      <c r="JU557" s="178"/>
      <c r="JV557" s="178"/>
      <c r="JW557" s="178"/>
      <c r="JX557" s="178"/>
      <c r="JY557" s="178"/>
      <c r="JZ557" s="178"/>
      <c r="KA557" s="178"/>
      <c r="KB557" s="178"/>
      <c r="KC557" s="178"/>
      <c r="KD557" s="178"/>
      <c r="KE557" s="178"/>
      <c r="KF557" s="178"/>
      <c r="KG557" s="178"/>
      <c r="KH557" s="178"/>
      <c r="KI557" s="178"/>
      <c r="KJ557" s="178"/>
      <c r="KK557" s="178"/>
      <c r="KL557" s="178"/>
      <c r="KM557" s="178"/>
      <c r="KN557" s="178"/>
      <c r="KO557" s="178"/>
      <c r="KP557" s="178"/>
      <c r="KQ557" s="178"/>
      <c r="KR557" s="178"/>
      <c r="KS557" s="178"/>
      <c r="KT557" s="178"/>
      <c r="KU557" s="178"/>
      <c r="KV557" s="178"/>
      <c r="KW557" s="178"/>
      <c r="KX557" s="178"/>
      <c r="KY557" s="178"/>
      <c r="KZ557" s="178"/>
      <c r="LA557" s="178"/>
      <c r="LB557" s="178"/>
      <c r="LC557" s="178"/>
      <c r="LD557" s="178"/>
      <c r="LE557" s="178"/>
      <c r="LF557" s="178"/>
      <c r="LG557" s="178"/>
      <c r="LH557" s="178"/>
      <c r="LI557" s="178"/>
      <c r="LJ557" s="178"/>
      <c r="LK557" s="178"/>
      <c r="LL557" s="178"/>
      <c r="LM557" s="178"/>
      <c r="LN557" s="178"/>
      <c r="LO557" s="178"/>
      <c r="LP557" s="178"/>
      <c r="LQ557" s="178"/>
      <c r="LR557" s="178"/>
      <c r="LS557" s="178"/>
      <c r="LT557" s="178"/>
      <c r="LU557" s="178"/>
      <c r="LV557" s="178"/>
      <c r="LW557" s="178"/>
      <c r="LX557" s="178"/>
      <c r="LY557" s="178"/>
      <c r="LZ557" s="178"/>
      <c r="MA557" s="178"/>
      <c r="MB557" s="178"/>
      <c r="MC557" s="178"/>
      <c r="MD557" s="178"/>
      <c r="ME557" s="178"/>
      <c r="MF557" s="178"/>
      <c r="MG557" s="178"/>
      <c r="MH557" s="178"/>
      <c r="MI557" s="178"/>
      <c r="MJ557" s="178"/>
      <c r="MK557" s="178"/>
      <c r="ML557" s="178"/>
      <c r="MM557" s="178"/>
      <c r="MN557" s="178"/>
      <c r="MO557" s="178"/>
      <c r="MP557" s="178"/>
      <c r="MQ557" s="178"/>
      <c r="MR557" s="178"/>
      <c r="MS557" s="178"/>
      <c r="MT557" s="178"/>
      <c r="MU557" s="178"/>
      <c r="MV557" s="178"/>
      <c r="MW557" s="178"/>
      <c r="MX557" s="178"/>
      <c r="MY557" s="178"/>
      <c r="MZ557" s="178"/>
      <c r="NA557" s="178"/>
      <c r="NB557" s="178"/>
      <c r="NC557" s="178"/>
      <c r="ND557" s="178"/>
      <c r="NE557" s="178"/>
      <c r="NF557" s="178"/>
      <c r="NG557" s="178"/>
      <c r="NH557" s="178"/>
      <c r="NI557" s="178"/>
      <c r="NJ557" s="178"/>
      <c r="NK557" s="178"/>
      <c r="NL557" s="178"/>
      <c r="NM557" s="178"/>
      <c r="NN557" s="178"/>
      <c r="NO557" s="178"/>
      <c r="NP557" s="178"/>
      <c r="NQ557" s="178"/>
      <c r="NR557" s="178"/>
      <c r="NS557" s="178"/>
      <c r="NT557" s="178"/>
      <c r="NU557" s="178"/>
      <c r="NV557" s="178"/>
      <c r="NW557" s="178"/>
      <c r="NX557" s="178"/>
      <c r="NY557" s="178"/>
      <c r="NZ557" s="178"/>
      <c r="OA557" s="178"/>
      <c r="OB557" s="178"/>
      <c r="OC557" s="178"/>
      <c r="OD557" s="178"/>
      <c r="OE557" s="178"/>
      <c r="OF557" s="178"/>
      <c r="OG557" s="178"/>
      <c r="OH557" s="178"/>
      <c r="OI557" s="178"/>
      <c r="OJ557" s="178"/>
      <c r="OK557" s="178"/>
      <c r="OL557" s="178"/>
      <c r="OM557" s="178"/>
      <c r="ON557" s="178"/>
      <c r="OO557" s="178"/>
      <c r="OP557" s="178"/>
      <c r="OQ557" s="178"/>
      <c r="OR557" s="178"/>
      <c r="OS557" s="178"/>
      <c r="OT557" s="178"/>
      <c r="OU557" s="178"/>
      <c r="OV557" s="178"/>
      <c r="OW557" s="178"/>
      <c r="OX557" s="178"/>
      <c r="OY557" s="178"/>
      <c r="OZ557" s="178"/>
      <c r="PA557" s="178"/>
      <c r="PB557" s="178"/>
      <c r="PC557" s="178"/>
      <c r="PD557" s="178"/>
      <c r="PE557" s="178"/>
      <c r="PF557" s="178"/>
      <c r="PG557" s="178"/>
      <c r="PH557" s="178"/>
      <c r="PI557" s="178"/>
      <c r="PJ557" s="178"/>
      <c r="PK557" s="178"/>
      <c r="PL557" s="178"/>
      <c r="PM557" s="178"/>
      <c r="PN557" s="178"/>
      <c r="PO557" s="178"/>
      <c r="PP557" s="178"/>
      <c r="PQ557" s="178"/>
      <c r="PR557" s="178"/>
      <c r="PS557" s="178"/>
      <c r="PT557" s="178"/>
      <c r="PU557" s="178"/>
      <c r="PV557" s="178"/>
      <c r="PW557" s="178"/>
      <c r="PX557" s="178"/>
      <c r="PY557" s="178"/>
      <c r="PZ557" s="178"/>
      <c r="QA557" s="178"/>
      <c r="QB557" s="178"/>
      <c r="QC557" s="178"/>
      <c r="QD557" s="178"/>
      <c r="QE557" s="178"/>
      <c r="QF557" s="178"/>
      <c r="QG557" s="178"/>
      <c r="QH557" s="178"/>
      <c r="QI557" s="178"/>
      <c r="QJ557" s="178"/>
      <c r="QK557" s="178"/>
      <c r="QL557" s="178"/>
      <c r="QM557" s="178"/>
      <c r="QN557" s="178"/>
      <c r="QO557" s="178"/>
      <c r="QP557" s="178"/>
      <c r="QQ557" s="178"/>
      <c r="QR557" s="178"/>
      <c r="QS557" s="178"/>
      <c r="QT557" s="178"/>
      <c r="QU557" s="178"/>
      <c r="QV557" s="178"/>
      <c r="QW557" s="178"/>
      <c r="QX557" s="178"/>
      <c r="QY557" s="178"/>
      <c r="QZ557" s="178"/>
      <c r="RA557" s="178"/>
      <c r="RB557" s="178"/>
      <c r="RC557" s="178"/>
      <c r="RD557" s="178"/>
      <c r="RE557" s="178"/>
      <c r="RF557" s="178"/>
      <c r="RG557" s="178"/>
      <c r="RH557" s="178"/>
      <c r="RI557" s="178"/>
      <c r="RJ557" s="178"/>
      <c r="RK557" s="178"/>
      <c r="RL557" s="178"/>
      <c r="RM557" s="178"/>
      <c r="RN557" s="178"/>
      <c r="RO557" s="178"/>
      <c r="RP557" s="178"/>
      <c r="RQ557" s="178"/>
      <c r="RR557" s="178"/>
      <c r="RS557" s="178"/>
      <c r="RT557" s="178"/>
      <c r="RU557" s="178"/>
      <c r="RV557" s="178"/>
      <c r="RW557" s="178"/>
      <c r="RX557" s="178"/>
      <c r="RY557" s="178"/>
      <c r="RZ557" s="178"/>
      <c r="SA557" s="178"/>
      <c r="SB557" s="178"/>
      <c r="SC557" s="178"/>
      <c r="SD557" s="178"/>
      <c r="SE557" s="178"/>
      <c r="SF557" s="178"/>
      <c r="SG557" s="178"/>
      <c r="SH557" s="178"/>
      <c r="SI557" s="178"/>
      <c r="SJ557" s="178"/>
      <c r="SK557" s="178"/>
      <c r="SL557" s="178"/>
      <c r="SM557" s="178"/>
      <c r="SN557" s="178"/>
      <c r="SO557" s="178"/>
      <c r="SP557" s="178"/>
      <c r="SQ557" s="178"/>
      <c r="SR557" s="178"/>
      <c r="SS557" s="178"/>
      <c r="ST557" s="178"/>
      <c r="SU557" s="178"/>
      <c r="SV557" s="178"/>
      <c r="SW557" s="178"/>
      <c r="SX557" s="178"/>
      <c r="SY557" s="178"/>
      <c r="SZ557" s="178"/>
      <c r="TA557" s="178"/>
      <c r="TB557" s="178"/>
      <c r="TC557" s="178"/>
      <c r="TD557" s="178"/>
      <c r="TE557" s="178"/>
      <c r="TF557" s="178"/>
      <c r="TG557" s="178"/>
      <c r="TH557" s="178"/>
      <c r="TI557" s="178"/>
      <c r="TJ557" s="178"/>
      <c r="TK557" s="178"/>
      <c r="TL557" s="178"/>
      <c r="TM557" s="178"/>
      <c r="TN557" s="178"/>
      <c r="TO557" s="178"/>
      <c r="TP557" s="178"/>
      <c r="TQ557" s="178"/>
      <c r="TR557" s="178"/>
      <c r="TS557" s="178"/>
      <c r="TT557" s="178"/>
      <c r="TU557" s="178"/>
      <c r="TV557" s="178"/>
      <c r="TW557" s="178"/>
      <c r="TX557" s="178"/>
      <c r="TY557" s="178"/>
      <c r="TZ557" s="178"/>
      <c r="UA557" s="178"/>
      <c r="UB557" s="178"/>
      <c r="UC557" s="178"/>
      <c r="UD557" s="178"/>
      <c r="UE557" s="178"/>
      <c r="UF557" s="178"/>
      <c r="UG557" s="178"/>
      <c r="UH557" s="178"/>
      <c r="UI557" s="178"/>
      <c r="UJ557" s="178"/>
      <c r="UK557" s="178"/>
      <c r="UL557" s="178"/>
      <c r="UM557" s="178"/>
      <c r="UN557" s="178"/>
      <c r="UO557" s="178"/>
      <c r="UP557" s="178"/>
      <c r="UQ557" s="178"/>
      <c r="UR557" s="178"/>
      <c r="US557" s="178"/>
      <c r="UT557" s="178"/>
      <c r="UU557" s="178"/>
      <c r="UV557" s="178"/>
      <c r="UW557" s="178"/>
      <c r="UX557" s="178"/>
      <c r="UY557" s="178"/>
      <c r="UZ557" s="178"/>
      <c r="VA557" s="178"/>
      <c r="VB557" s="178"/>
      <c r="VC557" s="178"/>
      <c r="VD557" s="178"/>
      <c r="VE557" s="178"/>
      <c r="VF557" s="178"/>
      <c r="VG557" s="178"/>
      <c r="VH557" s="178"/>
      <c r="VI557" s="178"/>
      <c r="VJ557" s="178"/>
      <c r="VK557" s="178"/>
      <c r="VL557" s="178"/>
      <c r="VM557" s="178"/>
      <c r="VN557" s="178"/>
      <c r="VO557" s="178"/>
      <c r="VP557" s="178"/>
      <c r="VQ557" s="178"/>
      <c r="VR557" s="178"/>
      <c r="VS557" s="178"/>
      <c r="VT557" s="178"/>
      <c r="VU557" s="178"/>
      <c r="VV557" s="178"/>
      <c r="VW557" s="178"/>
      <c r="VX557" s="178"/>
      <c r="VY557" s="178"/>
      <c r="VZ557" s="178"/>
      <c r="WA557" s="178"/>
      <c r="WB557" s="178"/>
      <c r="WC557" s="178"/>
      <c r="WD557" s="178"/>
      <c r="WE557" s="178"/>
      <c r="WF557" s="178"/>
      <c r="WG557" s="178"/>
      <c r="WH557" s="178"/>
      <c r="WI557" s="178"/>
      <c r="WJ557" s="178"/>
      <c r="WK557" s="178"/>
      <c r="WL557" s="178"/>
      <c r="WM557" s="178"/>
      <c r="WN557" s="178"/>
      <c r="WO557" s="178"/>
      <c r="WP557" s="178"/>
      <c r="WQ557" s="178"/>
      <c r="WR557" s="178"/>
      <c r="WS557" s="178"/>
      <c r="WT557" s="178"/>
      <c r="WU557" s="178"/>
      <c r="WV557" s="178"/>
      <c r="WW557" s="178"/>
      <c r="WX557" s="178"/>
      <c r="WY557" s="178"/>
      <c r="WZ557" s="178"/>
      <c r="XA557" s="178"/>
      <c r="XB557" s="178"/>
      <c r="XC557" s="178"/>
      <c r="XD557" s="178"/>
      <c r="XE557" s="178"/>
      <c r="XF557" s="178"/>
      <c r="XG557" s="178"/>
      <c r="XH557" s="178"/>
      <c r="XI557" s="178"/>
      <c r="XJ557" s="178"/>
      <c r="XK557" s="178"/>
      <c r="XL557" s="178"/>
      <c r="XM557" s="178"/>
      <c r="XN557" s="178"/>
      <c r="XO557" s="178"/>
      <c r="XP557" s="178"/>
      <c r="XQ557" s="178"/>
      <c r="XR557" s="178"/>
      <c r="XS557" s="178"/>
      <c r="XT557" s="178"/>
      <c r="XU557" s="178"/>
      <c r="XV557" s="178"/>
      <c r="XW557" s="178"/>
      <c r="XX557" s="178"/>
      <c r="XY557" s="178"/>
      <c r="XZ557" s="178"/>
      <c r="YA557" s="178"/>
      <c r="YB557" s="178"/>
      <c r="YC557" s="178"/>
      <c r="YD557" s="178"/>
      <c r="YE557" s="178"/>
      <c r="YF557" s="178"/>
      <c r="YG557" s="178"/>
      <c r="YH557" s="178"/>
      <c r="YI557" s="178"/>
      <c r="YJ557" s="178"/>
      <c r="YK557" s="178"/>
      <c r="YL557" s="178"/>
      <c r="YM557" s="178"/>
      <c r="YN557" s="178"/>
      <c r="YO557" s="178"/>
      <c r="YP557" s="178"/>
      <c r="YQ557" s="178"/>
      <c r="YR557" s="178"/>
      <c r="YS557" s="178"/>
      <c r="YT557" s="178"/>
      <c r="YU557" s="178"/>
      <c r="YV557" s="178"/>
      <c r="YW557" s="178"/>
      <c r="YX557" s="178"/>
      <c r="YY557" s="178"/>
      <c r="YZ557" s="178"/>
      <c r="ZA557" s="178"/>
      <c r="ZB557" s="178"/>
      <c r="ZC557" s="178"/>
      <c r="ZD557" s="178"/>
      <c r="ZE557" s="178"/>
      <c r="ZF557" s="178"/>
      <c r="ZG557" s="178"/>
      <c r="ZH557" s="178"/>
      <c r="ZI557" s="178"/>
      <c r="ZJ557" s="178"/>
      <c r="ZK557" s="178"/>
      <c r="ZL557" s="178"/>
      <c r="ZM557" s="178"/>
      <c r="ZN557" s="178"/>
      <c r="ZO557" s="178"/>
      <c r="ZP557" s="178"/>
      <c r="ZQ557" s="178"/>
      <c r="ZR557" s="178"/>
      <c r="ZS557" s="178"/>
      <c r="ZT557" s="178"/>
      <c r="ZU557" s="178"/>
      <c r="ZV557" s="178"/>
      <c r="ZW557" s="178"/>
      <c r="ZX557" s="178"/>
      <c r="ZY557" s="178"/>
      <c r="ZZ557" s="178"/>
      <c r="AAA557" s="178"/>
      <c r="AAB557" s="178"/>
      <c r="AAC557" s="178"/>
      <c r="AAD557" s="178"/>
      <c r="AAE557" s="178"/>
      <c r="AAF557" s="178"/>
      <c r="AAG557" s="178"/>
      <c r="AAH557" s="178"/>
      <c r="AAI557" s="178"/>
      <c r="AAJ557" s="178"/>
      <c r="AAK557" s="178"/>
      <c r="AAL557" s="178"/>
      <c r="AAM557" s="178"/>
      <c r="AAN557" s="178"/>
      <c r="AAO557" s="178"/>
      <c r="AAP557" s="178"/>
      <c r="AAQ557" s="178"/>
      <c r="AAR557" s="178"/>
      <c r="AAS557" s="178"/>
      <c r="AAT557" s="178"/>
      <c r="AAU557" s="178"/>
      <c r="AAV557" s="178"/>
      <c r="AAW557" s="178"/>
      <c r="AAX557" s="178"/>
      <c r="AAY557" s="178"/>
      <c r="AAZ557" s="178"/>
      <c r="ABA557" s="178"/>
      <c r="ABB557" s="178"/>
      <c r="ABC557" s="178"/>
      <c r="ABD557" s="178"/>
      <c r="ABE557" s="178"/>
      <c r="ABF557" s="178"/>
      <c r="ABG557" s="178"/>
      <c r="ABH557" s="178"/>
      <c r="ABI557" s="178"/>
      <c r="ABJ557" s="178"/>
      <c r="ABK557" s="178"/>
      <c r="ABL557" s="178"/>
      <c r="ABM557" s="178"/>
      <c r="ABN557" s="178"/>
      <c r="ABO557" s="178"/>
      <c r="ABP557" s="178"/>
      <c r="ABQ557" s="178"/>
      <c r="ABR557" s="178"/>
      <c r="ABS557" s="178"/>
      <c r="ABT557" s="178"/>
      <c r="ABU557" s="178"/>
      <c r="ABV557" s="178"/>
      <c r="ABW557" s="178"/>
      <c r="ABX557" s="178"/>
      <c r="ABY557" s="178"/>
      <c r="ABZ557" s="178"/>
      <c r="ACA557" s="178"/>
      <c r="ACB557" s="178"/>
      <c r="ACC557" s="178"/>
      <c r="ACD557" s="178"/>
      <c r="ACE557" s="178"/>
      <c r="ACF557" s="178"/>
      <c r="ACG557" s="178"/>
      <c r="ACH557" s="178"/>
      <c r="ACI557" s="178"/>
      <c r="ACJ557" s="178"/>
      <c r="ACK557" s="178"/>
      <c r="ACL557" s="178"/>
      <c r="ACM557" s="178"/>
      <c r="ACN557" s="178"/>
      <c r="ACO557" s="178"/>
      <c r="ACP557" s="178"/>
      <c r="ACQ557" s="178"/>
      <c r="ACR557" s="178"/>
      <c r="ACS557" s="178"/>
      <c r="ACT557" s="178"/>
      <c r="ACU557" s="178"/>
      <c r="ACV557" s="178"/>
      <c r="ACW557" s="178"/>
      <c r="ACX557" s="178"/>
      <c r="ACY557" s="178"/>
      <c r="ACZ557" s="178"/>
      <c r="ADA557" s="178"/>
      <c r="ADB557" s="178"/>
      <c r="ADC557" s="178"/>
      <c r="ADD557" s="178"/>
      <c r="ADE557" s="178"/>
      <c r="ADF557" s="178"/>
      <c r="ADG557" s="178"/>
      <c r="ADH557" s="178"/>
      <c r="ADI557" s="178"/>
      <c r="ADJ557" s="178"/>
      <c r="ADK557" s="178"/>
      <c r="ADL557" s="178"/>
      <c r="ADM557" s="178"/>
      <c r="ADN557" s="178"/>
      <c r="ADO557" s="178"/>
      <c r="ADP557" s="178"/>
      <c r="ADQ557" s="178"/>
      <c r="ADR557" s="178"/>
      <c r="ADS557" s="178"/>
      <c r="ADT557" s="178"/>
      <c r="ADU557" s="178"/>
      <c r="ADV557" s="178"/>
      <c r="ADW557" s="178"/>
      <c r="ADX557" s="178"/>
      <c r="ADY557" s="178"/>
      <c r="ADZ557" s="178"/>
      <c r="AEA557" s="178"/>
      <c r="AEB557" s="178"/>
      <c r="AEC557" s="178"/>
      <c r="AED557" s="178"/>
      <c r="AEE557" s="178"/>
      <c r="AEF557" s="178"/>
      <c r="AEG557" s="178"/>
      <c r="AEH557" s="178"/>
      <c r="AEI557" s="178"/>
      <c r="AEJ557" s="178"/>
      <c r="AEK557" s="178"/>
      <c r="AEL557" s="178"/>
      <c r="AEM557" s="178"/>
      <c r="AEN557" s="178"/>
      <c r="AEO557" s="178"/>
      <c r="AEP557" s="178"/>
      <c r="AEQ557" s="178"/>
      <c r="AER557" s="178"/>
      <c r="AES557" s="178"/>
      <c r="AET557" s="178"/>
      <c r="AEU557" s="178"/>
      <c r="AEV557" s="178"/>
      <c r="AEW557" s="178"/>
      <c r="AEX557" s="178"/>
      <c r="AEY557" s="178"/>
      <c r="AEZ557" s="178"/>
      <c r="AFA557" s="178"/>
      <c r="AFB557" s="178"/>
      <c r="AFC557" s="178"/>
      <c r="AFD557" s="178"/>
      <c r="AFE557" s="178"/>
      <c r="AFF557" s="178"/>
      <c r="AFG557" s="178"/>
      <c r="AFH557" s="178"/>
      <c r="AFI557" s="178"/>
      <c r="AFJ557" s="178"/>
      <c r="AFK557" s="178"/>
      <c r="AFL557" s="178"/>
      <c r="AFM557" s="178"/>
      <c r="AFN557" s="178"/>
      <c r="AFO557" s="178"/>
      <c r="AFP557" s="178"/>
      <c r="AFQ557" s="178"/>
      <c r="AFR557" s="178"/>
      <c r="AFS557" s="178"/>
      <c r="AFT557" s="178"/>
      <c r="AFU557" s="178"/>
      <c r="AFV557" s="178"/>
      <c r="AFW557" s="178"/>
      <c r="AFX557" s="178"/>
      <c r="AFY557" s="178"/>
      <c r="AFZ557" s="178"/>
      <c r="AGA557" s="178"/>
      <c r="AGB557" s="178"/>
      <c r="AGC557" s="178"/>
      <c r="AGD557" s="178"/>
      <c r="AGE557" s="178"/>
      <c r="AGF557" s="178"/>
      <c r="AGG557" s="178"/>
      <c r="AGH557" s="178"/>
      <c r="AGI557" s="178"/>
      <c r="AGJ557" s="178"/>
      <c r="AGK557" s="178"/>
      <c r="AGL557" s="178"/>
      <c r="AGM557" s="178"/>
      <c r="AGN557" s="178"/>
      <c r="AGO557" s="178"/>
      <c r="AGP557" s="178"/>
      <c r="AGQ557" s="178"/>
      <c r="AGR557" s="178"/>
      <c r="AGS557" s="178"/>
      <c r="AGT557" s="178"/>
      <c r="AGU557" s="178"/>
      <c r="AGV557" s="178"/>
      <c r="AGW557" s="178"/>
      <c r="AGX557" s="178"/>
      <c r="AGY557" s="178"/>
      <c r="AGZ557" s="178"/>
      <c r="AHA557" s="178"/>
      <c r="AHB557" s="178"/>
      <c r="AHC557" s="178"/>
      <c r="AHD557" s="178"/>
      <c r="AHE557" s="178"/>
      <c r="AHF557" s="178"/>
      <c r="AHG557" s="178"/>
      <c r="AHH557" s="178"/>
      <c r="AHI557" s="178"/>
      <c r="AHJ557" s="178"/>
      <c r="AHK557" s="178"/>
      <c r="AHL557" s="178"/>
      <c r="AHM557" s="178"/>
      <c r="AHN557" s="178"/>
      <c r="AHO557" s="178"/>
      <c r="AHP557" s="178"/>
      <c r="AHQ557" s="178"/>
      <c r="AHR557" s="178"/>
      <c r="AHS557" s="178"/>
      <c r="AHT557" s="178"/>
      <c r="AHU557" s="178"/>
      <c r="AHV557" s="178"/>
      <c r="AHW557" s="178"/>
      <c r="AHX557" s="178"/>
      <c r="AHY557" s="178"/>
      <c r="AHZ557" s="178"/>
      <c r="AIA557" s="178"/>
      <c r="AIB557" s="178"/>
      <c r="AIC557" s="178"/>
      <c r="AID557" s="178"/>
      <c r="AIE557" s="178"/>
      <c r="AIF557" s="178"/>
      <c r="AIG557" s="178"/>
      <c r="AIH557" s="178"/>
      <c r="AII557" s="178"/>
      <c r="AIJ557" s="178"/>
      <c r="AIK557" s="178"/>
      <c r="AIL557" s="178"/>
      <c r="AIM557" s="178"/>
      <c r="AIN557" s="178"/>
      <c r="AIO557" s="178"/>
      <c r="AIP557" s="178"/>
      <c r="AIQ557" s="178"/>
      <c r="AIR557" s="178"/>
      <c r="AIS557" s="178"/>
      <c r="AIT557" s="178"/>
      <c r="AIU557" s="178"/>
      <c r="AIV557" s="178"/>
      <c r="AIW557" s="178"/>
      <c r="AIX557" s="178"/>
      <c r="AIY557" s="178"/>
      <c r="AIZ557" s="178"/>
      <c r="AJA557" s="178"/>
      <c r="AJB557" s="178"/>
      <c r="AJC557" s="178"/>
      <c r="AJD557" s="178"/>
      <c r="AJE557" s="178"/>
      <c r="AJF557" s="178"/>
      <c r="AJG557" s="178"/>
      <c r="AJH557" s="178"/>
      <c r="AJI557" s="178"/>
      <c r="AJJ557" s="178"/>
      <c r="AJK557" s="178"/>
      <c r="AJL557" s="178"/>
      <c r="AJM557" s="178"/>
      <c r="AJN557" s="178"/>
      <c r="AJO557" s="178"/>
      <c r="AJP557" s="178"/>
      <c r="AJQ557" s="178"/>
      <c r="AJR557" s="178"/>
      <c r="AJS557" s="178"/>
      <c r="AJT557" s="178"/>
      <c r="AJU557" s="178"/>
      <c r="AJV557" s="178"/>
      <c r="AJW557" s="178"/>
      <c r="AJX557" s="178"/>
      <c r="AJY557" s="178"/>
      <c r="AJZ557" s="178"/>
      <c r="AKA557" s="178"/>
      <c r="AKB557" s="178"/>
      <c r="AKC557" s="178"/>
      <c r="AKD557" s="178"/>
      <c r="AKE557" s="178"/>
      <c r="AKF557" s="178"/>
      <c r="AKG557" s="178"/>
      <c r="AKH557" s="178"/>
      <c r="AKI557" s="178"/>
      <c r="AKJ557" s="178"/>
      <c r="AKK557" s="178"/>
      <c r="AKL557" s="178"/>
      <c r="AKM557" s="178"/>
      <c r="AKN557" s="178"/>
      <c r="AKO557" s="178"/>
      <c r="AKP557" s="178"/>
      <c r="AKQ557" s="178"/>
      <c r="AKR557" s="178"/>
      <c r="AKS557" s="178"/>
      <c r="AKT557" s="178"/>
      <c r="AKU557" s="178"/>
      <c r="AKV557" s="178"/>
      <c r="AKW557" s="178"/>
      <c r="AKX557" s="178"/>
      <c r="AKY557" s="178"/>
      <c r="AKZ557" s="178"/>
      <c r="ALA557" s="178"/>
      <c r="ALB557" s="178"/>
      <c r="ALC557" s="178"/>
      <c r="ALD557" s="178"/>
      <c r="ALE557" s="178"/>
      <c r="ALF557" s="178"/>
      <c r="ALG557" s="178"/>
      <c r="ALH557" s="178"/>
      <c r="ALI557" s="178"/>
      <c r="ALJ557" s="178"/>
      <c r="ALK557" s="178"/>
      <c r="ALL557" s="178"/>
      <c r="ALM557" s="178"/>
      <c r="ALN557" s="178"/>
      <c r="ALO557" s="178"/>
      <c r="ALP557" s="178"/>
      <c r="ALQ557" s="178"/>
      <c r="ALR557" s="178"/>
      <c r="ALS557" s="178"/>
      <c r="ALT557" s="178"/>
      <c r="ALU557" s="178"/>
      <c r="ALV557" s="178"/>
      <c r="ALW557" s="178"/>
      <c r="ALX557" s="178"/>
      <c r="ALY557" s="178"/>
      <c r="ALZ557" s="178"/>
      <c r="AMA557" s="178"/>
      <c r="AMB557" s="178"/>
      <c r="AMC557" s="178"/>
      <c r="AMD557" s="178"/>
      <c r="AME557" s="178"/>
      <c r="AMF557" s="178"/>
      <c r="AMG557" s="178"/>
      <c r="AMH557" s="178"/>
      <c r="AMI557" s="178"/>
      <c r="AMJ557" s="178"/>
      <c r="AMK557" s="178"/>
      <c r="AML557" s="178"/>
      <c r="AMM557" s="178"/>
      <c r="AMN557" s="178"/>
      <c r="AMO557" s="178"/>
      <c r="AMP557" s="178"/>
      <c r="AMQ557" s="178"/>
      <c r="AMR557" s="178"/>
      <c r="AMS557" s="178"/>
      <c r="AMT557" s="178"/>
      <c r="AMU557" s="178"/>
      <c r="AMV557" s="178"/>
      <c r="AMW557" s="178"/>
      <c r="AMX557" s="178"/>
      <c r="AMY557" s="178"/>
      <c r="AMZ557" s="178"/>
      <c r="ANA557" s="178"/>
      <c r="ANB557" s="178"/>
      <c r="ANC557" s="178"/>
      <c r="AND557" s="178"/>
      <c r="ANE557" s="178"/>
      <c r="ANF557" s="178"/>
      <c r="ANG557" s="178"/>
      <c r="ANH557" s="178"/>
      <c r="ANI557" s="178"/>
      <c r="ANJ557" s="178"/>
      <c r="ANK557" s="178"/>
      <c r="ANL557" s="178"/>
      <c r="ANM557" s="178"/>
      <c r="ANN557" s="178"/>
      <c r="ANO557" s="178"/>
      <c r="ANP557" s="178"/>
      <c r="ANQ557" s="178"/>
      <c r="ANR557" s="178"/>
      <c r="ANS557" s="178"/>
      <c r="ANT557" s="178"/>
      <c r="ANU557" s="178"/>
      <c r="ANV557" s="178"/>
      <c r="ANW557" s="178"/>
      <c r="ANX557" s="178"/>
      <c r="ANY557" s="178"/>
      <c r="ANZ557" s="178"/>
      <c r="AOA557" s="178"/>
      <c r="AOB557" s="178"/>
      <c r="AOC557" s="178"/>
      <c r="AOD557" s="178"/>
      <c r="AOE557" s="178"/>
      <c r="AOF557" s="178"/>
      <c r="AOG557" s="178"/>
      <c r="AOH557" s="178"/>
      <c r="AOI557" s="178"/>
      <c r="AOJ557" s="178"/>
      <c r="AOK557" s="178"/>
      <c r="AOL557" s="178"/>
      <c r="AOM557" s="178"/>
      <c r="AON557" s="178"/>
      <c r="AOO557" s="178"/>
      <c r="AOP557" s="178"/>
      <c r="AOQ557" s="178"/>
      <c r="AOR557" s="178"/>
      <c r="AOS557" s="178"/>
      <c r="AOT557" s="178"/>
      <c r="AOU557" s="178"/>
      <c r="AOV557" s="178"/>
      <c r="AOW557" s="178"/>
      <c r="AOX557" s="178"/>
      <c r="AOY557" s="178"/>
      <c r="AOZ557" s="178"/>
      <c r="APA557" s="178"/>
      <c r="APB557" s="178"/>
      <c r="APC557" s="178"/>
      <c r="APD557" s="178"/>
      <c r="APE557" s="178"/>
      <c r="APF557" s="178"/>
      <c r="APG557" s="178"/>
      <c r="APH557" s="178"/>
      <c r="API557" s="178"/>
      <c r="APJ557" s="178"/>
      <c r="APK557" s="178"/>
      <c r="APL557" s="178"/>
      <c r="APM557" s="178"/>
      <c r="APN557" s="178"/>
      <c r="APO557" s="178"/>
      <c r="APP557" s="178"/>
      <c r="APQ557" s="178"/>
      <c r="APR557" s="178"/>
      <c r="APS557" s="178"/>
      <c r="APT557" s="178"/>
      <c r="APU557" s="178"/>
      <c r="APV557" s="178"/>
      <c r="APW557" s="178"/>
      <c r="APX557" s="178"/>
      <c r="APY557" s="178"/>
      <c r="APZ557" s="178"/>
      <c r="AQA557" s="178"/>
      <c r="AQB557" s="178"/>
      <c r="AQC557" s="178"/>
      <c r="AQD557" s="178"/>
      <c r="AQE557" s="178"/>
      <c r="AQF557" s="178"/>
      <c r="AQG557" s="178"/>
      <c r="AQH557" s="178"/>
      <c r="AQI557" s="178"/>
      <c r="AQJ557" s="178"/>
      <c r="AQK557" s="178"/>
      <c r="AQL557" s="178"/>
      <c r="AQM557" s="178"/>
      <c r="AQN557" s="178"/>
      <c r="AQO557" s="178"/>
      <c r="AQP557" s="178"/>
      <c r="AQQ557" s="178"/>
      <c r="AQR557" s="178"/>
      <c r="AQS557" s="178"/>
      <c r="AQT557" s="178"/>
      <c r="AQU557" s="178"/>
      <c r="AQV557" s="178"/>
      <c r="AQW557" s="178"/>
      <c r="AQX557" s="178"/>
      <c r="AQY557" s="178"/>
      <c r="AQZ557" s="178"/>
      <c r="ARA557" s="178"/>
      <c r="ARB557" s="178"/>
      <c r="ARC557" s="178"/>
      <c r="ARD557" s="178"/>
      <c r="ARE557" s="178"/>
      <c r="ARF557" s="178"/>
      <c r="ARG557" s="178"/>
      <c r="ARH557" s="178"/>
      <c r="ARI557" s="178"/>
      <c r="ARJ557" s="178"/>
      <c r="ARK557" s="178"/>
      <c r="ARL557" s="178"/>
      <c r="ARM557" s="178"/>
      <c r="ARN557" s="178"/>
      <c r="ARO557" s="178"/>
      <c r="ARP557" s="178"/>
      <c r="ARQ557" s="178"/>
      <c r="ARR557" s="178"/>
      <c r="ARS557" s="178"/>
      <c r="ART557" s="178"/>
      <c r="ARU557" s="178"/>
      <c r="ARV557" s="178"/>
      <c r="ARW557" s="178"/>
      <c r="ARX557" s="178"/>
      <c r="ARY557" s="178"/>
      <c r="ARZ557" s="178"/>
      <c r="ASA557" s="178"/>
      <c r="ASB557" s="178"/>
      <c r="ASC557" s="178"/>
      <c r="ASD557" s="178"/>
      <c r="ASE557" s="178"/>
      <c r="ASF557" s="178"/>
      <c r="ASG557" s="178"/>
      <c r="ASH557" s="178"/>
      <c r="ASI557" s="178"/>
      <c r="ASJ557" s="178"/>
      <c r="ASK557" s="178"/>
      <c r="ASL557" s="178"/>
      <c r="ASM557" s="178"/>
      <c r="ASN557" s="178"/>
      <c r="ASO557" s="178"/>
      <c r="ASP557" s="178"/>
      <c r="ASQ557" s="178"/>
      <c r="ASR557" s="178"/>
      <c r="ASS557" s="178"/>
      <c r="AST557" s="178"/>
      <c r="ASU557" s="178"/>
      <c r="ASV557" s="178"/>
      <c r="ASW557" s="178"/>
      <c r="ASX557" s="178"/>
      <c r="ASY557" s="178"/>
      <c r="ASZ557" s="178"/>
      <c r="ATA557" s="178"/>
      <c r="ATB557" s="178"/>
      <c r="ATC557" s="178"/>
      <c r="ATD557" s="178"/>
      <c r="ATE557" s="178"/>
      <c r="ATF557" s="178"/>
      <c r="ATG557" s="178"/>
      <c r="ATH557" s="178"/>
      <c r="ATI557" s="178"/>
      <c r="ATJ557" s="178"/>
      <c r="ATK557" s="178"/>
      <c r="ATL557" s="178"/>
      <c r="ATM557" s="178"/>
      <c r="ATN557" s="178"/>
      <c r="ATO557" s="178"/>
      <c r="ATP557" s="178"/>
      <c r="ATQ557" s="178"/>
      <c r="ATR557" s="178"/>
      <c r="ATS557" s="178"/>
      <c r="ATT557" s="178"/>
      <c r="ATU557" s="178"/>
      <c r="ATV557" s="178"/>
      <c r="ATW557" s="178"/>
      <c r="ATX557" s="178"/>
      <c r="ATY557" s="178"/>
      <c r="ATZ557" s="178"/>
      <c r="AUA557" s="178"/>
      <c r="AUB557" s="178"/>
      <c r="AUC557" s="178"/>
      <c r="AUD557" s="178"/>
      <c r="AUE557" s="178"/>
      <c r="AUF557" s="178"/>
      <c r="AUG557" s="178"/>
      <c r="AUH557" s="178"/>
      <c r="AUI557" s="178"/>
      <c r="AUJ557" s="178"/>
      <c r="AUK557" s="178"/>
      <c r="AUL557" s="178"/>
      <c r="AUM557" s="178"/>
      <c r="AUN557" s="178"/>
      <c r="AUO557" s="178"/>
      <c r="AUP557" s="178"/>
      <c r="AUQ557" s="178"/>
      <c r="AUR557" s="178"/>
      <c r="AUS557" s="178"/>
      <c r="AUT557" s="178"/>
      <c r="AUU557" s="178"/>
      <c r="AUV557" s="178"/>
      <c r="AUW557" s="178"/>
      <c r="AUX557" s="178"/>
      <c r="AUY557" s="178"/>
      <c r="AUZ557" s="178"/>
      <c r="AVA557" s="178"/>
      <c r="AVB557" s="178"/>
      <c r="AVC557" s="178"/>
      <c r="AVD557" s="178"/>
      <c r="AVE557" s="178"/>
      <c r="AVF557" s="178"/>
      <c r="AVG557" s="178"/>
      <c r="AVH557" s="178"/>
      <c r="AVI557" s="178"/>
      <c r="AVJ557" s="178"/>
      <c r="AVK557" s="178"/>
      <c r="AVL557" s="178"/>
      <c r="AVM557" s="178"/>
      <c r="AVN557" s="178"/>
      <c r="AVO557" s="178"/>
      <c r="AVP557" s="178"/>
      <c r="AVQ557" s="178"/>
      <c r="AVR557" s="178"/>
      <c r="AVS557" s="178"/>
      <c r="AVT557" s="178"/>
      <c r="AVU557" s="178"/>
      <c r="AVV557" s="178"/>
      <c r="AVW557" s="178"/>
      <c r="AVX557" s="178"/>
      <c r="AVY557" s="178"/>
      <c r="AVZ557" s="178"/>
      <c r="AWA557" s="178"/>
      <c r="AWB557" s="178"/>
      <c r="AWC557" s="178"/>
      <c r="AWD557" s="178"/>
      <c r="AWE557" s="178"/>
      <c r="AWF557" s="178"/>
      <c r="AWG557" s="178"/>
      <c r="AWH557" s="178"/>
      <c r="AWI557" s="178"/>
      <c r="AWJ557" s="178"/>
      <c r="AWK557" s="178"/>
      <c r="AWL557" s="178"/>
      <c r="AWM557" s="178"/>
      <c r="AWN557" s="178"/>
      <c r="AWO557" s="178"/>
      <c r="AWP557" s="178"/>
      <c r="AWQ557" s="178"/>
      <c r="AWR557" s="178"/>
      <c r="AWS557" s="178"/>
      <c r="AWT557" s="178"/>
      <c r="AWU557" s="178"/>
      <c r="AWV557" s="178"/>
      <c r="AWW557" s="178"/>
      <c r="AWX557" s="178"/>
      <c r="AWY557" s="178"/>
      <c r="AWZ557" s="178"/>
      <c r="AXA557" s="178"/>
      <c r="AXB557" s="178"/>
      <c r="AXC557" s="178"/>
      <c r="AXD557" s="178"/>
      <c r="AXE557" s="178"/>
      <c r="AXF557" s="178"/>
      <c r="AXG557" s="178"/>
      <c r="AXH557" s="178"/>
      <c r="AXI557" s="178"/>
      <c r="AXJ557" s="178"/>
      <c r="AXK557" s="178"/>
      <c r="AXL557" s="178"/>
      <c r="AXM557" s="178"/>
      <c r="AXN557" s="178"/>
      <c r="AXO557" s="178"/>
      <c r="AXP557" s="178"/>
      <c r="AXQ557" s="178"/>
      <c r="AXR557" s="178"/>
      <c r="AXS557" s="178"/>
      <c r="AXT557" s="178"/>
      <c r="AXU557" s="178"/>
      <c r="AXV557" s="178"/>
      <c r="AXW557" s="178"/>
      <c r="AXX557" s="178"/>
      <c r="AXY557" s="178"/>
      <c r="AXZ557" s="178"/>
      <c r="AYA557" s="178"/>
      <c r="AYB557" s="178"/>
      <c r="AYC557" s="178"/>
      <c r="AYD557" s="178"/>
      <c r="AYE557" s="178"/>
      <c r="AYF557" s="178"/>
      <c r="AYG557" s="178"/>
      <c r="AYH557" s="178"/>
      <c r="AYI557" s="178"/>
      <c r="AYJ557" s="178"/>
      <c r="AYK557" s="178"/>
      <c r="AYL557" s="178"/>
      <c r="AYM557" s="178"/>
      <c r="AYN557" s="178"/>
      <c r="AYO557" s="178"/>
      <c r="AYP557" s="178"/>
      <c r="AYQ557" s="178"/>
      <c r="AYR557" s="178"/>
      <c r="AYS557" s="178"/>
      <c r="AYT557" s="178"/>
      <c r="AYU557" s="178"/>
      <c r="AYV557" s="178"/>
      <c r="AYW557" s="178"/>
      <c r="AYX557" s="178"/>
      <c r="AYY557" s="178"/>
      <c r="AYZ557" s="178"/>
      <c r="AZA557" s="178"/>
      <c r="AZB557" s="178"/>
      <c r="AZC557" s="178"/>
      <c r="AZD557" s="178"/>
      <c r="AZE557" s="178"/>
      <c r="AZF557" s="178"/>
      <c r="AZG557" s="178"/>
      <c r="AZH557" s="178"/>
      <c r="AZI557" s="178"/>
      <c r="AZJ557" s="178"/>
      <c r="AZK557" s="178"/>
      <c r="AZL557" s="178"/>
      <c r="AZM557" s="178"/>
      <c r="AZN557" s="178"/>
      <c r="AZO557" s="178"/>
      <c r="AZP557" s="178"/>
      <c r="AZQ557" s="178"/>
      <c r="AZR557" s="178"/>
      <c r="AZS557" s="178"/>
      <c r="AZT557" s="178"/>
      <c r="AZU557" s="178"/>
      <c r="AZV557" s="178"/>
      <c r="AZW557" s="178"/>
      <c r="AZX557" s="178"/>
      <c r="AZY557" s="178"/>
      <c r="AZZ557" s="178"/>
      <c r="BAA557" s="178"/>
      <c r="BAB557" s="178"/>
      <c r="BAC557" s="178"/>
      <c r="BAD557" s="178"/>
      <c r="BAE557" s="178"/>
      <c r="BAF557" s="178"/>
      <c r="BAG557" s="178"/>
      <c r="BAH557" s="178"/>
      <c r="BAI557" s="178"/>
      <c r="BAJ557" s="178"/>
      <c r="BAK557" s="178"/>
      <c r="BAL557" s="178"/>
      <c r="BAM557" s="178"/>
      <c r="BAN557" s="178"/>
      <c r="BAO557" s="178"/>
      <c r="BAP557" s="178"/>
      <c r="BAQ557" s="178"/>
      <c r="BAR557" s="178"/>
      <c r="BAS557" s="178"/>
      <c r="BAT557" s="178"/>
      <c r="BAU557" s="178"/>
      <c r="BAV557" s="178"/>
      <c r="BAW557" s="178"/>
      <c r="BAX557" s="178"/>
      <c r="BAY557" s="178"/>
      <c r="BAZ557" s="178"/>
      <c r="BBA557" s="178"/>
      <c r="BBB557" s="178"/>
      <c r="BBC557" s="178"/>
      <c r="BBD557" s="178"/>
      <c r="BBE557" s="178"/>
      <c r="BBF557" s="178"/>
      <c r="BBG557" s="178"/>
      <c r="BBH557" s="178"/>
      <c r="BBI557" s="178"/>
      <c r="BBJ557" s="178"/>
      <c r="BBK557" s="178"/>
      <c r="BBL557" s="178"/>
      <c r="BBM557" s="178"/>
      <c r="BBN557" s="178"/>
      <c r="BBO557" s="178"/>
      <c r="BBP557" s="178"/>
      <c r="BBQ557" s="178"/>
      <c r="BBR557" s="178"/>
      <c r="BBS557" s="178"/>
      <c r="BBT557" s="178"/>
      <c r="BBU557" s="178"/>
      <c r="BBV557" s="178"/>
      <c r="BBW557" s="178"/>
      <c r="BBX557" s="178"/>
      <c r="BBY557" s="178"/>
      <c r="BBZ557" s="178"/>
      <c r="BCA557" s="178"/>
      <c r="BCB557" s="178"/>
      <c r="BCC557" s="178"/>
      <c r="BCD557" s="178"/>
      <c r="BCE557" s="178"/>
      <c r="BCF557" s="178"/>
      <c r="BCG557" s="178"/>
      <c r="BCH557" s="178"/>
      <c r="BCI557" s="178"/>
      <c r="BCJ557" s="178"/>
      <c r="BCK557" s="178"/>
      <c r="BCL557" s="178"/>
      <c r="BCM557" s="178"/>
      <c r="BCN557" s="178"/>
      <c r="BCO557" s="178"/>
      <c r="BCP557" s="178"/>
      <c r="BCQ557" s="178"/>
      <c r="BCR557" s="178"/>
      <c r="BCS557" s="178"/>
      <c r="BCT557" s="178"/>
      <c r="BCU557" s="178"/>
      <c r="BCV557" s="178"/>
      <c r="BCW557" s="178"/>
      <c r="BCX557" s="178"/>
      <c r="BCY557" s="178"/>
      <c r="BCZ557" s="178"/>
      <c r="BDA557" s="178"/>
      <c r="BDB557" s="178"/>
      <c r="BDC557" s="178"/>
      <c r="BDD557" s="178"/>
      <c r="BDE557" s="178"/>
      <c r="BDF557" s="178"/>
      <c r="BDG557" s="178"/>
      <c r="BDH557" s="178"/>
      <c r="BDI557" s="178"/>
      <c r="BDJ557" s="178"/>
      <c r="BDK557" s="178"/>
      <c r="BDL557" s="178"/>
      <c r="BDM557" s="178"/>
      <c r="BDN557" s="178"/>
      <c r="BDO557" s="178"/>
      <c r="BDP557" s="178"/>
      <c r="BDQ557" s="178"/>
      <c r="BDR557" s="178"/>
      <c r="BDS557" s="178"/>
      <c r="BDT557" s="178"/>
      <c r="BDU557" s="178"/>
      <c r="BDV557" s="178"/>
      <c r="BDW557" s="178"/>
      <c r="BDX557" s="178"/>
      <c r="BDY557" s="178"/>
      <c r="BDZ557" s="178"/>
      <c r="BEA557" s="178"/>
      <c r="BEB557" s="178"/>
      <c r="BEC557" s="178"/>
      <c r="BED557" s="178"/>
      <c r="BEE557" s="178"/>
      <c r="BEF557" s="178"/>
      <c r="BEG557" s="178"/>
      <c r="BEH557" s="178"/>
      <c r="BEI557" s="178"/>
      <c r="BEJ557" s="178"/>
      <c r="BEK557" s="178"/>
      <c r="BEL557" s="178"/>
      <c r="BEM557" s="178"/>
      <c r="BEN557" s="178"/>
      <c r="BEO557" s="178"/>
      <c r="BEP557" s="178"/>
      <c r="BEQ557" s="178"/>
      <c r="BER557" s="178"/>
      <c r="BES557" s="178"/>
      <c r="BET557" s="178"/>
      <c r="BEU557" s="178"/>
      <c r="BEV557" s="178"/>
      <c r="BEW557" s="178"/>
      <c r="BEX557" s="178"/>
      <c r="BEY557" s="178"/>
      <c r="BEZ557" s="178"/>
      <c r="BFA557" s="178"/>
      <c r="BFB557" s="178"/>
      <c r="BFC557" s="178"/>
      <c r="BFD557" s="178"/>
      <c r="BFE557" s="178"/>
      <c r="BFF557" s="178"/>
      <c r="BFG557" s="178"/>
      <c r="BFH557" s="178"/>
      <c r="BFI557" s="178"/>
      <c r="BFJ557" s="178"/>
      <c r="BFK557" s="178"/>
      <c r="BFL557" s="178"/>
      <c r="BFM557" s="178"/>
      <c r="BFN557" s="178"/>
      <c r="BFO557" s="178"/>
      <c r="BFP557" s="178"/>
      <c r="BFQ557" s="178"/>
      <c r="BFR557" s="178"/>
      <c r="BFS557" s="178"/>
      <c r="BFT557" s="178"/>
      <c r="BFU557" s="178"/>
      <c r="BFV557" s="178"/>
      <c r="BFW557" s="178"/>
      <c r="BFX557" s="178"/>
      <c r="BFY557" s="178"/>
      <c r="BFZ557" s="178"/>
      <c r="BGA557" s="178"/>
      <c r="BGB557" s="178"/>
      <c r="BGC557" s="178"/>
      <c r="BGD557" s="178"/>
      <c r="BGE557" s="178"/>
      <c r="BGF557" s="178"/>
      <c r="BGG557" s="178"/>
      <c r="BGH557" s="178"/>
      <c r="BGI557" s="178"/>
      <c r="BGJ557" s="178"/>
      <c r="BGK557" s="178"/>
      <c r="BGL557" s="178"/>
      <c r="BGM557" s="178"/>
      <c r="BGN557" s="178"/>
      <c r="BGO557" s="178"/>
      <c r="BGP557" s="178"/>
      <c r="BGQ557" s="178"/>
      <c r="BGR557" s="178"/>
      <c r="BGS557" s="178"/>
      <c r="BGT557" s="178"/>
      <c r="BGU557" s="178"/>
      <c r="BGV557" s="178"/>
      <c r="BGW557" s="178"/>
      <c r="BGX557" s="178"/>
      <c r="BGY557" s="178"/>
      <c r="BGZ557" s="178"/>
      <c r="BHA557" s="178"/>
      <c r="BHB557" s="178"/>
      <c r="BHC557" s="178"/>
      <c r="BHD557" s="178"/>
      <c r="BHE557" s="178"/>
      <c r="BHF557" s="178"/>
      <c r="BHG557" s="178"/>
      <c r="BHH557" s="178"/>
      <c r="BHI557" s="178"/>
      <c r="BHJ557" s="178"/>
      <c r="BHK557" s="178"/>
      <c r="BHL557" s="178"/>
      <c r="BHM557" s="178"/>
      <c r="BHN557" s="178"/>
      <c r="BHO557" s="178"/>
      <c r="BHP557" s="178"/>
      <c r="BHQ557" s="178"/>
      <c r="BHR557" s="178"/>
      <c r="BHS557" s="178"/>
      <c r="BHT557" s="178"/>
      <c r="BHU557" s="178"/>
      <c r="BHV557" s="178"/>
      <c r="BHW557" s="178"/>
      <c r="BHX557" s="178"/>
      <c r="BHY557" s="178"/>
      <c r="BHZ557" s="178"/>
      <c r="BIA557" s="178"/>
      <c r="BIB557" s="178"/>
      <c r="BIC557" s="178"/>
      <c r="BID557" s="178"/>
      <c r="BIE557" s="178"/>
      <c r="BIF557" s="178"/>
      <c r="BIG557" s="178"/>
      <c r="BIH557" s="178"/>
      <c r="BII557" s="178"/>
      <c r="BIJ557" s="178"/>
      <c r="BIK557" s="178"/>
      <c r="BIL557" s="178"/>
      <c r="BIM557" s="178"/>
      <c r="BIN557" s="178"/>
      <c r="BIO557" s="178"/>
      <c r="BIP557" s="178"/>
      <c r="BIQ557" s="178"/>
      <c r="BIR557" s="178"/>
      <c r="BIS557" s="178"/>
      <c r="BIT557" s="178"/>
      <c r="BIU557" s="178"/>
      <c r="BIV557" s="178"/>
      <c r="BIW557" s="178"/>
      <c r="BIX557" s="178"/>
      <c r="BIY557" s="178"/>
      <c r="BIZ557" s="178"/>
      <c r="BJA557" s="178"/>
      <c r="BJB557" s="178"/>
      <c r="BJC557" s="178"/>
      <c r="BJD557" s="178"/>
      <c r="BJE557" s="178"/>
      <c r="BJF557" s="178"/>
      <c r="BJG557" s="178"/>
      <c r="BJH557" s="178"/>
      <c r="BJI557" s="178"/>
      <c r="BJJ557" s="178"/>
      <c r="BJK557" s="178"/>
      <c r="BJL557" s="178"/>
      <c r="BJM557" s="178"/>
      <c r="BJN557" s="178"/>
      <c r="BJO557" s="178"/>
      <c r="BJP557" s="178"/>
      <c r="BJQ557" s="178"/>
      <c r="BJR557" s="178"/>
      <c r="BJS557" s="178"/>
      <c r="BJT557" s="178"/>
      <c r="BJU557" s="178"/>
      <c r="BJV557" s="178"/>
      <c r="BJW557" s="178"/>
      <c r="BJX557" s="178"/>
      <c r="BJY557" s="178"/>
      <c r="BJZ557" s="178"/>
      <c r="BKA557" s="178"/>
      <c r="BKB557" s="178"/>
      <c r="BKC557" s="178"/>
      <c r="BKD557" s="178"/>
      <c r="BKE557" s="178"/>
      <c r="BKF557" s="178"/>
      <c r="BKG557" s="178"/>
      <c r="BKH557" s="178"/>
      <c r="BKI557" s="178"/>
      <c r="BKJ557" s="178"/>
      <c r="BKK557" s="178"/>
      <c r="BKL557" s="178"/>
      <c r="BKM557" s="178"/>
      <c r="BKN557" s="178"/>
      <c r="BKO557" s="178"/>
      <c r="BKP557" s="178"/>
      <c r="BKQ557" s="178"/>
      <c r="BKR557" s="178"/>
      <c r="BKS557" s="178"/>
      <c r="BKT557" s="178"/>
      <c r="BKU557" s="178"/>
      <c r="BKV557" s="178"/>
      <c r="BKW557" s="178"/>
      <c r="BKX557" s="178"/>
      <c r="BKY557" s="178"/>
      <c r="BKZ557" s="178"/>
      <c r="BLA557" s="178"/>
      <c r="BLB557" s="178"/>
      <c r="BLC557" s="178"/>
      <c r="BLD557" s="178"/>
      <c r="BLE557" s="178"/>
      <c r="BLF557" s="178"/>
      <c r="BLG557" s="178"/>
      <c r="BLH557" s="178"/>
      <c r="BLI557" s="178"/>
      <c r="BLJ557" s="178"/>
      <c r="BLK557" s="178"/>
      <c r="BLL557" s="178"/>
      <c r="BLM557" s="178"/>
      <c r="BLN557" s="178"/>
      <c r="BLO557" s="178"/>
      <c r="BLP557" s="178"/>
      <c r="BLQ557" s="178"/>
      <c r="BLR557" s="178"/>
      <c r="BLS557" s="178"/>
      <c r="BLT557" s="178"/>
      <c r="BLU557" s="178"/>
      <c r="BLV557" s="178"/>
      <c r="BLW557" s="178"/>
      <c r="BLX557" s="178"/>
      <c r="BLY557" s="178"/>
      <c r="BLZ557" s="178"/>
      <c r="BMA557" s="178"/>
      <c r="BMB557" s="178"/>
      <c r="BMC557" s="178"/>
      <c r="BMD557" s="178"/>
      <c r="BME557" s="178"/>
      <c r="BMF557" s="178"/>
      <c r="BMG557" s="178"/>
      <c r="BMH557" s="178"/>
      <c r="BMI557" s="178"/>
      <c r="BMJ557" s="178"/>
      <c r="BMK557" s="178"/>
      <c r="BML557" s="178"/>
      <c r="BMM557" s="178"/>
      <c r="BMN557" s="178"/>
      <c r="BMO557" s="178"/>
      <c r="BMP557" s="178"/>
      <c r="BMQ557" s="178"/>
      <c r="BMR557" s="178"/>
      <c r="BMS557" s="178"/>
      <c r="BMT557" s="178"/>
      <c r="BMU557" s="178"/>
      <c r="BMV557" s="178"/>
      <c r="BMW557" s="178"/>
      <c r="BMX557" s="178"/>
      <c r="BMY557" s="178"/>
      <c r="BMZ557" s="178"/>
      <c r="BNA557" s="178"/>
      <c r="BNB557" s="178"/>
      <c r="BNC557" s="178"/>
      <c r="BND557" s="178"/>
      <c r="BNE557" s="178"/>
      <c r="BNF557" s="178"/>
      <c r="BNG557" s="178"/>
      <c r="BNH557" s="178"/>
      <c r="BNI557" s="178"/>
      <c r="BNJ557" s="178"/>
      <c r="BNK557" s="178"/>
      <c r="BNL557" s="178"/>
      <c r="BNM557" s="178"/>
      <c r="BNN557" s="178"/>
      <c r="BNO557" s="178"/>
      <c r="BNP557" s="178"/>
      <c r="BNQ557" s="178"/>
      <c r="BNR557" s="178"/>
      <c r="BNS557" s="178"/>
      <c r="BNT557" s="178"/>
      <c r="BNU557" s="178"/>
      <c r="BNV557" s="178"/>
      <c r="BNW557" s="178"/>
      <c r="BNX557" s="178"/>
      <c r="BNY557" s="178"/>
      <c r="BNZ557" s="178"/>
      <c r="BOA557" s="178"/>
      <c r="BOB557" s="178"/>
      <c r="BOC557" s="178"/>
      <c r="BOD557" s="178"/>
      <c r="BOE557" s="178"/>
      <c r="BOF557" s="178"/>
      <c r="BOG557" s="178"/>
      <c r="BOH557" s="178"/>
      <c r="BOI557" s="178"/>
      <c r="BOJ557" s="178"/>
      <c r="BOK557" s="178"/>
      <c r="BOL557" s="178"/>
      <c r="BOM557" s="178"/>
      <c r="BON557" s="178"/>
      <c r="BOO557" s="178"/>
      <c r="BOP557" s="178"/>
      <c r="BOQ557" s="178"/>
      <c r="BOR557" s="178"/>
      <c r="BOS557" s="178"/>
      <c r="BOT557" s="178"/>
      <c r="BOU557" s="178"/>
      <c r="BOV557" s="178"/>
      <c r="BOW557" s="178"/>
      <c r="BOX557" s="178"/>
      <c r="BOY557" s="178"/>
      <c r="BOZ557" s="178"/>
      <c r="BPA557" s="178"/>
      <c r="BPB557" s="178"/>
      <c r="BPC557" s="178"/>
      <c r="BPD557" s="178"/>
      <c r="BPE557" s="178"/>
      <c r="BPF557" s="178"/>
      <c r="BPG557" s="178"/>
      <c r="BPH557" s="178"/>
      <c r="BPI557" s="178"/>
      <c r="BPJ557" s="178"/>
      <c r="BPK557" s="178"/>
      <c r="BPL557" s="178"/>
      <c r="BPM557" s="178"/>
      <c r="BPN557" s="178"/>
      <c r="BPO557" s="178"/>
      <c r="BPP557" s="178"/>
      <c r="BPQ557" s="178"/>
      <c r="BPR557" s="178"/>
      <c r="BPS557" s="178"/>
      <c r="BPT557" s="178"/>
      <c r="BPU557" s="178"/>
      <c r="BPV557" s="178"/>
      <c r="BPW557" s="178"/>
      <c r="BPX557" s="178"/>
      <c r="BPY557" s="178"/>
      <c r="BPZ557" s="178"/>
      <c r="BQA557" s="178"/>
      <c r="BQB557" s="178"/>
      <c r="BQC557" s="178"/>
      <c r="BQD557" s="178"/>
      <c r="BQE557" s="178"/>
      <c r="BQF557" s="178"/>
      <c r="BQG557" s="178"/>
      <c r="BQH557" s="178"/>
      <c r="BQI557" s="178"/>
      <c r="BQJ557" s="178"/>
      <c r="BQK557" s="178"/>
      <c r="BQL557" s="178"/>
      <c r="BQM557" s="178"/>
      <c r="BQN557" s="178"/>
      <c r="BQO557" s="178"/>
      <c r="BQP557" s="178"/>
      <c r="BQQ557" s="178"/>
      <c r="BQR557" s="178"/>
      <c r="BQS557" s="178"/>
      <c r="BQT557" s="178"/>
      <c r="BQU557" s="178"/>
      <c r="BQV557" s="178"/>
      <c r="BQW557" s="178"/>
      <c r="BQX557" s="178"/>
      <c r="BQY557" s="178"/>
      <c r="BQZ557" s="178"/>
      <c r="BRA557" s="178"/>
      <c r="BRB557" s="178"/>
      <c r="BRC557" s="178"/>
      <c r="BRD557" s="178"/>
      <c r="BRE557" s="178"/>
      <c r="BRF557" s="178"/>
      <c r="BRG557" s="178"/>
      <c r="BRH557" s="178"/>
      <c r="BRI557" s="178"/>
      <c r="BRJ557" s="178"/>
      <c r="BRK557" s="178"/>
      <c r="BRL557" s="178"/>
      <c r="BRM557" s="178"/>
      <c r="BRN557" s="178"/>
      <c r="BRO557" s="178"/>
      <c r="BRP557" s="178"/>
      <c r="BRQ557" s="178"/>
      <c r="BRR557" s="178"/>
      <c r="BRS557" s="178"/>
      <c r="BRT557" s="178"/>
      <c r="BRU557" s="178"/>
      <c r="BRV557" s="178"/>
      <c r="BRW557" s="178"/>
      <c r="BRX557" s="178"/>
      <c r="BRY557" s="178"/>
      <c r="BRZ557" s="178"/>
      <c r="BSA557" s="178"/>
      <c r="BSB557" s="178"/>
      <c r="BSC557" s="178"/>
      <c r="BSD557" s="178"/>
      <c r="BSE557" s="178"/>
      <c r="BSF557" s="178"/>
      <c r="BSG557" s="178"/>
      <c r="BSH557" s="178"/>
      <c r="BSI557" s="178"/>
      <c r="BSJ557" s="178"/>
      <c r="BSK557" s="178"/>
      <c r="BSL557" s="178"/>
      <c r="BSM557" s="178"/>
      <c r="BSN557" s="178"/>
      <c r="BSO557" s="178"/>
      <c r="BSP557" s="178"/>
      <c r="BSQ557" s="178"/>
      <c r="BSR557" s="178"/>
      <c r="BSS557" s="178"/>
      <c r="BST557" s="178"/>
      <c r="BSU557" s="178"/>
      <c r="BSV557" s="178"/>
      <c r="BSW557" s="178"/>
      <c r="BSX557" s="178"/>
      <c r="BSY557" s="178"/>
      <c r="BSZ557" s="178"/>
      <c r="BTA557" s="178"/>
      <c r="BTB557" s="178"/>
      <c r="BTC557" s="178"/>
      <c r="BTD557" s="178"/>
      <c r="BTE557" s="178"/>
      <c r="BTF557" s="178"/>
      <c r="BTG557" s="178"/>
      <c r="BTH557" s="178"/>
      <c r="BTI557" s="178"/>
      <c r="BTJ557" s="178"/>
      <c r="BTK557" s="178"/>
      <c r="BTL557" s="178"/>
      <c r="BTM557" s="178"/>
      <c r="BTN557" s="178"/>
      <c r="BTO557" s="178"/>
      <c r="BTP557" s="178"/>
      <c r="BTQ557" s="178"/>
      <c r="BTR557" s="178"/>
      <c r="BTS557" s="178"/>
      <c r="BTT557" s="178"/>
      <c r="BTU557" s="178"/>
      <c r="BTV557" s="178"/>
      <c r="BTW557" s="178"/>
      <c r="BTX557" s="178"/>
      <c r="BTY557" s="178"/>
      <c r="BTZ557" s="178"/>
      <c r="BUA557" s="178"/>
      <c r="BUB557" s="178"/>
      <c r="BUC557" s="178"/>
      <c r="BUD557" s="178"/>
      <c r="BUE557" s="178"/>
      <c r="BUF557" s="178"/>
      <c r="BUG557" s="178"/>
      <c r="BUH557" s="178"/>
      <c r="BUI557" s="178"/>
      <c r="BUJ557" s="178"/>
      <c r="BUK557" s="178"/>
      <c r="BUL557" s="178"/>
      <c r="BUM557" s="178"/>
      <c r="BUN557" s="178"/>
      <c r="BUO557" s="178"/>
      <c r="BUP557" s="178"/>
      <c r="BUQ557" s="178"/>
      <c r="BUR557" s="178"/>
      <c r="BUS557" s="178"/>
      <c r="BUT557" s="178"/>
      <c r="BUU557" s="178"/>
      <c r="BUV557" s="178"/>
      <c r="BUW557" s="178"/>
      <c r="BUX557" s="178"/>
      <c r="BUY557" s="178"/>
      <c r="BUZ557" s="178"/>
      <c r="BVA557" s="178"/>
      <c r="BVB557" s="178"/>
      <c r="BVC557" s="178"/>
      <c r="BVD557" s="178"/>
      <c r="BVE557" s="178"/>
      <c r="BVF557" s="178"/>
      <c r="BVG557" s="178"/>
      <c r="BVH557" s="178"/>
      <c r="BVI557" s="178"/>
      <c r="BVJ557" s="178"/>
      <c r="BVK557" s="178"/>
      <c r="BVL557" s="178"/>
      <c r="BVM557" s="178"/>
      <c r="BVN557" s="178"/>
      <c r="BVO557" s="178"/>
      <c r="BVP557" s="178"/>
      <c r="BVQ557" s="178"/>
      <c r="BVR557" s="178"/>
      <c r="BVS557" s="178"/>
      <c r="BVT557" s="178"/>
      <c r="BVU557" s="178"/>
      <c r="BVV557" s="178"/>
      <c r="BVW557" s="178"/>
      <c r="BVX557" s="178"/>
      <c r="BVY557" s="178"/>
      <c r="BVZ557" s="178"/>
      <c r="BWA557" s="178"/>
      <c r="BWB557" s="178"/>
      <c r="BWC557" s="178"/>
      <c r="BWD557" s="178"/>
      <c r="BWE557" s="178"/>
      <c r="BWF557" s="178"/>
      <c r="BWG557" s="178"/>
      <c r="BWH557" s="178"/>
      <c r="BWI557" s="178"/>
      <c r="BWJ557" s="178"/>
      <c r="BWK557" s="178"/>
      <c r="BWL557" s="178"/>
      <c r="BWM557" s="178"/>
      <c r="BWN557" s="178"/>
      <c r="BWO557" s="178"/>
      <c r="BWP557" s="178"/>
      <c r="BWQ557" s="178"/>
      <c r="BWR557" s="178"/>
      <c r="BWS557" s="178"/>
      <c r="BWT557" s="178"/>
      <c r="BWU557" s="178"/>
      <c r="BWV557" s="178"/>
      <c r="BWW557" s="178"/>
      <c r="BWX557" s="178"/>
      <c r="BWY557" s="178"/>
      <c r="BWZ557" s="178"/>
      <c r="BXA557" s="178"/>
      <c r="BXB557" s="178"/>
      <c r="BXC557" s="178"/>
      <c r="BXD557" s="178"/>
      <c r="BXE557" s="178"/>
      <c r="BXF557" s="178"/>
      <c r="BXG557" s="178"/>
      <c r="BXH557" s="178"/>
      <c r="BXI557" s="178"/>
      <c r="BXJ557" s="178"/>
      <c r="BXK557" s="178"/>
      <c r="BXL557" s="178"/>
      <c r="BXM557" s="178"/>
      <c r="BXN557" s="178"/>
      <c r="BXO557" s="178"/>
      <c r="BXP557" s="178"/>
      <c r="BXQ557" s="178"/>
      <c r="BXR557" s="178"/>
      <c r="BXS557" s="178"/>
      <c r="BXT557" s="178"/>
      <c r="BXU557" s="178"/>
      <c r="BXV557" s="178"/>
      <c r="BXW557" s="178"/>
      <c r="BXX557" s="178"/>
      <c r="BXY557" s="178"/>
      <c r="BXZ557" s="178"/>
      <c r="BYA557" s="178"/>
      <c r="BYB557" s="178"/>
      <c r="BYC557" s="178"/>
      <c r="BYD557" s="178"/>
      <c r="BYE557" s="178"/>
      <c r="BYF557" s="178"/>
      <c r="BYG557" s="178"/>
      <c r="BYH557" s="178"/>
      <c r="BYI557" s="178"/>
      <c r="BYJ557" s="178"/>
      <c r="BYK557" s="178"/>
      <c r="BYL557" s="178"/>
      <c r="BYM557" s="178"/>
      <c r="BYN557" s="178"/>
      <c r="BYO557" s="178"/>
      <c r="BYP557" s="178"/>
      <c r="BYQ557" s="178"/>
      <c r="BYR557" s="178"/>
      <c r="BYS557" s="178"/>
      <c r="BYT557" s="178"/>
      <c r="BYU557" s="178"/>
      <c r="BYV557" s="178"/>
      <c r="BYW557" s="178"/>
      <c r="BYX557" s="178"/>
      <c r="BYY557" s="178"/>
      <c r="BYZ557" s="178"/>
      <c r="BZA557" s="178"/>
      <c r="BZB557" s="178"/>
      <c r="BZC557" s="178"/>
      <c r="BZD557" s="178"/>
      <c r="BZE557" s="178"/>
      <c r="BZF557" s="178"/>
      <c r="BZG557" s="178"/>
      <c r="BZH557" s="178"/>
      <c r="BZI557" s="178"/>
      <c r="BZJ557" s="178"/>
      <c r="BZK557" s="178"/>
      <c r="BZL557" s="178"/>
      <c r="BZM557" s="178"/>
      <c r="BZN557" s="178"/>
      <c r="BZO557" s="178"/>
      <c r="BZP557" s="178"/>
      <c r="BZQ557" s="178"/>
      <c r="BZR557" s="178"/>
      <c r="BZS557" s="178"/>
      <c r="BZT557" s="178"/>
      <c r="BZU557" s="178"/>
      <c r="BZV557" s="178"/>
      <c r="BZW557" s="178"/>
      <c r="BZX557" s="178"/>
      <c r="BZY557" s="178"/>
      <c r="BZZ557" s="178"/>
      <c r="CAA557" s="178"/>
      <c r="CAB557" s="178"/>
      <c r="CAC557" s="178"/>
      <c r="CAD557" s="178"/>
      <c r="CAE557" s="178"/>
      <c r="CAF557" s="178"/>
      <c r="CAG557" s="178"/>
      <c r="CAH557" s="178"/>
      <c r="CAI557" s="178"/>
      <c r="CAJ557" s="178"/>
      <c r="CAK557" s="178"/>
      <c r="CAL557" s="178"/>
      <c r="CAM557" s="178"/>
      <c r="CAN557" s="178"/>
      <c r="CAO557" s="178"/>
      <c r="CAP557" s="178"/>
      <c r="CAQ557" s="178"/>
      <c r="CAR557" s="178"/>
      <c r="CAS557" s="178"/>
      <c r="CAT557" s="178"/>
      <c r="CAU557" s="178"/>
      <c r="CAV557" s="178"/>
      <c r="CAW557" s="178"/>
      <c r="CAX557" s="178"/>
      <c r="CAY557" s="178"/>
      <c r="CAZ557" s="178"/>
      <c r="CBA557" s="178"/>
      <c r="CBB557" s="178"/>
      <c r="CBC557" s="178"/>
      <c r="CBD557" s="178"/>
      <c r="CBE557" s="178"/>
      <c r="CBF557" s="178"/>
      <c r="CBG557" s="178"/>
      <c r="CBH557" s="178"/>
      <c r="CBI557" s="178"/>
      <c r="CBJ557" s="178"/>
      <c r="CBK557" s="178"/>
      <c r="CBL557" s="178"/>
      <c r="CBM557" s="178"/>
      <c r="CBN557" s="178"/>
      <c r="CBO557" s="178"/>
      <c r="CBP557" s="178"/>
      <c r="CBQ557" s="178"/>
      <c r="CBR557" s="178"/>
      <c r="CBS557" s="178"/>
      <c r="CBT557" s="178"/>
      <c r="CBU557" s="178"/>
      <c r="CBV557" s="178"/>
      <c r="CBW557" s="178"/>
      <c r="CBX557" s="178"/>
      <c r="CBY557" s="178"/>
      <c r="CBZ557" s="178"/>
      <c r="CCA557" s="178"/>
      <c r="CCB557" s="178"/>
      <c r="CCC557" s="178"/>
      <c r="CCD557" s="178"/>
      <c r="CCE557" s="178"/>
      <c r="CCF557" s="178"/>
      <c r="CCG557" s="178"/>
      <c r="CCH557" s="178"/>
      <c r="CCI557" s="178"/>
      <c r="CCJ557" s="178"/>
      <c r="CCK557" s="178"/>
      <c r="CCL557" s="178"/>
      <c r="CCM557" s="178"/>
      <c r="CCN557" s="178"/>
      <c r="CCO557" s="178"/>
      <c r="CCP557" s="178"/>
      <c r="CCQ557" s="178"/>
      <c r="CCR557" s="178"/>
      <c r="CCS557" s="178"/>
      <c r="CCT557" s="178"/>
      <c r="CCU557" s="178"/>
      <c r="CCV557" s="178"/>
      <c r="CCW557" s="178"/>
      <c r="CCX557" s="178"/>
      <c r="CCY557" s="178"/>
      <c r="CCZ557" s="178"/>
      <c r="CDA557" s="178"/>
      <c r="CDB557" s="178"/>
      <c r="CDC557" s="178"/>
      <c r="CDD557" s="178"/>
      <c r="CDE557" s="178"/>
      <c r="CDF557" s="178"/>
      <c r="CDG557" s="178"/>
      <c r="CDH557" s="178"/>
      <c r="CDI557" s="178"/>
      <c r="CDJ557" s="178"/>
      <c r="CDK557" s="178"/>
      <c r="CDL557" s="178"/>
      <c r="CDM557" s="178"/>
      <c r="CDN557" s="178"/>
      <c r="CDO557" s="178"/>
      <c r="CDP557" s="178"/>
      <c r="CDQ557" s="178"/>
      <c r="CDR557" s="178"/>
      <c r="CDS557" s="178"/>
      <c r="CDT557" s="178"/>
      <c r="CDU557" s="178"/>
      <c r="CDV557" s="178"/>
      <c r="CDW557" s="178"/>
      <c r="CDX557" s="178"/>
      <c r="CDY557" s="178"/>
      <c r="CDZ557" s="178"/>
      <c r="CEA557" s="178"/>
      <c r="CEB557" s="178"/>
      <c r="CEC557" s="178"/>
      <c r="CED557" s="178"/>
      <c r="CEE557" s="178"/>
      <c r="CEF557" s="178"/>
      <c r="CEG557" s="178"/>
      <c r="CEH557" s="178"/>
      <c r="CEI557" s="178"/>
      <c r="CEJ557" s="178"/>
      <c r="CEK557" s="178"/>
      <c r="CEL557" s="178"/>
      <c r="CEM557" s="178"/>
      <c r="CEN557" s="178"/>
      <c r="CEO557" s="178"/>
      <c r="CEP557" s="178"/>
      <c r="CEQ557" s="178"/>
      <c r="CER557" s="178"/>
      <c r="CES557" s="178"/>
      <c r="CET557" s="178"/>
      <c r="CEU557" s="178"/>
      <c r="CEV557" s="178"/>
      <c r="CEW557" s="178"/>
      <c r="CEX557" s="178"/>
      <c r="CEY557" s="178"/>
      <c r="CEZ557" s="178"/>
      <c r="CFA557" s="178"/>
      <c r="CFB557" s="178"/>
      <c r="CFC557" s="178"/>
      <c r="CFD557" s="178"/>
      <c r="CFE557" s="178"/>
      <c r="CFF557" s="178"/>
      <c r="CFG557" s="178"/>
      <c r="CFH557" s="178"/>
      <c r="CFI557" s="178"/>
      <c r="CFJ557" s="178"/>
      <c r="CFK557" s="178"/>
      <c r="CFL557" s="178"/>
      <c r="CFM557" s="178"/>
      <c r="CFN557" s="178"/>
      <c r="CFO557" s="178"/>
      <c r="CFP557" s="178"/>
      <c r="CFQ557" s="178"/>
      <c r="CFR557" s="178"/>
      <c r="CFS557" s="178"/>
      <c r="CFT557" s="178"/>
      <c r="CFU557" s="178"/>
      <c r="CFV557" s="178"/>
      <c r="CFW557" s="178"/>
      <c r="CFX557" s="178"/>
      <c r="CFY557" s="178"/>
      <c r="CFZ557" s="178"/>
      <c r="CGA557" s="178"/>
      <c r="CGB557" s="178"/>
      <c r="CGC557" s="178"/>
      <c r="CGD557" s="178"/>
      <c r="CGE557" s="178"/>
      <c r="CGF557" s="178"/>
      <c r="CGG557" s="178"/>
      <c r="CGH557" s="178"/>
      <c r="CGI557" s="178"/>
      <c r="CGJ557" s="178"/>
      <c r="CGK557" s="178"/>
      <c r="CGL557" s="178"/>
      <c r="CGM557" s="178"/>
      <c r="CGN557" s="178"/>
      <c r="CGO557" s="178"/>
      <c r="CGP557" s="178"/>
      <c r="CGQ557" s="178"/>
      <c r="CGR557" s="178"/>
      <c r="CGS557" s="178"/>
      <c r="CGT557" s="178"/>
      <c r="CGU557" s="178"/>
      <c r="CGV557" s="178"/>
      <c r="CGW557" s="178"/>
      <c r="CGX557" s="178"/>
      <c r="CGY557" s="178"/>
      <c r="CGZ557" s="178"/>
      <c r="CHA557" s="178"/>
      <c r="CHB557" s="178"/>
      <c r="CHC557" s="178"/>
      <c r="CHD557" s="178"/>
      <c r="CHE557" s="178"/>
      <c r="CHF557" s="178"/>
      <c r="CHG557" s="178"/>
      <c r="CHH557" s="178"/>
      <c r="CHI557" s="178"/>
      <c r="CHJ557" s="178"/>
      <c r="CHK557" s="178"/>
      <c r="CHL557" s="178"/>
      <c r="CHM557" s="178"/>
      <c r="CHN557" s="178"/>
      <c r="CHO557" s="178"/>
      <c r="CHP557" s="178"/>
      <c r="CHQ557" s="178"/>
      <c r="CHR557" s="178"/>
      <c r="CHS557" s="178"/>
      <c r="CHT557" s="178"/>
      <c r="CHU557" s="178"/>
      <c r="CHV557" s="178"/>
      <c r="CHW557" s="178"/>
      <c r="CHX557" s="178"/>
      <c r="CHY557" s="178"/>
      <c r="CHZ557" s="178"/>
      <c r="CIA557" s="178"/>
      <c r="CIB557" s="178"/>
      <c r="CIC557" s="178"/>
      <c r="CID557" s="178"/>
      <c r="CIE557" s="178"/>
      <c r="CIF557" s="178"/>
      <c r="CIG557" s="178"/>
      <c r="CIH557" s="178"/>
      <c r="CII557" s="178"/>
      <c r="CIJ557" s="178"/>
      <c r="CIK557" s="178"/>
      <c r="CIL557" s="178"/>
      <c r="CIM557" s="178"/>
      <c r="CIN557" s="178"/>
      <c r="CIO557" s="178"/>
      <c r="CIP557" s="178"/>
      <c r="CIQ557" s="178"/>
      <c r="CIR557" s="178"/>
      <c r="CIS557" s="178"/>
      <c r="CIT557" s="178"/>
      <c r="CIU557" s="178"/>
      <c r="CIV557" s="178"/>
      <c r="CIW557" s="178"/>
      <c r="CIX557" s="178"/>
      <c r="CIY557" s="178"/>
      <c r="CIZ557" s="178"/>
      <c r="CJA557" s="178"/>
      <c r="CJB557" s="178"/>
      <c r="CJC557" s="178"/>
      <c r="CJD557" s="178"/>
      <c r="CJE557" s="178"/>
      <c r="CJF557" s="178"/>
      <c r="CJG557" s="178"/>
      <c r="CJH557" s="178"/>
      <c r="CJI557" s="178"/>
      <c r="CJJ557" s="178"/>
      <c r="CJK557" s="178"/>
      <c r="CJL557" s="178"/>
      <c r="CJM557" s="178"/>
      <c r="CJN557" s="178"/>
      <c r="CJO557" s="178"/>
      <c r="CJP557" s="178"/>
      <c r="CJQ557" s="178"/>
      <c r="CJR557" s="178"/>
      <c r="CJS557" s="178"/>
      <c r="CJT557" s="178"/>
      <c r="CJU557" s="178"/>
      <c r="CJV557" s="178"/>
      <c r="CJW557" s="178"/>
      <c r="CJX557" s="178"/>
      <c r="CJY557" s="178"/>
      <c r="CJZ557" s="178"/>
      <c r="CKA557" s="178"/>
      <c r="CKB557" s="178"/>
      <c r="CKC557" s="178"/>
      <c r="CKD557" s="178"/>
      <c r="CKE557" s="178"/>
      <c r="CKF557" s="178"/>
      <c r="CKG557" s="178"/>
      <c r="CKH557" s="178"/>
      <c r="CKI557" s="178"/>
      <c r="CKJ557" s="178"/>
      <c r="CKK557" s="178"/>
      <c r="CKL557" s="178"/>
      <c r="CKM557" s="178"/>
      <c r="CKN557" s="178"/>
      <c r="CKO557" s="178"/>
      <c r="CKP557" s="178"/>
      <c r="CKQ557" s="178"/>
      <c r="CKR557" s="178"/>
      <c r="CKS557" s="178"/>
      <c r="CKT557" s="178"/>
      <c r="CKU557" s="178"/>
      <c r="CKV557" s="178"/>
      <c r="CKW557" s="178"/>
      <c r="CKX557" s="178"/>
      <c r="CKY557" s="178"/>
      <c r="CKZ557" s="178"/>
      <c r="CLA557" s="178"/>
      <c r="CLB557" s="178"/>
      <c r="CLC557" s="178"/>
      <c r="CLD557" s="178"/>
      <c r="CLE557" s="178"/>
      <c r="CLF557" s="178"/>
      <c r="CLG557" s="178"/>
      <c r="CLH557" s="178"/>
      <c r="CLI557" s="178"/>
      <c r="CLJ557" s="178"/>
      <c r="CLK557" s="178"/>
      <c r="CLL557" s="178"/>
      <c r="CLM557" s="178"/>
      <c r="CLN557" s="178"/>
      <c r="CLO557" s="178"/>
      <c r="CLP557" s="178"/>
      <c r="CLQ557" s="178"/>
      <c r="CLR557" s="178"/>
      <c r="CLS557" s="178"/>
      <c r="CLT557" s="178"/>
      <c r="CLU557" s="178"/>
      <c r="CLV557" s="178"/>
      <c r="CLW557" s="178"/>
      <c r="CLX557" s="178"/>
      <c r="CLY557" s="178"/>
      <c r="CLZ557" s="178"/>
      <c r="CMA557" s="178"/>
      <c r="CMB557" s="178"/>
      <c r="CMC557" s="178"/>
      <c r="CMD557" s="178"/>
      <c r="CME557" s="178"/>
      <c r="CMF557" s="178"/>
      <c r="CMG557" s="178"/>
      <c r="CMH557" s="178"/>
      <c r="CMI557" s="178"/>
      <c r="CMJ557" s="178"/>
      <c r="CMK557" s="178"/>
      <c r="CML557" s="178"/>
      <c r="CMM557" s="178"/>
      <c r="CMN557" s="178"/>
      <c r="CMO557" s="178"/>
      <c r="CMP557" s="178"/>
      <c r="CMQ557" s="178"/>
      <c r="CMR557" s="178"/>
      <c r="CMS557" s="178"/>
      <c r="CMT557" s="178"/>
      <c r="CMU557" s="178"/>
      <c r="CMV557" s="178"/>
      <c r="CMW557" s="178"/>
      <c r="CMX557" s="178"/>
      <c r="CMY557" s="178"/>
      <c r="CMZ557" s="178"/>
      <c r="CNA557" s="178"/>
      <c r="CNB557" s="178"/>
      <c r="CNC557" s="178"/>
      <c r="CND557" s="178"/>
      <c r="CNE557" s="178"/>
      <c r="CNF557" s="178"/>
      <c r="CNG557" s="178"/>
      <c r="CNH557" s="178"/>
      <c r="CNI557" s="178"/>
      <c r="CNJ557" s="178"/>
      <c r="CNK557" s="178"/>
      <c r="CNL557" s="178"/>
      <c r="CNM557" s="178"/>
      <c r="CNN557" s="178"/>
      <c r="CNO557" s="178"/>
      <c r="CNP557" s="178"/>
      <c r="CNQ557" s="178"/>
      <c r="CNR557" s="178"/>
      <c r="CNS557" s="178"/>
      <c r="CNT557" s="178"/>
      <c r="CNU557" s="178"/>
      <c r="CNV557" s="178"/>
      <c r="CNW557" s="178"/>
      <c r="CNX557" s="178"/>
      <c r="CNY557" s="178"/>
      <c r="CNZ557" s="178"/>
      <c r="COA557" s="178"/>
      <c r="COB557" s="178"/>
      <c r="COC557" s="178"/>
      <c r="COD557" s="178"/>
      <c r="COE557" s="178"/>
      <c r="COF557" s="178"/>
      <c r="COG557" s="178"/>
      <c r="COH557" s="178"/>
      <c r="COI557" s="178"/>
      <c r="COJ557" s="178"/>
      <c r="COK557" s="178"/>
      <c r="COL557" s="178"/>
      <c r="COM557" s="178"/>
      <c r="CON557" s="178"/>
      <c r="COO557" s="178"/>
      <c r="COP557" s="178"/>
      <c r="COQ557" s="178"/>
      <c r="COR557" s="178"/>
      <c r="COS557" s="178"/>
      <c r="COT557" s="178"/>
      <c r="COU557" s="178"/>
      <c r="COV557" s="178"/>
      <c r="COW557" s="178"/>
      <c r="COX557" s="178"/>
      <c r="COY557" s="178"/>
      <c r="COZ557" s="178"/>
      <c r="CPA557" s="178"/>
      <c r="CPB557" s="178"/>
      <c r="CPC557" s="178"/>
      <c r="CPD557" s="178"/>
      <c r="CPE557" s="178"/>
      <c r="CPF557" s="178"/>
      <c r="CPG557" s="178"/>
      <c r="CPH557" s="178"/>
      <c r="CPI557" s="178"/>
      <c r="CPJ557" s="178"/>
      <c r="CPK557" s="178"/>
      <c r="CPL557" s="178"/>
      <c r="CPM557" s="178"/>
      <c r="CPN557" s="178"/>
      <c r="CPO557" s="178"/>
      <c r="CPP557" s="178"/>
      <c r="CPQ557" s="178"/>
      <c r="CPR557" s="178"/>
      <c r="CPS557" s="178"/>
      <c r="CPT557" s="178"/>
      <c r="CPU557" s="178"/>
      <c r="CPV557" s="178"/>
      <c r="CPW557" s="178"/>
      <c r="CPX557" s="178"/>
      <c r="CPY557" s="178"/>
      <c r="CPZ557" s="178"/>
      <c r="CQA557" s="178"/>
      <c r="CQB557" s="178"/>
      <c r="CQC557" s="178"/>
      <c r="CQD557" s="178"/>
      <c r="CQE557" s="178"/>
      <c r="CQF557" s="178"/>
      <c r="CQG557" s="178"/>
      <c r="CQH557" s="178"/>
      <c r="CQI557" s="178"/>
      <c r="CQJ557" s="178"/>
      <c r="CQK557" s="178"/>
      <c r="CQL557" s="178"/>
      <c r="CQM557" s="178"/>
      <c r="CQN557" s="178"/>
      <c r="CQO557" s="178"/>
      <c r="CQP557" s="178"/>
      <c r="CQQ557" s="178"/>
      <c r="CQR557" s="178"/>
      <c r="CQS557" s="178"/>
      <c r="CQT557" s="178"/>
      <c r="CQU557" s="178"/>
      <c r="CQV557" s="178"/>
      <c r="CQW557" s="178"/>
      <c r="CQX557" s="178"/>
      <c r="CQY557" s="178"/>
      <c r="CQZ557" s="178"/>
      <c r="CRA557" s="178"/>
      <c r="CRB557" s="178"/>
      <c r="CRC557" s="178"/>
      <c r="CRD557" s="178"/>
      <c r="CRE557" s="178"/>
      <c r="CRF557" s="178"/>
      <c r="CRG557" s="178"/>
      <c r="CRH557" s="178"/>
      <c r="CRI557" s="178"/>
      <c r="CRJ557" s="178"/>
      <c r="CRK557" s="178"/>
      <c r="CRL557" s="178"/>
      <c r="CRM557" s="178"/>
      <c r="CRN557" s="178"/>
      <c r="CRO557" s="178"/>
      <c r="CRP557" s="178"/>
      <c r="CRQ557" s="178"/>
      <c r="CRR557" s="178"/>
      <c r="CRS557" s="178"/>
      <c r="CRT557" s="178"/>
      <c r="CRU557" s="178"/>
      <c r="CRV557" s="178"/>
      <c r="CRW557" s="178"/>
      <c r="CRX557" s="178"/>
      <c r="CRY557" s="178"/>
      <c r="CRZ557" s="178"/>
      <c r="CSA557" s="178"/>
      <c r="CSB557" s="178"/>
      <c r="CSC557" s="178"/>
      <c r="CSD557" s="178"/>
      <c r="CSE557" s="178"/>
      <c r="CSF557" s="178"/>
      <c r="CSG557" s="178"/>
      <c r="CSH557" s="178"/>
      <c r="CSI557" s="178"/>
      <c r="CSJ557" s="178"/>
      <c r="CSK557" s="178"/>
      <c r="CSL557" s="178"/>
      <c r="CSM557" s="178"/>
      <c r="CSN557" s="178"/>
      <c r="CSO557" s="178"/>
      <c r="CSP557" s="178"/>
      <c r="CSQ557" s="178"/>
      <c r="CSR557" s="178"/>
      <c r="CSS557" s="178"/>
      <c r="CST557" s="178"/>
      <c r="CSU557" s="178"/>
      <c r="CSV557" s="178"/>
      <c r="CSW557" s="178"/>
      <c r="CSX557" s="178"/>
      <c r="CSY557" s="178"/>
      <c r="CSZ557" s="178"/>
      <c r="CTA557" s="178"/>
      <c r="CTB557" s="178"/>
      <c r="CTC557" s="178"/>
      <c r="CTD557" s="178"/>
      <c r="CTE557" s="178"/>
      <c r="CTF557" s="178"/>
      <c r="CTG557" s="178"/>
      <c r="CTH557" s="178"/>
      <c r="CTI557" s="178"/>
      <c r="CTJ557" s="178"/>
      <c r="CTK557" s="178"/>
      <c r="CTL557" s="178"/>
      <c r="CTM557" s="178"/>
      <c r="CTN557" s="178"/>
      <c r="CTO557" s="178"/>
      <c r="CTP557" s="178"/>
      <c r="CTQ557" s="178"/>
      <c r="CTR557" s="178"/>
      <c r="CTS557" s="178"/>
      <c r="CTT557" s="178"/>
      <c r="CTU557" s="178"/>
      <c r="CTV557" s="178"/>
      <c r="CTW557" s="178"/>
      <c r="CTX557" s="178"/>
      <c r="CTY557" s="178"/>
      <c r="CTZ557" s="178"/>
      <c r="CUA557" s="178"/>
      <c r="CUB557" s="178"/>
      <c r="CUC557" s="178"/>
      <c r="CUD557" s="178"/>
      <c r="CUE557" s="178"/>
      <c r="CUF557" s="178"/>
      <c r="CUG557" s="178"/>
      <c r="CUH557" s="178"/>
      <c r="CUI557" s="178"/>
      <c r="CUJ557" s="178"/>
      <c r="CUK557" s="178"/>
      <c r="CUL557" s="178"/>
      <c r="CUM557" s="178"/>
      <c r="CUN557" s="178"/>
      <c r="CUO557" s="178"/>
      <c r="CUP557" s="178"/>
      <c r="CUQ557" s="178"/>
      <c r="CUR557" s="178"/>
      <c r="CUS557" s="178"/>
      <c r="CUT557" s="178"/>
      <c r="CUU557" s="178"/>
      <c r="CUV557" s="178"/>
      <c r="CUW557" s="178"/>
      <c r="CUX557" s="178"/>
      <c r="CUY557" s="178"/>
      <c r="CUZ557" s="178"/>
      <c r="CVA557" s="178"/>
      <c r="CVB557" s="178"/>
      <c r="CVC557" s="178"/>
      <c r="CVD557" s="178"/>
      <c r="CVE557" s="178"/>
      <c r="CVF557" s="178"/>
      <c r="CVG557" s="178"/>
      <c r="CVH557" s="178"/>
      <c r="CVI557" s="178"/>
      <c r="CVJ557" s="178"/>
      <c r="CVK557" s="178"/>
      <c r="CVL557" s="178"/>
      <c r="CVM557" s="178"/>
      <c r="CVN557" s="178"/>
      <c r="CVO557" s="178"/>
      <c r="CVP557" s="178"/>
      <c r="CVQ557" s="178"/>
      <c r="CVR557" s="178"/>
      <c r="CVS557" s="178"/>
      <c r="CVT557" s="178"/>
      <c r="CVU557" s="178"/>
      <c r="CVV557" s="178"/>
      <c r="CVW557" s="178"/>
      <c r="CVX557" s="178"/>
      <c r="CVY557" s="178"/>
      <c r="CVZ557" s="178"/>
      <c r="CWA557" s="178"/>
      <c r="CWB557" s="178"/>
      <c r="CWC557" s="178"/>
      <c r="CWD557" s="178"/>
      <c r="CWE557" s="178"/>
      <c r="CWF557" s="178"/>
      <c r="CWG557" s="178"/>
      <c r="CWH557" s="178"/>
      <c r="CWI557" s="178"/>
      <c r="CWJ557" s="178"/>
      <c r="CWK557" s="178"/>
      <c r="CWL557" s="178"/>
      <c r="CWM557" s="178"/>
      <c r="CWN557" s="178"/>
      <c r="CWO557" s="178"/>
      <c r="CWP557" s="178"/>
      <c r="CWQ557" s="178"/>
      <c r="CWR557" s="178"/>
      <c r="CWS557" s="178"/>
      <c r="CWT557" s="178"/>
      <c r="CWU557" s="178"/>
      <c r="CWV557" s="178"/>
      <c r="CWW557" s="178"/>
      <c r="CWX557" s="178"/>
      <c r="CWY557" s="178"/>
      <c r="CWZ557" s="178"/>
      <c r="CXA557" s="178"/>
      <c r="CXB557" s="178"/>
      <c r="CXC557" s="178"/>
      <c r="CXD557" s="178"/>
      <c r="CXE557" s="178"/>
      <c r="CXF557" s="178"/>
      <c r="CXG557" s="178"/>
      <c r="CXH557" s="178"/>
      <c r="CXI557" s="178"/>
      <c r="CXJ557" s="178"/>
      <c r="CXK557" s="178"/>
      <c r="CXL557" s="178"/>
      <c r="CXM557" s="178"/>
      <c r="CXN557" s="178"/>
      <c r="CXO557" s="178"/>
      <c r="CXP557" s="178"/>
      <c r="CXQ557" s="178"/>
      <c r="CXR557" s="178"/>
      <c r="CXS557" s="178"/>
      <c r="CXT557" s="178"/>
      <c r="CXU557" s="178"/>
      <c r="CXV557" s="178"/>
      <c r="CXW557" s="178"/>
      <c r="CXX557" s="178"/>
      <c r="CXY557" s="178"/>
      <c r="CXZ557" s="178"/>
      <c r="CYA557" s="178"/>
      <c r="CYB557" s="178"/>
      <c r="CYC557" s="178"/>
      <c r="CYD557" s="178"/>
      <c r="CYE557" s="178"/>
      <c r="CYF557" s="178"/>
      <c r="CYG557" s="178"/>
      <c r="CYH557" s="178"/>
      <c r="CYI557" s="178"/>
      <c r="CYJ557" s="178"/>
      <c r="CYK557" s="178"/>
      <c r="CYL557" s="178"/>
      <c r="CYM557" s="178"/>
      <c r="CYN557" s="178"/>
      <c r="CYO557" s="178"/>
      <c r="CYP557" s="178"/>
      <c r="CYQ557" s="178"/>
      <c r="CYR557" s="178"/>
      <c r="CYS557" s="178"/>
      <c r="CYT557" s="178"/>
      <c r="CYU557" s="178"/>
      <c r="CYV557" s="178"/>
      <c r="CYW557" s="178"/>
      <c r="CYX557" s="178"/>
      <c r="CYY557" s="178"/>
      <c r="CYZ557" s="178"/>
      <c r="CZA557" s="178"/>
      <c r="CZB557" s="178"/>
      <c r="CZC557" s="178"/>
      <c r="CZD557" s="178"/>
      <c r="CZE557" s="178"/>
      <c r="CZF557" s="178"/>
      <c r="CZG557" s="178"/>
      <c r="CZH557" s="178"/>
      <c r="CZI557" s="178"/>
      <c r="CZJ557" s="178"/>
      <c r="CZK557" s="178"/>
      <c r="CZL557" s="178"/>
      <c r="CZM557" s="178"/>
      <c r="CZN557" s="178"/>
      <c r="CZO557" s="178"/>
      <c r="CZP557" s="178"/>
      <c r="CZQ557" s="178"/>
      <c r="CZR557" s="178"/>
      <c r="CZS557" s="178"/>
      <c r="CZT557" s="178"/>
      <c r="CZU557" s="178"/>
      <c r="CZV557" s="178"/>
      <c r="CZW557" s="178"/>
      <c r="CZX557" s="178"/>
      <c r="CZY557" s="178"/>
      <c r="CZZ557" s="178"/>
      <c r="DAA557" s="178"/>
      <c r="DAB557" s="178"/>
      <c r="DAC557" s="178"/>
      <c r="DAD557" s="178"/>
      <c r="DAE557" s="178"/>
      <c r="DAF557" s="178"/>
      <c r="DAG557" s="178"/>
      <c r="DAH557" s="178"/>
      <c r="DAI557" s="178"/>
      <c r="DAJ557" s="178"/>
      <c r="DAK557" s="178"/>
      <c r="DAL557" s="178"/>
      <c r="DAM557" s="178"/>
      <c r="DAN557" s="178"/>
      <c r="DAO557" s="178"/>
      <c r="DAP557" s="178"/>
      <c r="DAQ557" s="178"/>
      <c r="DAR557" s="178"/>
      <c r="DAS557" s="178"/>
      <c r="DAT557" s="178"/>
      <c r="DAU557" s="178"/>
      <c r="DAV557" s="178"/>
      <c r="DAW557" s="178"/>
      <c r="DAX557" s="178"/>
      <c r="DAY557" s="178"/>
      <c r="DAZ557" s="178"/>
      <c r="DBA557" s="178"/>
      <c r="DBB557" s="178"/>
      <c r="DBC557" s="178"/>
      <c r="DBD557" s="178"/>
      <c r="DBE557" s="178"/>
      <c r="DBF557" s="178"/>
      <c r="DBG557" s="178"/>
      <c r="DBH557" s="178"/>
      <c r="DBI557" s="178"/>
      <c r="DBJ557" s="178"/>
      <c r="DBK557" s="178"/>
      <c r="DBL557" s="178"/>
      <c r="DBM557" s="178"/>
      <c r="DBN557" s="178"/>
      <c r="DBO557" s="178"/>
      <c r="DBP557" s="178"/>
      <c r="DBQ557" s="178"/>
      <c r="DBR557" s="178"/>
      <c r="DBS557" s="178"/>
      <c r="DBT557" s="178"/>
      <c r="DBU557" s="178"/>
      <c r="DBV557" s="178"/>
      <c r="DBW557" s="178"/>
      <c r="DBX557" s="178"/>
      <c r="DBY557" s="178"/>
      <c r="DBZ557" s="178"/>
      <c r="DCA557" s="178"/>
      <c r="DCB557" s="178"/>
      <c r="DCC557" s="178"/>
      <c r="DCD557" s="178"/>
      <c r="DCE557" s="178"/>
      <c r="DCF557" s="178"/>
      <c r="DCG557" s="178"/>
      <c r="DCH557" s="178"/>
      <c r="DCI557" s="178"/>
      <c r="DCJ557" s="178"/>
      <c r="DCK557" s="178"/>
      <c r="DCL557" s="178"/>
      <c r="DCM557" s="178"/>
      <c r="DCN557" s="178"/>
      <c r="DCO557" s="178"/>
      <c r="DCP557" s="178"/>
      <c r="DCQ557" s="178"/>
      <c r="DCR557" s="178"/>
      <c r="DCS557" s="178"/>
      <c r="DCT557" s="178"/>
      <c r="DCU557" s="178"/>
      <c r="DCV557" s="178"/>
      <c r="DCW557" s="178"/>
      <c r="DCX557" s="178"/>
      <c r="DCY557" s="178"/>
      <c r="DCZ557" s="178"/>
      <c r="DDA557" s="178"/>
      <c r="DDB557" s="178"/>
      <c r="DDC557" s="178"/>
      <c r="DDD557" s="178"/>
      <c r="DDE557" s="178"/>
      <c r="DDF557" s="178"/>
      <c r="DDG557" s="178"/>
      <c r="DDH557" s="178"/>
      <c r="DDI557" s="178"/>
      <c r="DDJ557" s="178"/>
      <c r="DDK557" s="178"/>
      <c r="DDL557" s="178"/>
      <c r="DDM557" s="178"/>
      <c r="DDN557" s="178"/>
      <c r="DDO557" s="178"/>
      <c r="DDP557" s="178"/>
      <c r="DDQ557" s="178"/>
      <c r="DDR557" s="178"/>
      <c r="DDS557" s="178"/>
      <c r="DDT557" s="178"/>
      <c r="DDU557" s="178"/>
      <c r="DDV557" s="178"/>
      <c r="DDW557" s="178"/>
      <c r="DDX557" s="178"/>
      <c r="DDY557" s="178"/>
      <c r="DDZ557" s="178"/>
      <c r="DEA557" s="178"/>
      <c r="DEB557" s="178"/>
      <c r="DEC557" s="178"/>
      <c r="DED557" s="178"/>
      <c r="DEE557" s="178"/>
      <c r="DEF557" s="178"/>
      <c r="DEG557" s="178"/>
      <c r="DEH557" s="178"/>
      <c r="DEI557" s="178"/>
      <c r="DEJ557" s="178"/>
      <c r="DEK557" s="178"/>
      <c r="DEL557" s="178"/>
      <c r="DEM557" s="178"/>
      <c r="DEN557" s="178"/>
      <c r="DEO557" s="178"/>
      <c r="DEP557" s="178"/>
      <c r="DEQ557" s="178"/>
      <c r="DER557" s="178"/>
      <c r="DES557" s="178"/>
      <c r="DET557" s="178"/>
      <c r="DEU557" s="178"/>
      <c r="DEV557" s="178"/>
      <c r="DEW557" s="178"/>
      <c r="DEX557" s="178"/>
      <c r="DEY557" s="178"/>
      <c r="DEZ557" s="178"/>
      <c r="DFA557" s="178"/>
      <c r="DFB557" s="178"/>
      <c r="DFC557" s="178"/>
      <c r="DFD557" s="178"/>
      <c r="DFE557" s="178"/>
      <c r="DFF557" s="178"/>
      <c r="DFG557" s="178"/>
      <c r="DFH557" s="178"/>
      <c r="DFI557" s="178"/>
      <c r="DFJ557" s="178"/>
      <c r="DFK557" s="178"/>
      <c r="DFL557" s="178"/>
      <c r="DFM557" s="178"/>
      <c r="DFN557" s="178"/>
      <c r="DFO557" s="178"/>
      <c r="DFP557" s="178"/>
      <c r="DFQ557" s="178"/>
      <c r="DFR557" s="178"/>
      <c r="DFS557" s="178"/>
      <c r="DFT557" s="178"/>
      <c r="DFU557" s="178"/>
      <c r="DFV557" s="178"/>
      <c r="DFW557" s="178"/>
      <c r="DFX557" s="178"/>
      <c r="DFY557" s="178"/>
      <c r="DFZ557" s="178"/>
      <c r="DGA557" s="178"/>
      <c r="DGB557" s="178"/>
      <c r="DGC557" s="178"/>
      <c r="DGD557" s="178"/>
      <c r="DGE557" s="178"/>
      <c r="DGF557" s="178"/>
      <c r="DGG557" s="178"/>
      <c r="DGH557" s="178"/>
      <c r="DGI557" s="178"/>
      <c r="DGJ557" s="178"/>
      <c r="DGK557" s="178"/>
      <c r="DGL557" s="178"/>
      <c r="DGM557" s="178"/>
      <c r="DGN557" s="178"/>
      <c r="DGO557" s="178"/>
      <c r="DGP557" s="178"/>
      <c r="DGQ557" s="178"/>
      <c r="DGR557" s="178"/>
      <c r="DGS557" s="178"/>
      <c r="DGT557" s="178"/>
      <c r="DGU557" s="178"/>
      <c r="DGV557" s="178"/>
      <c r="DGW557" s="178"/>
      <c r="DGX557" s="178"/>
      <c r="DGY557" s="178"/>
      <c r="DGZ557" s="178"/>
      <c r="DHA557" s="178"/>
      <c r="DHB557" s="178"/>
      <c r="DHC557" s="178"/>
      <c r="DHD557" s="178"/>
      <c r="DHE557" s="178"/>
      <c r="DHF557" s="178"/>
      <c r="DHG557" s="178"/>
      <c r="DHH557" s="178"/>
      <c r="DHI557" s="178"/>
      <c r="DHJ557" s="178"/>
      <c r="DHK557" s="178"/>
      <c r="DHL557" s="178"/>
      <c r="DHM557" s="178"/>
      <c r="DHN557" s="178"/>
      <c r="DHO557" s="178"/>
      <c r="DHP557" s="178"/>
      <c r="DHQ557" s="178"/>
      <c r="DHR557" s="178"/>
      <c r="DHS557" s="178"/>
      <c r="DHT557" s="178"/>
      <c r="DHU557" s="178"/>
      <c r="DHV557" s="178"/>
      <c r="DHW557" s="178"/>
      <c r="DHX557" s="178"/>
      <c r="DHY557" s="178"/>
      <c r="DHZ557" s="178"/>
      <c r="DIA557" s="178"/>
      <c r="DIB557" s="178"/>
      <c r="DIC557" s="178"/>
      <c r="DID557" s="178"/>
      <c r="DIE557" s="178"/>
      <c r="DIF557" s="178"/>
      <c r="DIG557" s="178"/>
      <c r="DIH557" s="178"/>
      <c r="DII557" s="178"/>
      <c r="DIJ557" s="178"/>
      <c r="DIK557" s="178"/>
      <c r="DIL557" s="178"/>
      <c r="DIM557" s="178"/>
      <c r="DIN557" s="178"/>
      <c r="DIO557" s="178"/>
      <c r="DIP557" s="178"/>
      <c r="DIQ557" s="178"/>
      <c r="DIR557" s="178"/>
      <c r="DIS557" s="178"/>
      <c r="DIT557" s="178"/>
      <c r="DIU557" s="178"/>
      <c r="DIV557" s="178"/>
      <c r="DIW557" s="178"/>
      <c r="DIX557" s="178"/>
      <c r="DIY557" s="178"/>
      <c r="DIZ557" s="178"/>
      <c r="DJA557" s="178"/>
      <c r="DJB557" s="178"/>
      <c r="DJC557" s="178"/>
      <c r="DJD557" s="178"/>
      <c r="DJE557" s="178"/>
      <c r="DJF557" s="178"/>
      <c r="DJG557" s="178"/>
      <c r="DJH557" s="178"/>
      <c r="DJI557" s="178"/>
      <c r="DJJ557" s="178"/>
      <c r="DJK557" s="178"/>
      <c r="DJL557" s="178"/>
      <c r="DJM557" s="178"/>
      <c r="DJN557" s="178"/>
      <c r="DJO557" s="178"/>
      <c r="DJP557" s="178"/>
      <c r="DJQ557" s="178"/>
      <c r="DJR557" s="178"/>
      <c r="DJS557" s="178"/>
      <c r="DJT557" s="178"/>
      <c r="DJU557" s="178"/>
      <c r="DJV557" s="178"/>
      <c r="DJW557" s="178"/>
      <c r="DJX557" s="178"/>
      <c r="DJY557" s="178"/>
      <c r="DJZ557" s="178"/>
      <c r="DKA557" s="178"/>
      <c r="DKB557" s="178"/>
      <c r="DKC557" s="178"/>
      <c r="DKD557" s="178"/>
      <c r="DKE557" s="178"/>
      <c r="DKF557" s="178"/>
      <c r="DKG557" s="178"/>
      <c r="DKH557" s="178"/>
      <c r="DKI557" s="178"/>
      <c r="DKJ557" s="178"/>
      <c r="DKK557" s="178"/>
      <c r="DKL557" s="178"/>
      <c r="DKM557" s="178"/>
      <c r="DKN557" s="178"/>
      <c r="DKO557" s="178"/>
      <c r="DKP557" s="178"/>
      <c r="DKQ557" s="178"/>
      <c r="DKR557" s="178"/>
      <c r="DKS557" s="178"/>
      <c r="DKT557" s="178"/>
      <c r="DKU557" s="178"/>
      <c r="DKV557" s="178"/>
      <c r="DKW557" s="178"/>
      <c r="DKX557" s="178"/>
      <c r="DKY557" s="178"/>
      <c r="DKZ557" s="178"/>
      <c r="DLA557" s="178"/>
      <c r="DLB557" s="178"/>
      <c r="DLC557" s="178"/>
      <c r="DLD557" s="178"/>
      <c r="DLE557" s="178"/>
      <c r="DLF557" s="178"/>
      <c r="DLG557" s="178"/>
      <c r="DLH557" s="178"/>
      <c r="DLI557" s="178"/>
      <c r="DLJ557" s="178"/>
      <c r="DLK557" s="178"/>
      <c r="DLL557" s="178"/>
      <c r="DLM557" s="178"/>
      <c r="DLN557" s="178"/>
      <c r="DLO557" s="178"/>
      <c r="DLP557" s="178"/>
      <c r="DLQ557" s="178"/>
      <c r="DLR557" s="178"/>
      <c r="DLS557" s="178"/>
      <c r="DLT557" s="178"/>
      <c r="DLU557" s="178"/>
      <c r="DLV557" s="178"/>
      <c r="DLW557" s="178"/>
      <c r="DLX557" s="178"/>
      <c r="DLY557" s="178"/>
      <c r="DLZ557" s="178"/>
      <c r="DMA557" s="178"/>
      <c r="DMB557" s="178"/>
      <c r="DMC557" s="178"/>
      <c r="DMD557" s="178"/>
      <c r="DME557" s="178"/>
      <c r="DMF557" s="178"/>
      <c r="DMG557" s="178"/>
      <c r="DMH557" s="178"/>
      <c r="DMI557" s="178"/>
      <c r="DMJ557" s="178"/>
      <c r="DMK557" s="178"/>
      <c r="DML557" s="178"/>
      <c r="DMM557" s="178"/>
      <c r="DMN557" s="178"/>
      <c r="DMO557" s="178"/>
      <c r="DMP557" s="178"/>
      <c r="DMQ557" s="178"/>
      <c r="DMR557" s="178"/>
      <c r="DMS557" s="178"/>
      <c r="DMT557" s="178"/>
      <c r="DMU557" s="178"/>
      <c r="DMV557" s="178"/>
      <c r="DMW557" s="178"/>
      <c r="DMX557" s="178"/>
      <c r="DMY557" s="178"/>
      <c r="DMZ557" s="178"/>
      <c r="DNA557" s="178"/>
      <c r="DNB557" s="178"/>
      <c r="DNC557" s="178"/>
      <c r="DND557" s="178"/>
      <c r="DNE557" s="178"/>
      <c r="DNF557" s="178"/>
      <c r="DNG557" s="178"/>
      <c r="DNH557" s="178"/>
      <c r="DNI557" s="178"/>
      <c r="DNJ557" s="178"/>
      <c r="DNK557" s="178"/>
      <c r="DNL557" s="178"/>
      <c r="DNM557" s="178"/>
      <c r="DNN557" s="178"/>
      <c r="DNO557" s="178"/>
      <c r="DNP557" s="178"/>
      <c r="DNQ557" s="178"/>
      <c r="DNR557" s="178"/>
      <c r="DNS557" s="178"/>
      <c r="DNT557" s="178"/>
      <c r="DNU557" s="178"/>
      <c r="DNV557" s="178"/>
      <c r="DNW557" s="178"/>
      <c r="DNX557" s="178"/>
      <c r="DNY557" s="178"/>
      <c r="DNZ557" s="178"/>
      <c r="DOA557" s="178"/>
      <c r="DOB557" s="178"/>
      <c r="DOC557" s="178"/>
      <c r="DOD557" s="178"/>
      <c r="DOE557" s="178"/>
      <c r="DOF557" s="178"/>
      <c r="DOG557" s="178"/>
      <c r="DOH557" s="178"/>
      <c r="DOI557" s="178"/>
      <c r="DOJ557" s="178"/>
      <c r="DOK557" s="178"/>
      <c r="DOL557" s="178"/>
      <c r="DOM557" s="178"/>
      <c r="DON557" s="178"/>
      <c r="DOO557" s="178"/>
      <c r="DOP557" s="178"/>
      <c r="DOQ557" s="178"/>
      <c r="DOR557" s="178"/>
      <c r="DOS557" s="178"/>
      <c r="DOT557" s="178"/>
      <c r="DOU557" s="178"/>
      <c r="DOV557" s="178"/>
      <c r="DOW557" s="178"/>
      <c r="DOX557" s="178"/>
      <c r="DOY557" s="178"/>
      <c r="DOZ557" s="178"/>
      <c r="DPA557" s="178"/>
      <c r="DPB557" s="178"/>
      <c r="DPC557" s="178"/>
      <c r="DPD557" s="178"/>
      <c r="DPE557" s="178"/>
      <c r="DPF557" s="178"/>
      <c r="DPG557" s="178"/>
      <c r="DPH557" s="178"/>
      <c r="DPI557" s="178"/>
      <c r="DPJ557" s="178"/>
      <c r="DPK557" s="178"/>
      <c r="DPL557" s="178"/>
      <c r="DPM557" s="178"/>
      <c r="DPN557" s="178"/>
      <c r="DPO557" s="178"/>
      <c r="DPP557" s="178"/>
      <c r="DPQ557" s="178"/>
      <c r="DPR557" s="178"/>
      <c r="DPS557" s="178"/>
      <c r="DPT557" s="178"/>
      <c r="DPU557" s="178"/>
      <c r="DPV557" s="178"/>
      <c r="DPW557" s="178"/>
      <c r="DPX557" s="178"/>
      <c r="DPY557" s="178"/>
      <c r="DPZ557" s="178"/>
      <c r="DQA557" s="178"/>
      <c r="DQB557" s="178"/>
      <c r="DQC557" s="178"/>
      <c r="DQD557" s="178"/>
      <c r="DQE557" s="178"/>
      <c r="DQF557" s="178"/>
      <c r="DQG557" s="178"/>
      <c r="DQH557" s="178"/>
      <c r="DQI557" s="178"/>
      <c r="DQJ557" s="178"/>
      <c r="DQK557" s="178"/>
      <c r="DQL557" s="178"/>
      <c r="DQM557" s="178"/>
      <c r="DQN557" s="178"/>
      <c r="DQO557" s="178"/>
      <c r="DQP557" s="178"/>
      <c r="DQQ557" s="178"/>
      <c r="DQR557" s="178"/>
      <c r="DQS557" s="178"/>
      <c r="DQT557" s="178"/>
      <c r="DQU557" s="178"/>
      <c r="DQV557" s="178"/>
      <c r="DQW557" s="178"/>
      <c r="DQX557" s="178"/>
      <c r="DQY557" s="178"/>
      <c r="DQZ557" s="178"/>
      <c r="DRA557" s="178"/>
      <c r="DRB557" s="178"/>
      <c r="DRC557" s="178"/>
      <c r="DRD557" s="178"/>
      <c r="DRE557" s="178"/>
      <c r="DRF557" s="178"/>
      <c r="DRG557" s="178"/>
      <c r="DRH557" s="178"/>
      <c r="DRI557" s="178"/>
      <c r="DRJ557" s="178"/>
      <c r="DRK557" s="178"/>
      <c r="DRL557" s="178"/>
      <c r="DRM557" s="178"/>
      <c r="DRN557" s="178"/>
      <c r="DRO557" s="178"/>
      <c r="DRP557" s="178"/>
      <c r="DRQ557" s="178"/>
      <c r="DRR557" s="178"/>
      <c r="DRS557" s="178"/>
      <c r="DRT557" s="178"/>
      <c r="DRU557" s="178"/>
      <c r="DRV557" s="178"/>
      <c r="DRW557" s="178"/>
      <c r="DRX557" s="178"/>
      <c r="DRY557" s="178"/>
      <c r="DRZ557" s="178"/>
      <c r="DSA557" s="178"/>
      <c r="DSB557" s="178"/>
      <c r="DSC557" s="178"/>
      <c r="DSD557" s="178"/>
      <c r="DSE557" s="178"/>
      <c r="DSF557" s="178"/>
      <c r="DSG557" s="178"/>
      <c r="DSH557" s="178"/>
      <c r="DSI557" s="178"/>
      <c r="DSJ557" s="178"/>
      <c r="DSK557" s="178"/>
      <c r="DSL557" s="178"/>
      <c r="DSM557" s="178"/>
      <c r="DSN557" s="178"/>
      <c r="DSO557" s="178"/>
      <c r="DSP557" s="178"/>
      <c r="DSQ557" s="178"/>
      <c r="DSR557" s="178"/>
      <c r="DSS557" s="178"/>
      <c r="DST557" s="178"/>
      <c r="DSU557" s="178"/>
      <c r="DSV557" s="178"/>
      <c r="DSW557" s="178"/>
      <c r="DSX557" s="178"/>
      <c r="DSY557" s="178"/>
      <c r="DSZ557" s="178"/>
      <c r="DTA557" s="178"/>
      <c r="DTB557" s="178"/>
      <c r="DTC557" s="178"/>
      <c r="DTD557" s="178"/>
      <c r="DTE557" s="178"/>
      <c r="DTF557" s="178"/>
      <c r="DTG557" s="178"/>
      <c r="DTH557" s="178"/>
      <c r="DTI557" s="178"/>
      <c r="DTJ557" s="178"/>
      <c r="DTK557" s="178"/>
      <c r="DTL557" s="178"/>
      <c r="DTM557" s="178"/>
      <c r="DTN557" s="178"/>
      <c r="DTO557" s="178"/>
      <c r="DTP557" s="178"/>
      <c r="DTQ557" s="178"/>
      <c r="DTR557" s="178"/>
      <c r="DTS557" s="178"/>
      <c r="DTT557" s="178"/>
      <c r="DTU557" s="178"/>
      <c r="DTV557" s="178"/>
      <c r="DTW557" s="178"/>
      <c r="DTX557" s="178"/>
      <c r="DTY557" s="178"/>
      <c r="DTZ557" s="178"/>
      <c r="DUA557" s="178"/>
      <c r="DUB557" s="178"/>
      <c r="DUC557" s="178"/>
      <c r="DUD557" s="178"/>
      <c r="DUE557" s="178"/>
      <c r="DUF557" s="178"/>
      <c r="DUG557" s="178"/>
      <c r="DUH557" s="178"/>
      <c r="DUI557" s="178"/>
      <c r="DUJ557" s="178"/>
      <c r="DUK557" s="178"/>
      <c r="DUL557" s="178"/>
      <c r="DUM557" s="178"/>
      <c r="DUN557" s="178"/>
      <c r="DUO557" s="178"/>
      <c r="DUP557" s="178"/>
      <c r="DUQ557" s="178"/>
      <c r="DUR557" s="178"/>
      <c r="DUS557" s="178"/>
      <c r="DUT557" s="178"/>
      <c r="DUU557" s="178"/>
      <c r="DUV557" s="178"/>
      <c r="DUW557" s="178"/>
      <c r="DUX557" s="178"/>
      <c r="DUY557" s="178"/>
      <c r="DUZ557" s="178"/>
      <c r="DVA557" s="178"/>
      <c r="DVB557" s="178"/>
      <c r="DVC557" s="178"/>
      <c r="DVD557" s="178"/>
      <c r="DVE557" s="178"/>
      <c r="DVF557" s="178"/>
      <c r="DVG557" s="178"/>
      <c r="DVH557" s="178"/>
      <c r="DVI557" s="178"/>
      <c r="DVJ557" s="178"/>
      <c r="DVK557" s="178"/>
      <c r="DVL557" s="178"/>
      <c r="DVM557" s="178"/>
      <c r="DVN557" s="178"/>
      <c r="DVO557" s="178"/>
      <c r="DVP557" s="178"/>
      <c r="DVQ557" s="178"/>
      <c r="DVR557" s="178"/>
      <c r="DVS557" s="178"/>
      <c r="DVT557" s="178"/>
      <c r="DVU557" s="178"/>
      <c r="DVV557" s="178"/>
      <c r="DVW557" s="178"/>
      <c r="DVX557" s="178"/>
      <c r="DVY557" s="178"/>
      <c r="DVZ557" s="178"/>
      <c r="DWA557" s="178"/>
      <c r="DWB557" s="178"/>
      <c r="DWC557" s="178"/>
      <c r="DWD557" s="178"/>
      <c r="DWE557" s="178"/>
      <c r="DWF557" s="178"/>
      <c r="DWG557" s="178"/>
      <c r="DWH557" s="178"/>
      <c r="DWI557" s="178"/>
      <c r="DWJ557" s="178"/>
      <c r="DWK557" s="178"/>
      <c r="DWL557" s="178"/>
      <c r="DWM557" s="178"/>
      <c r="DWN557" s="178"/>
      <c r="DWO557" s="178"/>
      <c r="DWP557" s="178"/>
      <c r="DWQ557" s="178"/>
      <c r="DWR557" s="178"/>
      <c r="DWS557" s="178"/>
      <c r="DWT557" s="178"/>
      <c r="DWU557" s="178"/>
      <c r="DWV557" s="178"/>
      <c r="DWW557" s="178"/>
      <c r="DWX557" s="178"/>
      <c r="DWY557" s="178"/>
      <c r="DWZ557" s="178"/>
      <c r="DXA557" s="178"/>
      <c r="DXB557" s="178"/>
      <c r="DXC557" s="178"/>
      <c r="DXD557" s="178"/>
      <c r="DXE557" s="178"/>
      <c r="DXF557" s="178"/>
      <c r="DXG557" s="178"/>
      <c r="DXH557" s="178"/>
      <c r="DXI557" s="178"/>
      <c r="DXJ557" s="178"/>
      <c r="DXK557" s="178"/>
      <c r="DXL557" s="178"/>
      <c r="DXM557" s="178"/>
      <c r="DXN557" s="178"/>
      <c r="DXO557" s="178"/>
      <c r="DXP557" s="178"/>
      <c r="DXQ557" s="178"/>
      <c r="DXR557" s="178"/>
      <c r="DXS557" s="178"/>
      <c r="DXT557" s="178"/>
      <c r="DXU557" s="178"/>
      <c r="DXV557" s="178"/>
      <c r="DXW557" s="178"/>
      <c r="DXX557" s="178"/>
      <c r="DXY557" s="178"/>
      <c r="DXZ557" s="178"/>
      <c r="DYA557" s="178"/>
      <c r="DYB557" s="178"/>
      <c r="DYC557" s="178"/>
      <c r="DYD557" s="178"/>
      <c r="DYE557" s="178"/>
      <c r="DYF557" s="178"/>
      <c r="DYG557" s="178"/>
      <c r="DYH557" s="178"/>
      <c r="DYI557" s="178"/>
      <c r="DYJ557" s="178"/>
      <c r="DYK557" s="178"/>
      <c r="DYL557" s="178"/>
      <c r="DYM557" s="178"/>
      <c r="DYN557" s="178"/>
      <c r="DYO557" s="178"/>
      <c r="DYP557" s="178"/>
      <c r="DYQ557" s="178"/>
      <c r="DYR557" s="178"/>
      <c r="DYS557" s="178"/>
      <c r="DYT557" s="178"/>
      <c r="DYU557" s="178"/>
      <c r="DYV557" s="178"/>
      <c r="DYW557" s="178"/>
      <c r="DYX557" s="178"/>
      <c r="DYY557" s="178"/>
      <c r="DYZ557" s="178"/>
      <c r="DZA557" s="178"/>
      <c r="DZB557" s="178"/>
      <c r="DZC557" s="178"/>
      <c r="DZD557" s="178"/>
      <c r="DZE557" s="178"/>
      <c r="DZF557" s="178"/>
      <c r="DZG557" s="178"/>
      <c r="DZH557" s="178"/>
      <c r="DZI557" s="178"/>
      <c r="DZJ557" s="178"/>
      <c r="DZK557" s="178"/>
      <c r="DZL557" s="178"/>
      <c r="DZM557" s="178"/>
      <c r="DZN557" s="178"/>
      <c r="DZO557" s="178"/>
      <c r="DZP557" s="178"/>
      <c r="DZQ557" s="178"/>
      <c r="DZR557" s="178"/>
      <c r="DZS557" s="178"/>
      <c r="DZT557" s="178"/>
      <c r="DZU557" s="178"/>
      <c r="DZV557" s="178"/>
      <c r="DZW557" s="178"/>
      <c r="DZX557" s="178"/>
      <c r="DZY557" s="178"/>
      <c r="DZZ557" s="178"/>
      <c r="EAA557" s="178"/>
      <c r="EAB557" s="178"/>
      <c r="EAC557" s="178"/>
      <c r="EAD557" s="178"/>
      <c r="EAE557" s="178"/>
      <c r="EAF557" s="178"/>
      <c r="EAG557" s="178"/>
      <c r="EAH557" s="178"/>
      <c r="EAI557" s="178"/>
      <c r="EAJ557" s="178"/>
      <c r="EAK557" s="178"/>
      <c r="EAL557" s="178"/>
      <c r="EAM557" s="178"/>
      <c r="EAN557" s="178"/>
      <c r="EAO557" s="178"/>
      <c r="EAP557" s="178"/>
      <c r="EAQ557" s="178"/>
      <c r="EAR557" s="178"/>
      <c r="EAS557" s="178"/>
      <c r="EAT557" s="178"/>
      <c r="EAU557" s="178"/>
      <c r="EAV557" s="178"/>
      <c r="EAW557" s="178"/>
      <c r="EAX557" s="178"/>
      <c r="EAY557" s="178"/>
      <c r="EAZ557" s="178"/>
      <c r="EBA557" s="178"/>
      <c r="EBB557" s="178"/>
      <c r="EBC557" s="178"/>
      <c r="EBD557" s="178"/>
      <c r="EBE557" s="178"/>
      <c r="EBF557" s="178"/>
      <c r="EBG557" s="178"/>
      <c r="EBH557" s="178"/>
      <c r="EBI557" s="178"/>
      <c r="EBJ557" s="178"/>
      <c r="EBK557" s="178"/>
      <c r="EBL557" s="178"/>
      <c r="EBM557" s="178"/>
      <c r="EBN557" s="178"/>
      <c r="EBO557" s="178"/>
      <c r="EBP557" s="178"/>
      <c r="EBQ557" s="178"/>
      <c r="EBR557" s="178"/>
      <c r="EBS557" s="178"/>
      <c r="EBT557" s="178"/>
      <c r="EBU557" s="178"/>
      <c r="EBV557" s="178"/>
      <c r="EBW557" s="178"/>
      <c r="EBX557" s="178"/>
      <c r="EBY557" s="178"/>
      <c r="EBZ557" s="178"/>
      <c r="ECA557" s="178"/>
      <c r="ECB557" s="178"/>
      <c r="ECC557" s="178"/>
      <c r="ECD557" s="178"/>
      <c r="ECE557" s="178"/>
      <c r="ECF557" s="178"/>
      <c r="ECG557" s="178"/>
      <c r="ECH557" s="178"/>
      <c r="ECI557" s="178"/>
      <c r="ECJ557" s="178"/>
      <c r="ECK557" s="178"/>
      <c r="ECL557" s="178"/>
      <c r="ECM557" s="178"/>
      <c r="ECN557" s="178"/>
      <c r="ECO557" s="178"/>
      <c r="ECP557" s="178"/>
      <c r="ECQ557" s="178"/>
      <c r="ECR557" s="178"/>
      <c r="ECS557" s="178"/>
      <c r="ECT557" s="178"/>
      <c r="ECU557" s="178"/>
      <c r="ECV557" s="178"/>
      <c r="ECW557" s="178"/>
      <c r="ECX557" s="178"/>
      <c r="ECY557" s="178"/>
      <c r="ECZ557" s="178"/>
      <c r="EDA557" s="178"/>
      <c r="EDB557" s="178"/>
      <c r="EDC557" s="178"/>
      <c r="EDD557" s="178"/>
      <c r="EDE557" s="178"/>
      <c r="EDF557" s="178"/>
      <c r="EDG557" s="178"/>
      <c r="EDH557" s="178"/>
      <c r="EDI557" s="178"/>
      <c r="EDJ557" s="178"/>
      <c r="EDK557" s="178"/>
      <c r="EDL557" s="178"/>
      <c r="EDM557" s="178"/>
      <c r="EDN557" s="178"/>
      <c r="EDO557" s="178"/>
      <c r="EDP557" s="178"/>
      <c r="EDQ557" s="178"/>
      <c r="EDR557" s="178"/>
      <c r="EDS557" s="178"/>
      <c r="EDT557" s="178"/>
      <c r="EDU557" s="178"/>
      <c r="EDV557" s="178"/>
      <c r="EDW557" s="178"/>
      <c r="EDX557" s="178"/>
      <c r="EDY557" s="178"/>
      <c r="EDZ557" s="178"/>
      <c r="EEA557" s="178"/>
      <c r="EEB557" s="178"/>
      <c r="EEC557" s="178"/>
      <c r="EED557" s="178"/>
      <c r="EEE557" s="178"/>
      <c r="EEF557" s="178"/>
      <c r="EEG557" s="178"/>
      <c r="EEH557" s="178"/>
      <c r="EEI557" s="178"/>
      <c r="EEJ557" s="178"/>
      <c r="EEK557" s="178"/>
      <c r="EEL557" s="178"/>
      <c r="EEM557" s="178"/>
      <c r="EEN557" s="178"/>
      <c r="EEO557" s="178"/>
      <c r="EEP557" s="178"/>
      <c r="EEQ557" s="178"/>
      <c r="EER557" s="178"/>
      <c r="EES557" s="178"/>
      <c r="EET557" s="178"/>
      <c r="EEU557" s="178"/>
      <c r="EEV557" s="178"/>
      <c r="EEW557" s="178"/>
      <c r="EEX557" s="178"/>
      <c r="EEY557" s="178"/>
      <c r="EEZ557" s="178"/>
      <c r="EFA557" s="178"/>
      <c r="EFB557" s="178"/>
      <c r="EFC557" s="178"/>
      <c r="EFD557" s="178"/>
      <c r="EFE557" s="178"/>
      <c r="EFF557" s="178"/>
      <c r="EFG557" s="178"/>
      <c r="EFH557" s="178"/>
      <c r="EFI557" s="178"/>
      <c r="EFJ557" s="178"/>
      <c r="EFK557" s="178"/>
      <c r="EFL557" s="178"/>
      <c r="EFM557" s="178"/>
      <c r="EFN557" s="178"/>
      <c r="EFO557" s="178"/>
      <c r="EFP557" s="178"/>
      <c r="EFQ557" s="178"/>
      <c r="EFR557" s="178"/>
      <c r="EFS557" s="178"/>
      <c r="EFT557" s="178"/>
      <c r="EFU557" s="178"/>
      <c r="EFV557" s="178"/>
      <c r="EFW557" s="178"/>
      <c r="EFX557" s="178"/>
      <c r="EFY557" s="178"/>
      <c r="EFZ557" s="178"/>
      <c r="EGA557" s="178"/>
      <c r="EGB557" s="178"/>
      <c r="EGC557" s="178"/>
      <c r="EGD557" s="178"/>
      <c r="EGE557" s="178"/>
      <c r="EGF557" s="178"/>
      <c r="EGG557" s="178"/>
      <c r="EGH557" s="178"/>
      <c r="EGI557" s="178"/>
      <c r="EGJ557" s="178"/>
      <c r="EGK557" s="178"/>
      <c r="EGL557" s="178"/>
      <c r="EGM557" s="178"/>
      <c r="EGN557" s="178"/>
      <c r="EGO557" s="178"/>
      <c r="EGP557" s="178"/>
      <c r="EGQ557" s="178"/>
      <c r="EGR557" s="178"/>
      <c r="EGS557" s="178"/>
      <c r="EGT557" s="178"/>
      <c r="EGU557" s="178"/>
      <c r="EGV557" s="178"/>
      <c r="EGW557" s="178"/>
      <c r="EGX557" s="178"/>
      <c r="EGY557" s="178"/>
      <c r="EGZ557" s="178"/>
      <c r="EHA557" s="178"/>
      <c r="EHB557" s="178"/>
      <c r="EHC557" s="178"/>
      <c r="EHD557" s="178"/>
      <c r="EHE557" s="178"/>
      <c r="EHF557" s="178"/>
      <c r="EHG557" s="178"/>
      <c r="EHH557" s="178"/>
      <c r="EHI557" s="178"/>
      <c r="EHJ557" s="178"/>
      <c r="EHK557" s="178"/>
      <c r="EHL557" s="178"/>
      <c r="EHM557" s="178"/>
      <c r="EHN557" s="178"/>
      <c r="EHO557" s="178"/>
      <c r="EHP557" s="178"/>
      <c r="EHQ557" s="178"/>
      <c r="EHR557" s="178"/>
      <c r="EHS557" s="178"/>
      <c r="EHT557" s="178"/>
      <c r="EHU557" s="178"/>
      <c r="EHV557" s="178"/>
      <c r="EHW557" s="178"/>
      <c r="EHX557" s="178"/>
      <c r="EHY557" s="178"/>
      <c r="EHZ557" s="178"/>
      <c r="EIA557" s="178"/>
      <c r="EIB557" s="178"/>
      <c r="EIC557" s="178"/>
      <c r="EID557" s="178"/>
      <c r="EIE557" s="178"/>
      <c r="EIF557" s="178"/>
      <c r="EIG557" s="178"/>
      <c r="EIH557" s="178"/>
      <c r="EII557" s="178"/>
      <c r="EIJ557" s="178"/>
      <c r="EIK557" s="178"/>
      <c r="EIL557" s="178"/>
      <c r="EIM557" s="178"/>
      <c r="EIN557" s="178"/>
      <c r="EIO557" s="178"/>
      <c r="EIP557" s="178"/>
      <c r="EIQ557" s="178"/>
      <c r="EIR557" s="178"/>
      <c r="EIS557" s="178"/>
      <c r="EIT557" s="178"/>
      <c r="EIU557" s="178"/>
      <c r="EIV557" s="178"/>
      <c r="EIW557" s="178"/>
      <c r="EIX557" s="178"/>
      <c r="EIY557" s="178"/>
      <c r="EIZ557" s="178"/>
      <c r="EJA557" s="178"/>
      <c r="EJB557" s="178"/>
      <c r="EJC557" s="178"/>
      <c r="EJD557" s="178"/>
      <c r="EJE557" s="178"/>
      <c r="EJF557" s="178"/>
      <c r="EJG557" s="178"/>
      <c r="EJH557" s="178"/>
      <c r="EJI557" s="178"/>
      <c r="EJJ557" s="178"/>
      <c r="EJK557" s="178"/>
      <c r="EJL557" s="178"/>
      <c r="EJM557" s="178"/>
      <c r="EJN557" s="178"/>
      <c r="EJO557" s="178"/>
      <c r="EJP557" s="178"/>
      <c r="EJQ557" s="178"/>
      <c r="EJR557" s="178"/>
      <c r="EJS557" s="178"/>
      <c r="EJT557" s="178"/>
      <c r="EJU557" s="178"/>
      <c r="EJV557" s="178"/>
      <c r="EJW557" s="178"/>
      <c r="EJX557" s="178"/>
      <c r="EJY557" s="178"/>
      <c r="EJZ557" s="178"/>
      <c r="EKA557" s="178"/>
      <c r="EKB557" s="178"/>
      <c r="EKC557" s="178"/>
      <c r="EKD557" s="178"/>
      <c r="EKE557" s="178"/>
      <c r="EKF557" s="178"/>
      <c r="EKG557" s="178"/>
      <c r="EKH557" s="178"/>
      <c r="EKI557" s="178"/>
      <c r="EKJ557" s="178"/>
      <c r="EKK557" s="178"/>
      <c r="EKL557" s="178"/>
      <c r="EKM557" s="178"/>
      <c r="EKN557" s="178"/>
      <c r="EKO557" s="178"/>
      <c r="EKP557" s="178"/>
      <c r="EKQ557" s="178"/>
      <c r="EKR557" s="178"/>
      <c r="EKS557" s="178"/>
      <c r="EKT557" s="178"/>
      <c r="EKU557" s="178"/>
      <c r="EKV557" s="178"/>
      <c r="EKW557" s="178"/>
      <c r="EKX557" s="178"/>
      <c r="EKY557" s="178"/>
      <c r="EKZ557" s="178"/>
      <c r="ELA557" s="178"/>
      <c r="ELB557" s="178"/>
      <c r="ELC557" s="178"/>
      <c r="ELD557" s="178"/>
      <c r="ELE557" s="178"/>
      <c r="ELF557" s="178"/>
      <c r="ELG557" s="178"/>
      <c r="ELH557" s="178"/>
      <c r="ELI557" s="178"/>
      <c r="ELJ557" s="178"/>
      <c r="ELK557" s="178"/>
      <c r="ELL557" s="178"/>
      <c r="ELM557" s="178"/>
      <c r="ELN557" s="178"/>
      <c r="ELO557" s="178"/>
      <c r="ELP557" s="178"/>
      <c r="ELQ557" s="178"/>
      <c r="ELR557" s="178"/>
      <c r="ELS557" s="178"/>
      <c r="ELT557" s="178"/>
      <c r="ELU557" s="178"/>
      <c r="ELV557" s="178"/>
      <c r="ELW557" s="178"/>
      <c r="ELX557" s="178"/>
      <c r="ELY557" s="178"/>
      <c r="ELZ557" s="178"/>
      <c r="EMA557" s="178"/>
      <c r="EMB557" s="178"/>
      <c r="EMC557" s="178"/>
      <c r="EMD557" s="178"/>
      <c r="EME557" s="178"/>
      <c r="EMF557" s="178"/>
      <c r="EMG557" s="178"/>
      <c r="EMH557" s="178"/>
      <c r="EMI557" s="178"/>
      <c r="EMJ557" s="178"/>
      <c r="EMK557" s="178"/>
      <c r="EML557" s="178"/>
      <c r="EMM557" s="178"/>
      <c r="EMN557" s="178"/>
      <c r="EMO557" s="178"/>
      <c r="EMP557" s="178"/>
      <c r="EMQ557" s="178"/>
      <c r="EMR557" s="178"/>
      <c r="EMS557" s="178"/>
      <c r="EMT557" s="178"/>
      <c r="EMU557" s="178"/>
      <c r="EMV557" s="178"/>
      <c r="EMW557" s="178"/>
      <c r="EMX557" s="178"/>
      <c r="EMY557" s="178"/>
      <c r="EMZ557" s="178"/>
      <c r="ENA557" s="178"/>
      <c r="ENB557" s="178"/>
      <c r="ENC557" s="178"/>
      <c r="END557" s="178"/>
      <c r="ENE557" s="178"/>
      <c r="ENF557" s="178"/>
      <c r="ENG557" s="178"/>
      <c r="ENH557" s="178"/>
      <c r="ENI557" s="178"/>
      <c r="ENJ557" s="178"/>
      <c r="ENK557" s="178"/>
      <c r="ENL557" s="178"/>
      <c r="ENM557" s="178"/>
      <c r="ENN557" s="178"/>
      <c r="ENO557" s="178"/>
      <c r="ENP557" s="178"/>
      <c r="ENQ557" s="178"/>
      <c r="ENR557" s="178"/>
      <c r="ENS557" s="178"/>
      <c r="ENT557" s="178"/>
      <c r="ENU557" s="178"/>
      <c r="ENV557" s="178"/>
      <c r="ENW557" s="178"/>
      <c r="ENX557" s="178"/>
      <c r="ENY557" s="178"/>
      <c r="ENZ557" s="178"/>
      <c r="EOA557" s="178"/>
      <c r="EOB557" s="178"/>
      <c r="EOC557" s="178"/>
      <c r="EOD557" s="178"/>
      <c r="EOE557" s="178"/>
      <c r="EOF557" s="178"/>
      <c r="EOG557" s="178"/>
      <c r="EOH557" s="178"/>
      <c r="EOI557" s="178"/>
      <c r="EOJ557" s="178"/>
      <c r="EOK557" s="178"/>
      <c r="EOL557" s="178"/>
      <c r="EOM557" s="178"/>
      <c r="EON557" s="178"/>
      <c r="EOO557" s="178"/>
      <c r="EOP557" s="178"/>
      <c r="EOQ557" s="178"/>
      <c r="EOR557" s="178"/>
      <c r="EOS557" s="178"/>
      <c r="EOT557" s="178"/>
      <c r="EOU557" s="178"/>
      <c r="EOV557" s="178"/>
      <c r="EOW557" s="178"/>
      <c r="EOX557" s="178"/>
      <c r="EOY557" s="178"/>
      <c r="EOZ557" s="178"/>
      <c r="EPA557" s="178"/>
      <c r="EPB557" s="178"/>
      <c r="EPC557" s="178"/>
      <c r="EPD557" s="178"/>
      <c r="EPE557" s="178"/>
      <c r="EPF557" s="178"/>
      <c r="EPG557" s="178"/>
      <c r="EPH557" s="178"/>
      <c r="EPI557" s="178"/>
      <c r="EPJ557" s="178"/>
      <c r="EPK557" s="178"/>
      <c r="EPL557" s="178"/>
      <c r="EPM557" s="178"/>
      <c r="EPN557" s="178"/>
      <c r="EPO557" s="178"/>
      <c r="EPP557" s="178"/>
      <c r="EPQ557" s="178"/>
      <c r="EPR557" s="178"/>
      <c r="EPS557" s="178"/>
      <c r="EPT557" s="178"/>
      <c r="EPU557" s="178"/>
      <c r="EPV557" s="178"/>
      <c r="EPW557" s="178"/>
      <c r="EPX557" s="178"/>
      <c r="EPY557" s="178"/>
      <c r="EPZ557" s="178"/>
      <c r="EQA557" s="178"/>
      <c r="EQB557" s="178"/>
      <c r="EQC557" s="178"/>
      <c r="EQD557" s="178"/>
      <c r="EQE557" s="178"/>
      <c r="EQF557" s="178"/>
      <c r="EQG557" s="178"/>
      <c r="EQH557" s="178"/>
      <c r="EQI557" s="178"/>
      <c r="EQJ557" s="178"/>
      <c r="EQK557" s="178"/>
      <c r="EQL557" s="178"/>
      <c r="EQM557" s="178"/>
      <c r="EQN557" s="178"/>
      <c r="EQO557" s="178"/>
      <c r="EQP557" s="178"/>
      <c r="EQQ557" s="178"/>
      <c r="EQR557" s="178"/>
      <c r="EQS557" s="178"/>
      <c r="EQT557" s="178"/>
      <c r="EQU557" s="178"/>
      <c r="EQV557" s="178"/>
      <c r="EQW557" s="178"/>
      <c r="EQX557" s="178"/>
      <c r="EQY557" s="178"/>
      <c r="EQZ557" s="178"/>
      <c r="ERA557" s="178"/>
      <c r="ERB557" s="178"/>
      <c r="ERC557" s="178"/>
      <c r="ERD557" s="178"/>
      <c r="ERE557" s="178"/>
      <c r="ERF557" s="178"/>
      <c r="ERG557" s="178"/>
      <c r="ERH557" s="178"/>
      <c r="ERI557" s="178"/>
      <c r="ERJ557" s="178"/>
      <c r="ERK557" s="178"/>
      <c r="ERL557" s="178"/>
      <c r="ERM557" s="178"/>
      <c r="ERN557" s="178"/>
      <c r="ERO557" s="178"/>
      <c r="ERP557" s="178"/>
      <c r="ERQ557" s="178"/>
      <c r="ERR557" s="178"/>
      <c r="ERS557" s="178"/>
      <c r="ERT557" s="178"/>
      <c r="ERU557" s="178"/>
      <c r="ERV557" s="178"/>
      <c r="ERW557" s="178"/>
      <c r="ERX557" s="178"/>
      <c r="ERY557" s="178"/>
      <c r="ERZ557" s="178"/>
      <c r="ESA557" s="178"/>
      <c r="ESB557" s="178"/>
      <c r="ESC557" s="178"/>
      <c r="ESD557" s="178"/>
      <c r="ESE557" s="178"/>
      <c r="ESF557" s="178"/>
      <c r="ESG557" s="178"/>
      <c r="ESH557" s="178"/>
      <c r="ESI557" s="178"/>
      <c r="ESJ557" s="178"/>
      <c r="ESK557" s="178"/>
      <c r="ESL557" s="178"/>
      <c r="ESM557" s="178"/>
      <c r="ESN557" s="178"/>
      <c r="ESO557" s="178"/>
      <c r="ESP557" s="178"/>
      <c r="ESQ557" s="178"/>
      <c r="ESR557" s="178"/>
      <c r="ESS557" s="178"/>
      <c r="EST557" s="178"/>
      <c r="ESU557" s="178"/>
      <c r="ESV557" s="178"/>
      <c r="ESW557" s="178"/>
      <c r="ESX557" s="178"/>
      <c r="ESY557" s="178"/>
      <c r="ESZ557" s="178"/>
      <c r="ETA557" s="178"/>
      <c r="ETB557" s="178"/>
      <c r="ETC557" s="178"/>
      <c r="ETD557" s="178"/>
      <c r="ETE557" s="178"/>
      <c r="ETF557" s="178"/>
      <c r="ETG557" s="178"/>
      <c r="ETH557" s="178"/>
      <c r="ETI557" s="178"/>
      <c r="ETJ557" s="178"/>
      <c r="ETK557" s="178"/>
      <c r="ETL557" s="178"/>
      <c r="ETM557" s="178"/>
      <c r="ETN557" s="178"/>
      <c r="ETO557" s="178"/>
      <c r="ETP557" s="178"/>
      <c r="ETQ557" s="178"/>
      <c r="ETR557" s="178"/>
      <c r="ETS557" s="178"/>
      <c r="ETT557" s="178"/>
      <c r="ETU557" s="178"/>
      <c r="ETV557" s="178"/>
      <c r="ETW557" s="178"/>
      <c r="ETX557" s="178"/>
      <c r="ETY557" s="178"/>
      <c r="ETZ557" s="178"/>
      <c r="EUA557" s="178"/>
      <c r="EUB557" s="178"/>
      <c r="EUC557" s="178"/>
      <c r="EUD557" s="178"/>
      <c r="EUE557" s="178"/>
      <c r="EUF557" s="178"/>
      <c r="EUG557" s="178"/>
      <c r="EUH557" s="178"/>
      <c r="EUI557" s="178"/>
      <c r="EUJ557" s="178"/>
      <c r="EUK557" s="178"/>
      <c r="EUL557" s="178"/>
      <c r="EUM557" s="178"/>
      <c r="EUN557" s="178"/>
      <c r="EUO557" s="178"/>
      <c r="EUP557" s="178"/>
      <c r="EUQ557" s="178"/>
      <c r="EUR557" s="178"/>
      <c r="EUS557" s="178"/>
      <c r="EUT557" s="178"/>
      <c r="EUU557" s="178"/>
      <c r="EUV557" s="178"/>
      <c r="EUW557" s="178"/>
      <c r="EUX557" s="178"/>
      <c r="EUY557" s="178"/>
      <c r="EUZ557" s="178"/>
      <c r="EVA557" s="178"/>
      <c r="EVB557" s="178"/>
      <c r="EVC557" s="178"/>
      <c r="EVD557" s="178"/>
      <c r="EVE557" s="178"/>
      <c r="EVF557" s="178"/>
      <c r="EVG557" s="178"/>
      <c r="EVH557" s="178"/>
      <c r="EVI557" s="178"/>
      <c r="EVJ557" s="178"/>
      <c r="EVK557" s="178"/>
      <c r="EVL557" s="178"/>
      <c r="EVM557" s="178"/>
      <c r="EVN557" s="178"/>
      <c r="EVO557" s="178"/>
      <c r="EVP557" s="178"/>
      <c r="EVQ557" s="178"/>
      <c r="EVR557" s="178"/>
      <c r="EVS557" s="178"/>
      <c r="EVT557" s="178"/>
      <c r="EVU557" s="178"/>
      <c r="EVV557" s="178"/>
      <c r="EVW557" s="178"/>
      <c r="EVX557" s="178"/>
      <c r="EVY557" s="178"/>
      <c r="EVZ557" s="178"/>
      <c r="EWA557" s="178"/>
      <c r="EWB557" s="178"/>
      <c r="EWC557" s="178"/>
      <c r="EWD557" s="178"/>
      <c r="EWE557" s="178"/>
      <c r="EWF557" s="178"/>
      <c r="EWG557" s="178"/>
      <c r="EWH557" s="178"/>
      <c r="EWI557" s="178"/>
      <c r="EWJ557" s="178"/>
      <c r="EWK557" s="178"/>
      <c r="EWL557" s="178"/>
      <c r="EWM557" s="178"/>
      <c r="EWN557" s="178"/>
      <c r="EWO557" s="178"/>
      <c r="EWP557" s="178"/>
      <c r="EWQ557" s="178"/>
      <c r="EWR557" s="178"/>
      <c r="EWS557" s="178"/>
      <c r="EWT557" s="178"/>
      <c r="EWU557" s="178"/>
      <c r="EWV557" s="178"/>
      <c r="EWW557" s="178"/>
      <c r="EWX557" s="178"/>
      <c r="EWY557" s="178"/>
      <c r="EWZ557" s="178"/>
      <c r="EXA557" s="178"/>
      <c r="EXB557" s="178"/>
      <c r="EXC557" s="178"/>
      <c r="EXD557" s="178"/>
      <c r="EXE557" s="178"/>
      <c r="EXF557" s="178"/>
      <c r="EXG557" s="178"/>
      <c r="EXH557" s="178"/>
      <c r="EXI557" s="178"/>
      <c r="EXJ557" s="178"/>
      <c r="EXK557" s="178"/>
      <c r="EXL557" s="178"/>
      <c r="EXM557" s="178"/>
      <c r="EXN557" s="178"/>
      <c r="EXO557" s="178"/>
      <c r="EXP557" s="178"/>
      <c r="EXQ557" s="178"/>
      <c r="EXR557" s="178"/>
      <c r="EXS557" s="178"/>
      <c r="EXT557" s="178"/>
      <c r="EXU557" s="178"/>
      <c r="EXV557" s="178"/>
      <c r="EXW557" s="178"/>
      <c r="EXX557" s="178"/>
      <c r="EXY557" s="178"/>
      <c r="EXZ557" s="178"/>
      <c r="EYA557" s="178"/>
      <c r="EYB557" s="178"/>
      <c r="EYC557" s="178"/>
      <c r="EYD557" s="178"/>
      <c r="EYE557" s="178"/>
      <c r="EYF557" s="178"/>
      <c r="EYG557" s="178"/>
      <c r="EYH557" s="178"/>
      <c r="EYI557" s="178"/>
      <c r="EYJ557" s="178"/>
      <c r="EYK557" s="178"/>
      <c r="EYL557" s="178"/>
      <c r="EYM557" s="178"/>
      <c r="EYN557" s="178"/>
      <c r="EYO557" s="178"/>
      <c r="EYP557" s="178"/>
      <c r="EYQ557" s="178"/>
      <c r="EYR557" s="178"/>
      <c r="EYS557" s="178"/>
      <c r="EYT557" s="178"/>
      <c r="EYU557" s="178"/>
      <c r="EYV557" s="178"/>
      <c r="EYW557" s="178"/>
      <c r="EYX557" s="178"/>
      <c r="EYY557" s="178"/>
      <c r="EYZ557" s="178"/>
      <c r="EZA557" s="178"/>
      <c r="EZB557" s="178"/>
      <c r="EZC557" s="178"/>
      <c r="EZD557" s="178"/>
      <c r="EZE557" s="178"/>
      <c r="EZF557" s="178"/>
      <c r="EZG557" s="178"/>
      <c r="EZH557" s="178"/>
      <c r="EZI557" s="178"/>
      <c r="EZJ557" s="178"/>
      <c r="EZK557" s="178"/>
      <c r="EZL557" s="178"/>
      <c r="EZM557" s="178"/>
      <c r="EZN557" s="178"/>
      <c r="EZO557" s="178"/>
      <c r="EZP557" s="178"/>
      <c r="EZQ557" s="178"/>
      <c r="EZR557" s="178"/>
      <c r="EZS557" s="178"/>
      <c r="EZT557" s="178"/>
      <c r="EZU557" s="178"/>
      <c r="EZV557" s="178"/>
      <c r="EZW557" s="178"/>
      <c r="EZX557" s="178"/>
      <c r="EZY557" s="178"/>
      <c r="EZZ557" s="178"/>
      <c r="FAA557" s="178"/>
      <c r="FAB557" s="178"/>
      <c r="FAC557" s="178"/>
      <c r="FAD557" s="178"/>
      <c r="FAE557" s="178"/>
      <c r="FAF557" s="178"/>
      <c r="FAG557" s="178"/>
      <c r="FAH557" s="178"/>
      <c r="FAI557" s="178"/>
      <c r="FAJ557" s="178"/>
      <c r="FAK557" s="178"/>
      <c r="FAL557" s="178"/>
      <c r="FAM557" s="178"/>
      <c r="FAN557" s="178"/>
      <c r="FAO557" s="178"/>
      <c r="FAP557" s="178"/>
      <c r="FAQ557" s="178"/>
      <c r="FAR557" s="178"/>
      <c r="FAS557" s="178"/>
      <c r="FAT557" s="178"/>
      <c r="FAU557" s="178"/>
      <c r="FAV557" s="178"/>
      <c r="FAW557" s="178"/>
      <c r="FAX557" s="178"/>
      <c r="FAY557" s="178"/>
      <c r="FAZ557" s="178"/>
      <c r="FBA557" s="178"/>
      <c r="FBB557" s="178"/>
      <c r="FBC557" s="178"/>
      <c r="FBD557" s="178"/>
      <c r="FBE557" s="178"/>
      <c r="FBF557" s="178"/>
      <c r="FBG557" s="178"/>
      <c r="FBH557" s="178"/>
      <c r="FBI557" s="178"/>
      <c r="FBJ557" s="178"/>
      <c r="FBK557" s="178"/>
      <c r="FBL557" s="178"/>
      <c r="FBM557" s="178"/>
      <c r="FBN557" s="178"/>
      <c r="FBO557" s="178"/>
      <c r="FBP557" s="178"/>
      <c r="FBQ557" s="178"/>
      <c r="FBR557" s="178"/>
      <c r="FBS557" s="178"/>
      <c r="FBT557" s="178"/>
      <c r="FBU557" s="178"/>
      <c r="FBV557" s="178"/>
      <c r="FBW557" s="178"/>
      <c r="FBX557" s="178"/>
      <c r="FBY557" s="178"/>
      <c r="FBZ557" s="178"/>
      <c r="FCA557" s="178"/>
      <c r="FCB557" s="178"/>
      <c r="FCC557" s="178"/>
      <c r="FCD557" s="178"/>
      <c r="FCE557" s="178"/>
      <c r="FCF557" s="178"/>
      <c r="FCG557" s="178"/>
      <c r="FCH557" s="178"/>
      <c r="FCI557" s="178"/>
      <c r="FCJ557" s="178"/>
      <c r="FCK557" s="178"/>
      <c r="FCL557" s="178"/>
      <c r="FCM557" s="178"/>
      <c r="FCN557" s="178"/>
      <c r="FCO557" s="178"/>
      <c r="FCP557" s="178"/>
      <c r="FCQ557" s="178"/>
      <c r="FCR557" s="178"/>
      <c r="FCS557" s="178"/>
      <c r="FCT557" s="178"/>
      <c r="FCU557" s="178"/>
      <c r="FCV557" s="178"/>
      <c r="FCW557" s="178"/>
      <c r="FCX557" s="178"/>
      <c r="FCY557" s="178"/>
      <c r="FCZ557" s="178"/>
      <c r="FDA557" s="178"/>
      <c r="FDB557" s="178"/>
      <c r="FDC557" s="178"/>
      <c r="FDD557" s="178"/>
      <c r="FDE557" s="178"/>
      <c r="FDF557" s="178"/>
      <c r="FDG557" s="178"/>
      <c r="FDH557" s="178"/>
      <c r="FDI557" s="178"/>
      <c r="FDJ557" s="178"/>
      <c r="FDK557" s="178"/>
      <c r="FDL557" s="178"/>
      <c r="FDM557" s="178"/>
      <c r="FDN557" s="178"/>
      <c r="FDO557" s="178"/>
      <c r="FDP557" s="178"/>
      <c r="FDQ557" s="178"/>
      <c r="FDR557" s="178"/>
      <c r="FDS557" s="178"/>
      <c r="FDT557" s="178"/>
      <c r="FDU557" s="178"/>
      <c r="FDV557" s="178"/>
      <c r="FDW557" s="178"/>
      <c r="FDX557" s="178"/>
      <c r="FDY557" s="178"/>
      <c r="FDZ557" s="178"/>
      <c r="FEA557" s="178"/>
      <c r="FEB557" s="178"/>
      <c r="FEC557" s="178"/>
      <c r="FED557" s="178"/>
      <c r="FEE557" s="178"/>
      <c r="FEF557" s="178"/>
      <c r="FEG557" s="178"/>
      <c r="FEH557" s="178"/>
      <c r="FEI557" s="178"/>
      <c r="FEJ557" s="178"/>
      <c r="FEK557" s="178"/>
      <c r="FEL557" s="178"/>
      <c r="FEM557" s="178"/>
      <c r="FEN557" s="178"/>
      <c r="FEO557" s="178"/>
      <c r="FEP557" s="178"/>
      <c r="FEQ557" s="178"/>
      <c r="FER557" s="178"/>
      <c r="FES557" s="178"/>
      <c r="FET557" s="178"/>
      <c r="FEU557" s="178"/>
      <c r="FEV557" s="178"/>
      <c r="FEW557" s="178"/>
      <c r="FEX557" s="178"/>
      <c r="FEY557" s="178"/>
      <c r="FEZ557" s="178"/>
      <c r="FFA557" s="178"/>
      <c r="FFB557" s="178"/>
      <c r="FFC557" s="178"/>
      <c r="FFD557" s="178"/>
      <c r="FFE557" s="178"/>
      <c r="FFF557" s="178"/>
      <c r="FFG557" s="178"/>
      <c r="FFH557" s="178"/>
      <c r="FFI557" s="178"/>
      <c r="FFJ557" s="178"/>
      <c r="FFK557" s="178"/>
      <c r="FFL557" s="178"/>
      <c r="FFM557" s="178"/>
      <c r="FFN557" s="178"/>
      <c r="FFO557" s="178"/>
      <c r="FFP557" s="178"/>
      <c r="FFQ557" s="178"/>
      <c r="FFR557" s="178"/>
      <c r="FFS557" s="178"/>
      <c r="FFT557" s="178"/>
      <c r="FFU557" s="178"/>
      <c r="FFV557" s="178"/>
      <c r="FFW557" s="178"/>
      <c r="FFX557" s="178"/>
      <c r="FFY557" s="178"/>
      <c r="FFZ557" s="178"/>
      <c r="FGA557" s="178"/>
      <c r="FGB557" s="178"/>
      <c r="FGC557" s="178"/>
      <c r="FGD557" s="178"/>
      <c r="FGE557" s="178"/>
      <c r="FGF557" s="178"/>
      <c r="FGG557" s="178"/>
      <c r="FGH557" s="178"/>
      <c r="FGI557" s="178"/>
      <c r="FGJ557" s="178"/>
      <c r="FGK557" s="178"/>
      <c r="FGL557" s="178"/>
      <c r="FGM557" s="178"/>
      <c r="FGN557" s="178"/>
      <c r="FGO557" s="178"/>
      <c r="FGP557" s="178"/>
      <c r="FGQ557" s="178"/>
      <c r="FGR557" s="178"/>
      <c r="FGS557" s="178"/>
      <c r="FGT557" s="178"/>
      <c r="FGU557" s="178"/>
      <c r="FGV557" s="178"/>
      <c r="FGW557" s="178"/>
      <c r="FGX557" s="178"/>
      <c r="FGY557" s="178"/>
      <c r="FGZ557" s="178"/>
      <c r="FHA557" s="178"/>
      <c r="FHB557" s="178"/>
      <c r="FHC557" s="178"/>
      <c r="FHD557" s="178"/>
      <c r="FHE557" s="178"/>
      <c r="FHF557" s="178"/>
      <c r="FHG557" s="178"/>
      <c r="FHH557" s="178"/>
      <c r="FHI557" s="178"/>
      <c r="FHJ557" s="178"/>
      <c r="FHK557" s="178"/>
      <c r="FHL557" s="178"/>
      <c r="FHM557" s="178"/>
      <c r="FHN557" s="178"/>
      <c r="FHO557" s="178"/>
      <c r="FHP557" s="178"/>
      <c r="FHQ557" s="178"/>
      <c r="FHR557" s="178"/>
      <c r="FHS557" s="178"/>
      <c r="FHT557" s="178"/>
      <c r="FHU557" s="178"/>
      <c r="FHV557" s="178"/>
      <c r="FHW557" s="178"/>
      <c r="FHX557" s="178"/>
      <c r="FHY557" s="178"/>
      <c r="FHZ557" s="178"/>
      <c r="FIA557" s="178"/>
      <c r="FIB557" s="178"/>
      <c r="FIC557" s="178"/>
      <c r="FID557" s="178"/>
      <c r="FIE557" s="178"/>
      <c r="FIF557" s="178"/>
      <c r="FIG557" s="178"/>
      <c r="FIH557" s="178"/>
      <c r="FII557" s="178"/>
      <c r="FIJ557" s="178"/>
      <c r="FIK557" s="178"/>
      <c r="FIL557" s="178"/>
      <c r="FIM557" s="178"/>
      <c r="FIN557" s="178"/>
      <c r="FIO557" s="178"/>
      <c r="FIP557" s="178"/>
      <c r="FIQ557" s="178"/>
      <c r="FIR557" s="178"/>
      <c r="FIS557" s="178"/>
      <c r="FIT557" s="178"/>
      <c r="FIU557" s="178"/>
      <c r="FIV557" s="178"/>
      <c r="FIW557" s="178"/>
      <c r="FIX557" s="178"/>
      <c r="FIY557" s="178"/>
      <c r="FIZ557" s="178"/>
      <c r="FJA557" s="178"/>
      <c r="FJB557" s="178"/>
      <c r="FJC557" s="178"/>
      <c r="FJD557" s="178"/>
      <c r="FJE557" s="178"/>
      <c r="FJF557" s="178"/>
      <c r="FJG557" s="178"/>
      <c r="FJH557" s="178"/>
      <c r="FJI557" s="178"/>
      <c r="FJJ557" s="178"/>
      <c r="FJK557" s="178"/>
      <c r="FJL557" s="178"/>
      <c r="FJM557" s="178"/>
      <c r="FJN557" s="178"/>
      <c r="FJO557" s="178"/>
      <c r="FJP557" s="178"/>
      <c r="FJQ557" s="178"/>
      <c r="FJR557" s="178"/>
      <c r="FJS557" s="178"/>
      <c r="FJT557" s="178"/>
      <c r="FJU557" s="178"/>
      <c r="FJV557" s="178"/>
      <c r="FJW557" s="178"/>
      <c r="FJX557" s="178"/>
      <c r="FJY557" s="178"/>
      <c r="FJZ557" s="178"/>
      <c r="FKA557" s="178"/>
      <c r="FKB557" s="178"/>
      <c r="FKC557" s="178"/>
      <c r="FKD557" s="178"/>
      <c r="FKE557" s="178"/>
      <c r="FKF557" s="178"/>
      <c r="FKG557" s="178"/>
      <c r="FKH557" s="178"/>
      <c r="FKI557" s="178"/>
      <c r="FKJ557" s="178"/>
      <c r="FKK557" s="178"/>
      <c r="FKL557" s="178"/>
      <c r="FKM557" s="178"/>
      <c r="FKN557" s="178"/>
      <c r="FKO557" s="178"/>
      <c r="FKP557" s="178"/>
      <c r="FKQ557" s="178"/>
      <c r="FKR557" s="178"/>
      <c r="FKS557" s="178"/>
      <c r="FKT557" s="178"/>
      <c r="FKU557" s="178"/>
      <c r="FKV557" s="178"/>
      <c r="FKW557" s="178"/>
      <c r="FKX557" s="178"/>
      <c r="FKY557" s="178"/>
      <c r="FKZ557" s="178"/>
      <c r="FLA557" s="178"/>
      <c r="FLB557" s="178"/>
      <c r="FLC557" s="178"/>
      <c r="FLD557" s="178"/>
      <c r="FLE557" s="178"/>
      <c r="FLF557" s="178"/>
      <c r="FLG557" s="178"/>
      <c r="FLH557" s="178"/>
      <c r="FLI557" s="178"/>
      <c r="FLJ557" s="178"/>
      <c r="FLK557" s="178"/>
      <c r="FLL557" s="178"/>
      <c r="FLM557" s="178"/>
      <c r="FLN557" s="178"/>
      <c r="FLO557" s="178"/>
      <c r="FLP557" s="178"/>
      <c r="FLQ557" s="178"/>
      <c r="FLR557" s="178"/>
      <c r="FLS557" s="178"/>
      <c r="FLT557" s="178"/>
      <c r="FLU557" s="178"/>
      <c r="FLV557" s="178"/>
      <c r="FLW557" s="178"/>
      <c r="FLX557" s="178"/>
      <c r="FLY557" s="178"/>
      <c r="FLZ557" s="178"/>
      <c r="FMA557" s="178"/>
      <c r="FMB557" s="178"/>
      <c r="FMC557" s="178"/>
      <c r="FMD557" s="178"/>
      <c r="FME557" s="178"/>
      <c r="FMF557" s="178"/>
      <c r="FMG557" s="178"/>
      <c r="FMH557" s="178"/>
      <c r="FMI557" s="178"/>
      <c r="FMJ557" s="178"/>
      <c r="FMK557" s="178"/>
      <c r="FML557" s="178"/>
      <c r="FMM557" s="178"/>
      <c r="FMN557" s="178"/>
      <c r="FMO557" s="178"/>
      <c r="FMP557" s="178"/>
      <c r="FMQ557" s="178"/>
      <c r="FMR557" s="178"/>
      <c r="FMS557" s="178"/>
      <c r="FMT557" s="178"/>
      <c r="FMU557" s="178"/>
      <c r="FMV557" s="178"/>
      <c r="FMW557" s="178"/>
      <c r="FMX557" s="178"/>
      <c r="FMY557" s="178"/>
      <c r="FMZ557" s="178"/>
      <c r="FNA557" s="178"/>
      <c r="FNB557" s="178"/>
      <c r="FNC557" s="178"/>
      <c r="FND557" s="178"/>
      <c r="FNE557" s="178"/>
      <c r="FNF557" s="178"/>
      <c r="FNG557" s="178"/>
      <c r="FNH557" s="178"/>
      <c r="FNI557" s="178"/>
      <c r="FNJ557" s="178"/>
      <c r="FNK557" s="178"/>
      <c r="FNL557" s="178"/>
      <c r="FNM557" s="178"/>
      <c r="FNN557" s="178"/>
      <c r="FNO557" s="178"/>
      <c r="FNP557" s="178"/>
      <c r="FNQ557" s="178"/>
      <c r="FNR557" s="178"/>
      <c r="FNS557" s="178"/>
      <c r="FNT557" s="178"/>
      <c r="FNU557" s="178"/>
      <c r="FNV557" s="178"/>
      <c r="FNW557" s="178"/>
      <c r="FNX557" s="178"/>
      <c r="FNY557" s="178"/>
      <c r="FNZ557" s="178"/>
      <c r="FOA557" s="178"/>
      <c r="FOB557" s="178"/>
      <c r="FOC557" s="178"/>
      <c r="FOD557" s="178"/>
      <c r="FOE557" s="178"/>
      <c r="FOF557" s="178"/>
      <c r="FOG557" s="178"/>
      <c r="FOH557" s="178"/>
      <c r="FOI557" s="178"/>
      <c r="FOJ557" s="178"/>
      <c r="FOK557" s="178"/>
      <c r="FOL557" s="178"/>
      <c r="FOM557" s="178"/>
      <c r="FON557" s="178"/>
      <c r="FOO557" s="178"/>
      <c r="FOP557" s="178"/>
      <c r="FOQ557" s="178"/>
      <c r="FOR557" s="178"/>
      <c r="FOS557" s="178"/>
      <c r="FOT557" s="178"/>
      <c r="FOU557" s="178"/>
      <c r="FOV557" s="178"/>
      <c r="FOW557" s="178"/>
      <c r="FOX557" s="178"/>
      <c r="FOY557" s="178"/>
      <c r="FOZ557" s="178"/>
      <c r="FPA557" s="178"/>
      <c r="FPB557" s="178"/>
      <c r="FPC557" s="178"/>
      <c r="FPD557" s="178"/>
      <c r="FPE557" s="178"/>
      <c r="FPF557" s="178"/>
      <c r="FPG557" s="178"/>
      <c r="FPH557" s="178"/>
      <c r="FPI557" s="178"/>
      <c r="FPJ557" s="178"/>
      <c r="FPK557" s="178"/>
      <c r="FPL557" s="178"/>
      <c r="FPM557" s="178"/>
      <c r="FPN557" s="178"/>
      <c r="FPO557" s="178"/>
      <c r="FPP557" s="178"/>
      <c r="FPQ557" s="178"/>
      <c r="FPR557" s="178"/>
      <c r="FPS557" s="178"/>
      <c r="FPT557" s="178"/>
      <c r="FPU557" s="178"/>
      <c r="FPV557" s="178"/>
      <c r="FPW557" s="178"/>
      <c r="FPX557" s="178"/>
      <c r="FPY557" s="178"/>
      <c r="FPZ557" s="178"/>
      <c r="FQA557" s="178"/>
      <c r="FQB557" s="178"/>
      <c r="FQC557" s="178"/>
      <c r="FQD557" s="178"/>
      <c r="FQE557" s="178"/>
      <c r="FQF557" s="178"/>
      <c r="FQG557" s="178"/>
      <c r="FQH557" s="178"/>
      <c r="FQI557" s="178"/>
      <c r="FQJ557" s="178"/>
      <c r="FQK557" s="178"/>
      <c r="FQL557" s="178"/>
      <c r="FQM557" s="178"/>
      <c r="FQN557" s="178"/>
      <c r="FQO557" s="178"/>
      <c r="FQP557" s="178"/>
      <c r="FQQ557" s="178"/>
      <c r="FQR557" s="178"/>
      <c r="FQS557" s="178"/>
      <c r="FQT557" s="178"/>
      <c r="FQU557" s="178"/>
      <c r="FQV557" s="178"/>
      <c r="FQW557" s="178"/>
      <c r="FQX557" s="178"/>
      <c r="FQY557" s="178"/>
      <c r="FQZ557" s="178"/>
      <c r="FRA557" s="178"/>
      <c r="FRB557" s="178"/>
      <c r="FRC557" s="178"/>
      <c r="FRD557" s="178"/>
      <c r="FRE557" s="178"/>
      <c r="FRF557" s="178"/>
      <c r="FRG557" s="178"/>
      <c r="FRH557" s="178"/>
      <c r="FRI557" s="178"/>
      <c r="FRJ557" s="178"/>
      <c r="FRK557" s="178"/>
      <c r="FRL557" s="178"/>
      <c r="FRM557" s="178"/>
      <c r="FRN557" s="178"/>
      <c r="FRO557" s="178"/>
      <c r="FRP557" s="178"/>
      <c r="FRQ557" s="178"/>
      <c r="FRR557" s="178"/>
      <c r="FRS557" s="178"/>
      <c r="FRT557" s="178"/>
      <c r="FRU557" s="178"/>
      <c r="FRV557" s="178"/>
      <c r="FRW557" s="178"/>
      <c r="FRX557" s="178"/>
      <c r="FRY557" s="178"/>
      <c r="FRZ557" s="178"/>
      <c r="FSA557" s="178"/>
      <c r="FSB557" s="178"/>
      <c r="FSC557" s="178"/>
      <c r="FSD557" s="178"/>
      <c r="FSE557" s="178"/>
      <c r="FSF557" s="178"/>
      <c r="FSG557" s="178"/>
      <c r="FSH557" s="178"/>
      <c r="FSI557" s="178"/>
      <c r="FSJ557" s="178"/>
      <c r="FSK557" s="178"/>
      <c r="FSL557" s="178"/>
      <c r="FSM557" s="178"/>
      <c r="FSN557" s="178"/>
      <c r="FSO557" s="178"/>
      <c r="FSP557" s="178"/>
      <c r="FSQ557" s="178"/>
      <c r="FSR557" s="178"/>
      <c r="FSS557" s="178"/>
      <c r="FST557" s="178"/>
      <c r="FSU557" s="178"/>
      <c r="FSV557" s="178"/>
      <c r="FSW557" s="178"/>
      <c r="FSX557" s="178"/>
      <c r="FSY557" s="178"/>
      <c r="FSZ557" s="178"/>
      <c r="FTA557" s="178"/>
      <c r="FTB557" s="178"/>
      <c r="FTC557" s="178"/>
      <c r="FTD557" s="178"/>
      <c r="FTE557" s="178"/>
      <c r="FTF557" s="178"/>
      <c r="FTG557" s="178"/>
      <c r="FTH557" s="178"/>
      <c r="FTI557" s="178"/>
      <c r="FTJ557" s="178"/>
      <c r="FTK557" s="178"/>
      <c r="FTL557" s="178"/>
      <c r="FTM557" s="178"/>
      <c r="FTN557" s="178"/>
      <c r="FTO557" s="178"/>
      <c r="FTP557" s="178"/>
      <c r="FTQ557" s="178"/>
      <c r="FTR557" s="178"/>
      <c r="FTS557" s="178"/>
      <c r="FTT557" s="178"/>
      <c r="FTU557" s="178"/>
      <c r="FTV557" s="178"/>
      <c r="FTW557" s="178"/>
      <c r="FTX557" s="178"/>
      <c r="FTY557" s="178"/>
      <c r="FTZ557" s="178"/>
      <c r="FUA557" s="178"/>
      <c r="FUB557" s="178"/>
      <c r="FUC557" s="178"/>
      <c r="FUD557" s="178"/>
      <c r="FUE557" s="178"/>
      <c r="FUF557" s="178"/>
      <c r="FUG557" s="178"/>
      <c r="FUH557" s="178"/>
      <c r="FUI557" s="178"/>
      <c r="FUJ557" s="178"/>
      <c r="FUK557" s="178"/>
      <c r="FUL557" s="178"/>
      <c r="FUM557" s="178"/>
      <c r="FUN557" s="178"/>
      <c r="FUO557" s="178"/>
      <c r="FUP557" s="178"/>
      <c r="FUQ557" s="178"/>
      <c r="FUR557" s="178"/>
      <c r="FUS557" s="178"/>
      <c r="FUT557" s="178"/>
      <c r="FUU557" s="178"/>
      <c r="FUV557" s="178"/>
      <c r="FUW557" s="178"/>
      <c r="FUX557" s="178"/>
      <c r="FUY557" s="178"/>
      <c r="FUZ557" s="178"/>
      <c r="FVA557" s="178"/>
      <c r="FVB557" s="178"/>
      <c r="FVC557" s="178"/>
      <c r="FVD557" s="178"/>
      <c r="FVE557" s="178"/>
      <c r="FVF557" s="178"/>
      <c r="FVG557" s="178"/>
      <c r="FVH557" s="178"/>
      <c r="FVI557" s="178"/>
      <c r="FVJ557" s="178"/>
      <c r="FVK557" s="178"/>
      <c r="FVL557" s="178"/>
      <c r="FVM557" s="178"/>
      <c r="FVN557" s="178"/>
      <c r="FVO557" s="178"/>
      <c r="FVP557" s="178"/>
      <c r="FVQ557" s="178"/>
      <c r="FVR557" s="178"/>
      <c r="FVS557" s="178"/>
      <c r="FVT557" s="178"/>
      <c r="FVU557" s="178"/>
      <c r="FVV557" s="178"/>
      <c r="FVW557" s="178"/>
      <c r="FVX557" s="178"/>
      <c r="FVY557" s="178"/>
      <c r="FVZ557" s="178"/>
      <c r="FWA557" s="178"/>
      <c r="FWB557" s="178"/>
      <c r="FWC557" s="178"/>
      <c r="FWD557" s="178"/>
      <c r="FWE557" s="178"/>
      <c r="FWF557" s="178"/>
      <c r="FWG557" s="178"/>
      <c r="FWH557" s="178"/>
      <c r="FWI557" s="178"/>
      <c r="FWJ557" s="178"/>
      <c r="FWK557" s="178"/>
      <c r="FWL557" s="178"/>
      <c r="FWM557" s="178"/>
      <c r="FWN557" s="178"/>
      <c r="FWO557" s="178"/>
      <c r="FWP557" s="178"/>
      <c r="FWQ557" s="178"/>
      <c r="FWR557" s="178"/>
      <c r="FWS557" s="178"/>
      <c r="FWT557" s="178"/>
      <c r="FWU557" s="178"/>
      <c r="FWV557" s="178"/>
      <c r="FWW557" s="178"/>
      <c r="FWX557" s="178"/>
      <c r="FWY557" s="178"/>
      <c r="FWZ557" s="178"/>
      <c r="FXA557" s="178"/>
      <c r="FXB557" s="178"/>
      <c r="FXC557" s="178"/>
      <c r="FXD557" s="178"/>
      <c r="FXE557" s="178"/>
      <c r="FXF557" s="178"/>
      <c r="FXG557" s="178"/>
      <c r="FXH557" s="178"/>
      <c r="FXI557" s="178"/>
      <c r="FXJ557" s="178"/>
      <c r="FXK557" s="178"/>
      <c r="FXL557" s="178"/>
      <c r="FXM557" s="178"/>
      <c r="FXN557" s="178"/>
      <c r="FXO557" s="178"/>
      <c r="FXP557" s="178"/>
      <c r="FXQ557" s="178"/>
      <c r="FXR557" s="178"/>
      <c r="FXS557" s="178"/>
      <c r="FXT557" s="178"/>
      <c r="FXU557" s="178"/>
      <c r="FXV557" s="178"/>
      <c r="FXW557" s="178"/>
      <c r="FXX557" s="178"/>
      <c r="FXY557" s="178"/>
      <c r="FXZ557" s="178"/>
      <c r="FYA557" s="178"/>
      <c r="FYB557" s="178"/>
      <c r="FYC557" s="178"/>
      <c r="FYD557" s="178"/>
      <c r="FYE557" s="178"/>
      <c r="FYF557" s="178"/>
      <c r="FYG557" s="178"/>
      <c r="FYH557" s="178"/>
      <c r="FYI557" s="178"/>
      <c r="FYJ557" s="178"/>
      <c r="FYK557" s="178"/>
      <c r="FYL557" s="178"/>
      <c r="FYM557" s="178"/>
      <c r="FYN557" s="178"/>
      <c r="FYO557" s="178"/>
      <c r="FYP557" s="178"/>
      <c r="FYQ557" s="178"/>
      <c r="FYR557" s="178"/>
      <c r="FYS557" s="178"/>
      <c r="FYT557" s="178"/>
      <c r="FYU557" s="178"/>
      <c r="FYV557" s="178"/>
      <c r="FYW557" s="178"/>
      <c r="FYX557" s="178"/>
      <c r="FYY557" s="178"/>
      <c r="FYZ557" s="178"/>
      <c r="FZA557" s="178"/>
      <c r="FZB557" s="178"/>
      <c r="FZC557" s="178"/>
      <c r="FZD557" s="178"/>
      <c r="FZE557" s="178"/>
      <c r="FZF557" s="178"/>
      <c r="FZG557" s="178"/>
      <c r="FZH557" s="178"/>
      <c r="FZI557" s="178"/>
      <c r="FZJ557" s="178"/>
      <c r="FZK557" s="178"/>
      <c r="FZL557" s="178"/>
      <c r="FZM557" s="178"/>
      <c r="FZN557" s="178"/>
      <c r="FZO557" s="178"/>
      <c r="FZP557" s="178"/>
      <c r="FZQ557" s="178"/>
      <c r="FZR557" s="178"/>
      <c r="FZS557" s="178"/>
      <c r="FZT557" s="178"/>
      <c r="FZU557" s="178"/>
      <c r="FZV557" s="178"/>
      <c r="FZW557" s="178"/>
      <c r="FZX557" s="178"/>
      <c r="FZY557" s="178"/>
      <c r="FZZ557" s="178"/>
      <c r="GAA557" s="178"/>
      <c r="GAB557" s="178"/>
      <c r="GAC557" s="178"/>
      <c r="GAD557" s="178"/>
      <c r="GAE557" s="178"/>
      <c r="GAF557" s="178"/>
      <c r="GAG557" s="178"/>
      <c r="GAH557" s="178"/>
      <c r="GAI557" s="178"/>
      <c r="GAJ557" s="178"/>
      <c r="GAK557" s="178"/>
      <c r="GAL557" s="178"/>
      <c r="GAM557" s="178"/>
      <c r="GAN557" s="178"/>
      <c r="GAO557" s="178"/>
      <c r="GAP557" s="178"/>
      <c r="GAQ557" s="178"/>
      <c r="GAR557" s="178"/>
      <c r="GAS557" s="178"/>
      <c r="GAT557" s="178"/>
      <c r="GAU557" s="178"/>
      <c r="GAV557" s="178"/>
      <c r="GAW557" s="178"/>
      <c r="GAX557" s="178"/>
      <c r="GAY557" s="178"/>
      <c r="GAZ557" s="178"/>
      <c r="GBA557" s="178"/>
      <c r="GBB557" s="178"/>
      <c r="GBC557" s="178"/>
      <c r="GBD557" s="178"/>
      <c r="GBE557" s="178"/>
      <c r="GBF557" s="178"/>
      <c r="GBG557" s="178"/>
      <c r="GBH557" s="178"/>
      <c r="GBI557" s="178"/>
      <c r="GBJ557" s="178"/>
      <c r="GBK557" s="178"/>
      <c r="GBL557" s="178"/>
      <c r="GBM557" s="178"/>
      <c r="GBN557" s="178"/>
      <c r="GBO557" s="178"/>
      <c r="GBP557" s="178"/>
      <c r="GBQ557" s="178"/>
      <c r="GBR557" s="178"/>
      <c r="GBS557" s="178"/>
      <c r="GBT557" s="178"/>
      <c r="GBU557" s="178"/>
      <c r="GBV557" s="178"/>
      <c r="GBW557" s="178"/>
      <c r="GBX557" s="178"/>
      <c r="GBY557" s="178"/>
      <c r="GBZ557" s="178"/>
      <c r="GCA557" s="178"/>
      <c r="GCB557" s="178"/>
      <c r="GCC557" s="178"/>
      <c r="GCD557" s="178"/>
      <c r="GCE557" s="178"/>
      <c r="GCF557" s="178"/>
      <c r="GCG557" s="178"/>
      <c r="GCH557" s="178"/>
      <c r="GCI557" s="178"/>
      <c r="GCJ557" s="178"/>
      <c r="GCK557" s="178"/>
      <c r="GCL557" s="178"/>
      <c r="GCM557" s="178"/>
      <c r="GCN557" s="178"/>
      <c r="GCO557" s="178"/>
      <c r="GCP557" s="178"/>
      <c r="GCQ557" s="178"/>
      <c r="GCR557" s="178"/>
      <c r="GCS557" s="178"/>
      <c r="GCT557" s="178"/>
      <c r="GCU557" s="178"/>
      <c r="GCV557" s="178"/>
      <c r="GCW557" s="178"/>
      <c r="GCX557" s="178"/>
      <c r="GCY557" s="178"/>
      <c r="GCZ557" s="178"/>
      <c r="GDA557" s="178"/>
      <c r="GDB557" s="178"/>
      <c r="GDC557" s="178"/>
      <c r="GDD557" s="178"/>
      <c r="GDE557" s="178"/>
      <c r="GDF557" s="178"/>
      <c r="GDG557" s="178"/>
      <c r="GDH557" s="178"/>
      <c r="GDI557" s="178"/>
      <c r="GDJ557" s="178"/>
      <c r="GDK557" s="178"/>
      <c r="GDL557" s="178"/>
      <c r="GDM557" s="178"/>
      <c r="GDN557" s="178"/>
      <c r="GDO557" s="178"/>
      <c r="GDP557" s="178"/>
      <c r="GDQ557" s="178"/>
      <c r="GDR557" s="178"/>
      <c r="GDS557" s="178"/>
      <c r="GDT557" s="178"/>
      <c r="GDU557" s="178"/>
      <c r="GDV557" s="178"/>
      <c r="GDW557" s="178"/>
      <c r="GDX557" s="178"/>
      <c r="GDY557" s="178"/>
      <c r="GDZ557" s="178"/>
      <c r="GEA557" s="178"/>
      <c r="GEB557" s="178"/>
      <c r="GEC557" s="178"/>
      <c r="GED557" s="178"/>
      <c r="GEE557" s="178"/>
      <c r="GEF557" s="178"/>
      <c r="GEG557" s="178"/>
      <c r="GEH557" s="178"/>
      <c r="GEI557" s="178"/>
      <c r="GEJ557" s="178"/>
      <c r="GEK557" s="178"/>
      <c r="GEL557" s="178"/>
      <c r="GEM557" s="178"/>
      <c r="GEN557" s="178"/>
      <c r="GEO557" s="178"/>
      <c r="GEP557" s="178"/>
      <c r="GEQ557" s="178"/>
      <c r="GER557" s="178"/>
      <c r="GES557" s="178"/>
      <c r="GET557" s="178"/>
      <c r="GEU557" s="178"/>
      <c r="GEV557" s="178"/>
      <c r="GEW557" s="178"/>
      <c r="GEX557" s="178"/>
      <c r="GEY557" s="178"/>
      <c r="GEZ557" s="178"/>
      <c r="GFA557" s="178"/>
      <c r="GFB557" s="178"/>
      <c r="GFC557" s="178"/>
      <c r="GFD557" s="178"/>
      <c r="GFE557" s="178"/>
      <c r="GFF557" s="178"/>
      <c r="GFG557" s="178"/>
      <c r="GFH557" s="178"/>
      <c r="GFI557" s="178"/>
      <c r="GFJ557" s="178"/>
      <c r="GFK557" s="178"/>
      <c r="GFL557" s="178"/>
      <c r="GFM557" s="178"/>
      <c r="GFN557" s="178"/>
      <c r="GFO557" s="178"/>
      <c r="GFP557" s="178"/>
      <c r="GFQ557" s="178"/>
      <c r="GFR557" s="178"/>
      <c r="GFS557" s="178"/>
      <c r="GFT557" s="178"/>
      <c r="GFU557" s="178"/>
      <c r="GFV557" s="178"/>
      <c r="GFW557" s="178"/>
      <c r="GFX557" s="178"/>
      <c r="GFY557" s="178"/>
      <c r="GFZ557" s="178"/>
      <c r="GGA557" s="178"/>
      <c r="GGB557" s="178"/>
      <c r="GGC557" s="178"/>
      <c r="GGD557" s="178"/>
      <c r="GGE557" s="178"/>
      <c r="GGF557" s="178"/>
      <c r="GGG557" s="178"/>
      <c r="GGH557" s="178"/>
      <c r="GGI557" s="178"/>
      <c r="GGJ557" s="178"/>
      <c r="GGK557" s="178"/>
      <c r="GGL557" s="178"/>
      <c r="GGM557" s="178"/>
      <c r="GGN557" s="178"/>
      <c r="GGO557" s="178"/>
      <c r="GGP557" s="178"/>
      <c r="GGQ557" s="178"/>
      <c r="GGR557" s="178"/>
      <c r="GGS557" s="178"/>
      <c r="GGT557" s="178"/>
      <c r="GGU557" s="178"/>
      <c r="GGV557" s="178"/>
      <c r="GGW557" s="178"/>
      <c r="GGX557" s="178"/>
      <c r="GGY557" s="178"/>
      <c r="GGZ557" s="178"/>
      <c r="GHA557" s="178"/>
      <c r="GHB557" s="178"/>
      <c r="GHC557" s="178"/>
      <c r="GHD557" s="178"/>
      <c r="GHE557" s="178"/>
      <c r="GHF557" s="178"/>
      <c r="GHG557" s="178"/>
      <c r="GHH557" s="178"/>
      <c r="GHI557" s="178"/>
      <c r="GHJ557" s="178"/>
      <c r="GHK557" s="178"/>
      <c r="GHL557" s="178"/>
      <c r="GHM557" s="178"/>
      <c r="GHN557" s="178"/>
      <c r="GHO557" s="178"/>
      <c r="GHP557" s="178"/>
      <c r="GHQ557" s="178"/>
      <c r="GHR557" s="178"/>
      <c r="GHS557" s="178"/>
      <c r="GHT557" s="178"/>
      <c r="GHU557" s="178"/>
      <c r="GHV557" s="178"/>
      <c r="GHW557" s="178"/>
      <c r="GHX557" s="178"/>
      <c r="GHY557" s="178"/>
      <c r="GHZ557" s="178"/>
      <c r="GIA557" s="178"/>
      <c r="GIB557" s="178"/>
      <c r="GIC557" s="178"/>
      <c r="GID557" s="178"/>
      <c r="GIE557" s="178"/>
      <c r="GIF557" s="178"/>
      <c r="GIG557" s="178"/>
      <c r="GIH557" s="178"/>
      <c r="GII557" s="178"/>
      <c r="GIJ557" s="178"/>
      <c r="GIK557" s="178"/>
      <c r="GIL557" s="178"/>
      <c r="GIM557" s="178"/>
      <c r="GIN557" s="178"/>
      <c r="GIO557" s="178"/>
      <c r="GIP557" s="178"/>
      <c r="GIQ557" s="178"/>
      <c r="GIR557" s="178"/>
      <c r="GIS557" s="178"/>
      <c r="GIT557" s="178"/>
      <c r="GIU557" s="178"/>
      <c r="GIV557" s="178"/>
      <c r="GIW557" s="178"/>
      <c r="GIX557" s="178"/>
      <c r="GIY557" s="178"/>
      <c r="GIZ557" s="178"/>
      <c r="GJA557" s="178"/>
      <c r="GJB557" s="178"/>
      <c r="GJC557" s="178"/>
      <c r="GJD557" s="178"/>
      <c r="GJE557" s="178"/>
      <c r="GJF557" s="178"/>
      <c r="GJG557" s="178"/>
      <c r="GJH557" s="178"/>
      <c r="GJI557" s="178"/>
      <c r="GJJ557" s="178"/>
      <c r="GJK557" s="178"/>
      <c r="GJL557" s="178"/>
      <c r="GJM557" s="178"/>
      <c r="GJN557" s="178"/>
      <c r="GJO557" s="178"/>
      <c r="GJP557" s="178"/>
      <c r="GJQ557" s="178"/>
      <c r="GJR557" s="178"/>
      <c r="GJS557" s="178"/>
      <c r="GJT557" s="178"/>
      <c r="GJU557" s="178"/>
      <c r="GJV557" s="178"/>
      <c r="GJW557" s="178"/>
      <c r="GJX557" s="178"/>
      <c r="GJY557" s="178"/>
      <c r="GJZ557" s="178"/>
      <c r="GKA557" s="178"/>
      <c r="GKB557" s="178"/>
      <c r="GKC557" s="178"/>
      <c r="GKD557" s="178"/>
      <c r="GKE557" s="178"/>
      <c r="GKF557" s="178"/>
      <c r="GKG557" s="178"/>
      <c r="GKH557" s="178"/>
      <c r="GKI557" s="178"/>
      <c r="GKJ557" s="178"/>
      <c r="GKK557" s="178"/>
      <c r="GKL557" s="178"/>
      <c r="GKM557" s="178"/>
      <c r="GKN557" s="178"/>
      <c r="GKO557" s="178"/>
      <c r="GKP557" s="178"/>
      <c r="GKQ557" s="178"/>
      <c r="GKR557" s="178"/>
      <c r="GKS557" s="178"/>
      <c r="GKT557" s="178"/>
      <c r="GKU557" s="178"/>
      <c r="GKV557" s="178"/>
      <c r="GKW557" s="178"/>
      <c r="GKX557" s="178"/>
      <c r="GKY557" s="178"/>
      <c r="GKZ557" s="178"/>
      <c r="GLA557" s="178"/>
      <c r="GLB557" s="178"/>
      <c r="GLC557" s="178"/>
      <c r="GLD557" s="178"/>
      <c r="GLE557" s="178"/>
      <c r="GLF557" s="178"/>
      <c r="GLG557" s="178"/>
      <c r="GLH557" s="178"/>
      <c r="GLI557" s="178"/>
      <c r="GLJ557" s="178"/>
      <c r="GLK557" s="178"/>
      <c r="GLL557" s="178"/>
      <c r="GLM557" s="178"/>
      <c r="GLN557" s="178"/>
      <c r="GLO557" s="178"/>
      <c r="GLP557" s="178"/>
      <c r="GLQ557" s="178"/>
      <c r="GLR557" s="178"/>
      <c r="GLS557" s="178"/>
      <c r="GLT557" s="178"/>
      <c r="GLU557" s="178"/>
      <c r="GLV557" s="178"/>
      <c r="GLW557" s="178"/>
      <c r="GLX557" s="178"/>
      <c r="GLY557" s="178"/>
      <c r="GLZ557" s="178"/>
      <c r="GMA557" s="178"/>
      <c r="GMB557" s="178"/>
      <c r="GMC557" s="178"/>
      <c r="GMD557" s="178"/>
      <c r="GME557" s="178"/>
      <c r="GMF557" s="178"/>
      <c r="GMG557" s="178"/>
      <c r="GMH557" s="178"/>
      <c r="GMI557" s="178"/>
      <c r="GMJ557" s="178"/>
      <c r="GMK557" s="178"/>
      <c r="GML557" s="178"/>
      <c r="GMM557" s="178"/>
      <c r="GMN557" s="178"/>
      <c r="GMO557" s="178"/>
      <c r="GMP557" s="178"/>
      <c r="GMQ557" s="178"/>
      <c r="GMR557" s="178"/>
      <c r="GMS557" s="178"/>
      <c r="GMT557" s="178"/>
      <c r="GMU557" s="178"/>
      <c r="GMV557" s="178"/>
      <c r="GMW557" s="178"/>
      <c r="GMX557" s="178"/>
      <c r="GMY557" s="178"/>
      <c r="GMZ557" s="178"/>
      <c r="GNA557" s="178"/>
      <c r="GNB557" s="178"/>
      <c r="GNC557" s="178"/>
      <c r="GND557" s="178"/>
      <c r="GNE557" s="178"/>
      <c r="GNF557" s="178"/>
      <c r="GNG557" s="178"/>
      <c r="GNH557" s="178"/>
      <c r="GNI557" s="178"/>
      <c r="GNJ557" s="178"/>
      <c r="GNK557" s="178"/>
      <c r="GNL557" s="178"/>
      <c r="GNM557" s="178"/>
      <c r="GNN557" s="178"/>
      <c r="GNO557" s="178"/>
      <c r="GNP557" s="178"/>
      <c r="GNQ557" s="178"/>
      <c r="GNR557" s="178"/>
      <c r="GNS557" s="178"/>
      <c r="GNT557" s="178"/>
      <c r="GNU557" s="178"/>
      <c r="GNV557" s="178"/>
      <c r="GNW557" s="178"/>
      <c r="GNX557" s="178"/>
      <c r="GNY557" s="178"/>
      <c r="GNZ557" s="178"/>
      <c r="GOA557" s="178"/>
      <c r="GOB557" s="178"/>
      <c r="GOC557" s="178"/>
      <c r="GOD557" s="178"/>
      <c r="GOE557" s="178"/>
      <c r="GOF557" s="178"/>
      <c r="GOG557" s="178"/>
      <c r="GOH557" s="178"/>
      <c r="GOI557" s="178"/>
      <c r="GOJ557" s="178"/>
      <c r="GOK557" s="178"/>
      <c r="GOL557" s="178"/>
      <c r="GOM557" s="178"/>
      <c r="GON557" s="178"/>
      <c r="GOO557" s="178"/>
      <c r="GOP557" s="178"/>
      <c r="GOQ557" s="178"/>
      <c r="GOR557" s="178"/>
      <c r="GOS557" s="178"/>
      <c r="GOT557" s="178"/>
      <c r="GOU557" s="178"/>
      <c r="GOV557" s="178"/>
      <c r="GOW557" s="178"/>
      <c r="GOX557" s="178"/>
      <c r="GOY557" s="178"/>
      <c r="GOZ557" s="178"/>
      <c r="GPA557" s="178"/>
      <c r="GPB557" s="178"/>
      <c r="GPC557" s="178"/>
      <c r="GPD557" s="178"/>
      <c r="GPE557" s="178"/>
      <c r="GPF557" s="178"/>
      <c r="GPG557" s="178"/>
      <c r="GPH557" s="178"/>
      <c r="GPI557" s="178"/>
      <c r="GPJ557" s="178"/>
      <c r="GPK557" s="178"/>
      <c r="GPL557" s="178"/>
      <c r="GPM557" s="178"/>
      <c r="GPN557" s="178"/>
      <c r="GPO557" s="178"/>
      <c r="GPP557" s="178"/>
      <c r="GPQ557" s="178"/>
      <c r="GPR557" s="178"/>
      <c r="GPS557" s="178"/>
      <c r="GPT557" s="178"/>
      <c r="GPU557" s="178"/>
      <c r="GPV557" s="178"/>
      <c r="GPW557" s="178"/>
      <c r="GPX557" s="178"/>
      <c r="GPY557" s="178"/>
      <c r="GPZ557" s="178"/>
      <c r="GQA557" s="178"/>
      <c r="GQB557" s="178"/>
      <c r="GQC557" s="178"/>
      <c r="GQD557" s="178"/>
      <c r="GQE557" s="178"/>
      <c r="GQF557" s="178"/>
      <c r="GQG557" s="178"/>
      <c r="GQH557" s="178"/>
      <c r="GQI557" s="178"/>
      <c r="GQJ557" s="178"/>
      <c r="GQK557" s="178"/>
      <c r="GQL557" s="178"/>
      <c r="GQM557" s="178"/>
      <c r="GQN557" s="178"/>
      <c r="GQO557" s="178"/>
      <c r="GQP557" s="178"/>
      <c r="GQQ557" s="178"/>
      <c r="GQR557" s="178"/>
      <c r="GQS557" s="178"/>
      <c r="GQT557" s="178"/>
      <c r="GQU557" s="178"/>
      <c r="GQV557" s="178"/>
      <c r="GQW557" s="178"/>
      <c r="GQX557" s="178"/>
      <c r="GQY557" s="178"/>
      <c r="GQZ557" s="178"/>
      <c r="GRA557" s="178"/>
      <c r="GRB557" s="178"/>
      <c r="GRC557" s="178"/>
      <c r="GRD557" s="178"/>
      <c r="GRE557" s="178"/>
      <c r="GRF557" s="178"/>
      <c r="GRG557" s="178"/>
      <c r="GRH557" s="178"/>
      <c r="GRI557" s="178"/>
      <c r="GRJ557" s="178"/>
      <c r="GRK557" s="178"/>
      <c r="GRL557" s="178"/>
      <c r="GRM557" s="178"/>
      <c r="GRN557" s="178"/>
      <c r="GRO557" s="178"/>
      <c r="GRP557" s="178"/>
      <c r="GRQ557" s="178"/>
      <c r="GRR557" s="178"/>
      <c r="GRS557" s="178"/>
      <c r="GRT557" s="178"/>
      <c r="GRU557" s="178"/>
      <c r="GRV557" s="178"/>
      <c r="GRW557" s="178"/>
      <c r="GRX557" s="178"/>
      <c r="GRY557" s="178"/>
      <c r="GRZ557" s="178"/>
      <c r="GSA557" s="178"/>
      <c r="GSB557" s="178"/>
      <c r="GSC557" s="178"/>
      <c r="GSD557" s="178"/>
      <c r="GSE557" s="178"/>
      <c r="GSF557" s="178"/>
      <c r="GSG557" s="178"/>
      <c r="GSH557" s="178"/>
      <c r="GSI557" s="178"/>
      <c r="GSJ557" s="178"/>
      <c r="GSK557" s="178"/>
      <c r="GSL557" s="178"/>
      <c r="GSM557" s="178"/>
      <c r="GSN557" s="178"/>
      <c r="GSO557" s="178"/>
      <c r="GSP557" s="178"/>
      <c r="GSQ557" s="178"/>
      <c r="GSR557" s="178"/>
      <c r="GSS557" s="178"/>
      <c r="GST557" s="178"/>
      <c r="GSU557" s="178"/>
      <c r="GSV557" s="178"/>
      <c r="GSW557" s="178"/>
      <c r="GSX557" s="178"/>
      <c r="GSY557" s="178"/>
      <c r="GSZ557" s="178"/>
      <c r="GTA557" s="178"/>
      <c r="GTB557" s="178"/>
      <c r="GTC557" s="178"/>
      <c r="GTD557" s="178"/>
      <c r="GTE557" s="178"/>
      <c r="GTF557" s="178"/>
      <c r="GTG557" s="178"/>
      <c r="GTH557" s="178"/>
      <c r="GTI557" s="178"/>
      <c r="GTJ557" s="178"/>
      <c r="GTK557" s="178"/>
      <c r="GTL557" s="178"/>
      <c r="GTM557" s="178"/>
      <c r="GTN557" s="178"/>
      <c r="GTO557" s="178"/>
      <c r="GTP557" s="178"/>
      <c r="GTQ557" s="178"/>
      <c r="GTR557" s="178"/>
      <c r="GTS557" s="178"/>
      <c r="GTT557" s="178"/>
      <c r="GTU557" s="178"/>
      <c r="GTV557" s="178"/>
      <c r="GTW557" s="178"/>
      <c r="GTX557" s="178"/>
      <c r="GTY557" s="178"/>
      <c r="GTZ557" s="178"/>
      <c r="GUA557" s="178"/>
      <c r="GUB557" s="178"/>
      <c r="GUC557" s="178"/>
      <c r="GUD557" s="178"/>
      <c r="GUE557" s="178"/>
      <c r="GUF557" s="178"/>
      <c r="GUG557" s="178"/>
      <c r="GUH557" s="178"/>
      <c r="GUI557" s="178"/>
      <c r="GUJ557" s="178"/>
      <c r="GUK557" s="178"/>
      <c r="GUL557" s="178"/>
      <c r="GUM557" s="178"/>
      <c r="GUN557" s="178"/>
      <c r="GUO557" s="178"/>
      <c r="GUP557" s="178"/>
      <c r="GUQ557" s="178"/>
      <c r="GUR557" s="178"/>
      <c r="GUS557" s="178"/>
      <c r="GUT557" s="178"/>
      <c r="GUU557" s="178"/>
      <c r="GUV557" s="178"/>
      <c r="GUW557" s="178"/>
      <c r="GUX557" s="178"/>
      <c r="GUY557" s="178"/>
      <c r="GUZ557" s="178"/>
      <c r="GVA557" s="178"/>
      <c r="GVB557" s="178"/>
      <c r="GVC557" s="178"/>
      <c r="GVD557" s="178"/>
      <c r="GVE557" s="178"/>
      <c r="GVF557" s="178"/>
      <c r="GVG557" s="178"/>
      <c r="GVH557" s="178"/>
      <c r="GVI557" s="178"/>
      <c r="GVJ557" s="178"/>
      <c r="GVK557" s="178"/>
      <c r="GVL557" s="178"/>
      <c r="GVM557" s="178"/>
      <c r="GVN557" s="178"/>
      <c r="GVO557" s="178"/>
      <c r="GVP557" s="178"/>
      <c r="GVQ557" s="178"/>
      <c r="GVR557" s="178"/>
      <c r="GVS557" s="178"/>
      <c r="GVT557" s="178"/>
      <c r="GVU557" s="178"/>
      <c r="GVV557" s="178"/>
      <c r="GVW557" s="178"/>
      <c r="GVX557" s="178"/>
      <c r="GVY557" s="178"/>
      <c r="GVZ557" s="178"/>
      <c r="GWA557" s="178"/>
      <c r="GWB557" s="178"/>
      <c r="GWC557" s="178"/>
      <c r="GWD557" s="178"/>
      <c r="GWE557" s="178"/>
      <c r="GWF557" s="178"/>
      <c r="GWG557" s="178"/>
      <c r="GWH557" s="178"/>
      <c r="GWI557" s="178"/>
      <c r="GWJ557" s="178"/>
      <c r="GWK557" s="178"/>
      <c r="GWL557" s="178"/>
      <c r="GWM557" s="178"/>
      <c r="GWN557" s="178"/>
      <c r="GWO557" s="178"/>
      <c r="GWP557" s="178"/>
      <c r="GWQ557" s="178"/>
      <c r="GWR557" s="178"/>
      <c r="GWS557" s="178"/>
      <c r="GWT557" s="178"/>
      <c r="GWU557" s="178"/>
      <c r="GWV557" s="178"/>
      <c r="GWW557" s="178"/>
      <c r="GWX557" s="178"/>
      <c r="GWY557" s="178"/>
      <c r="GWZ557" s="178"/>
      <c r="GXA557" s="178"/>
      <c r="GXB557" s="178"/>
      <c r="GXC557" s="178"/>
      <c r="GXD557" s="178"/>
      <c r="GXE557" s="178"/>
      <c r="GXF557" s="178"/>
      <c r="GXG557" s="178"/>
      <c r="GXH557" s="178"/>
      <c r="GXI557" s="178"/>
      <c r="GXJ557" s="178"/>
      <c r="GXK557" s="178"/>
      <c r="GXL557" s="178"/>
      <c r="GXM557" s="178"/>
      <c r="GXN557" s="178"/>
      <c r="GXO557" s="178"/>
      <c r="GXP557" s="178"/>
      <c r="GXQ557" s="178"/>
      <c r="GXR557" s="178"/>
      <c r="GXS557" s="178"/>
      <c r="GXT557" s="178"/>
      <c r="GXU557" s="178"/>
      <c r="GXV557" s="178"/>
      <c r="GXW557" s="178"/>
      <c r="GXX557" s="178"/>
      <c r="GXY557" s="178"/>
      <c r="GXZ557" s="178"/>
      <c r="GYA557" s="178"/>
      <c r="GYB557" s="178"/>
      <c r="GYC557" s="178"/>
      <c r="GYD557" s="178"/>
      <c r="GYE557" s="178"/>
      <c r="GYF557" s="178"/>
      <c r="GYG557" s="178"/>
      <c r="GYH557" s="178"/>
      <c r="GYI557" s="178"/>
      <c r="GYJ557" s="178"/>
      <c r="GYK557" s="178"/>
      <c r="GYL557" s="178"/>
      <c r="GYM557" s="178"/>
      <c r="GYN557" s="178"/>
      <c r="GYO557" s="178"/>
      <c r="GYP557" s="178"/>
      <c r="GYQ557" s="178"/>
      <c r="GYR557" s="178"/>
      <c r="GYS557" s="178"/>
      <c r="GYT557" s="178"/>
      <c r="GYU557" s="178"/>
      <c r="GYV557" s="178"/>
      <c r="GYW557" s="178"/>
      <c r="GYX557" s="178"/>
      <c r="GYY557" s="178"/>
      <c r="GYZ557" s="178"/>
      <c r="GZA557" s="178"/>
      <c r="GZB557" s="178"/>
      <c r="GZC557" s="178"/>
      <c r="GZD557" s="178"/>
      <c r="GZE557" s="178"/>
      <c r="GZF557" s="178"/>
      <c r="GZG557" s="178"/>
      <c r="GZH557" s="178"/>
      <c r="GZI557" s="178"/>
      <c r="GZJ557" s="178"/>
      <c r="GZK557" s="178"/>
      <c r="GZL557" s="178"/>
      <c r="GZM557" s="178"/>
      <c r="GZN557" s="178"/>
      <c r="GZO557" s="178"/>
      <c r="GZP557" s="178"/>
      <c r="GZQ557" s="178"/>
      <c r="GZR557" s="178"/>
      <c r="GZS557" s="178"/>
      <c r="GZT557" s="178"/>
      <c r="GZU557" s="178"/>
      <c r="GZV557" s="178"/>
      <c r="GZW557" s="178"/>
      <c r="GZX557" s="178"/>
      <c r="GZY557" s="178"/>
      <c r="GZZ557" s="178"/>
      <c r="HAA557" s="178"/>
      <c r="HAB557" s="178"/>
      <c r="HAC557" s="178"/>
      <c r="HAD557" s="178"/>
      <c r="HAE557" s="178"/>
      <c r="HAF557" s="178"/>
      <c r="HAG557" s="178"/>
      <c r="HAH557" s="178"/>
      <c r="HAI557" s="178"/>
      <c r="HAJ557" s="178"/>
      <c r="HAK557" s="178"/>
      <c r="HAL557" s="178"/>
      <c r="HAM557" s="178"/>
      <c r="HAN557" s="178"/>
      <c r="HAO557" s="178"/>
      <c r="HAP557" s="178"/>
      <c r="HAQ557" s="178"/>
      <c r="HAR557" s="178"/>
      <c r="HAS557" s="178"/>
      <c r="HAT557" s="178"/>
      <c r="HAU557" s="178"/>
      <c r="HAV557" s="178"/>
      <c r="HAW557" s="178"/>
      <c r="HAX557" s="178"/>
      <c r="HAY557" s="178"/>
      <c r="HAZ557" s="178"/>
      <c r="HBA557" s="178"/>
      <c r="HBB557" s="178"/>
      <c r="HBC557" s="178"/>
      <c r="HBD557" s="178"/>
      <c r="HBE557" s="178"/>
      <c r="HBF557" s="178"/>
      <c r="HBG557" s="178"/>
      <c r="HBH557" s="178"/>
      <c r="HBI557" s="178"/>
      <c r="HBJ557" s="178"/>
      <c r="HBK557" s="178"/>
      <c r="HBL557" s="178"/>
      <c r="HBM557" s="178"/>
      <c r="HBN557" s="178"/>
      <c r="HBO557" s="178"/>
      <c r="HBP557" s="178"/>
      <c r="HBQ557" s="178"/>
      <c r="HBR557" s="178"/>
      <c r="HBS557" s="178"/>
      <c r="HBT557" s="178"/>
      <c r="HBU557" s="178"/>
      <c r="HBV557" s="178"/>
      <c r="HBW557" s="178"/>
      <c r="HBX557" s="178"/>
      <c r="HBY557" s="178"/>
      <c r="HBZ557" s="178"/>
      <c r="HCA557" s="178"/>
      <c r="HCB557" s="178"/>
      <c r="HCC557" s="178"/>
      <c r="HCD557" s="178"/>
      <c r="HCE557" s="178"/>
      <c r="HCF557" s="178"/>
      <c r="HCG557" s="178"/>
      <c r="HCH557" s="178"/>
      <c r="HCI557" s="178"/>
      <c r="HCJ557" s="178"/>
      <c r="HCK557" s="178"/>
      <c r="HCL557" s="178"/>
      <c r="HCM557" s="178"/>
      <c r="HCN557" s="178"/>
      <c r="HCO557" s="178"/>
      <c r="HCP557" s="178"/>
      <c r="HCQ557" s="178"/>
      <c r="HCR557" s="178"/>
      <c r="HCS557" s="178"/>
      <c r="HCT557" s="178"/>
      <c r="HCU557" s="178"/>
      <c r="HCV557" s="178"/>
      <c r="HCW557" s="178"/>
      <c r="HCX557" s="178"/>
      <c r="HCY557" s="178"/>
      <c r="HCZ557" s="178"/>
      <c r="HDA557" s="178"/>
      <c r="HDB557" s="178"/>
      <c r="HDC557" s="178"/>
      <c r="HDD557" s="178"/>
      <c r="HDE557" s="178"/>
      <c r="HDF557" s="178"/>
      <c r="HDG557" s="178"/>
      <c r="HDH557" s="178"/>
      <c r="HDI557" s="178"/>
      <c r="HDJ557" s="178"/>
      <c r="HDK557" s="178"/>
      <c r="HDL557" s="178"/>
      <c r="HDM557" s="178"/>
      <c r="HDN557" s="178"/>
      <c r="HDO557" s="178"/>
      <c r="HDP557" s="178"/>
      <c r="HDQ557" s="178"/>
      <c r="HDR557" s="178"/>
      <c r="HDS557" s="178"/>
      <c r="HDT557" s="178"/>
      <c r="HDU557" s="178"/>
      <c r="HDV557" s="178"/>
      <c r="HDW557" s="178"/>
      <c r="HDX557" s="178"/>
      <c r="HDY557" s="178"/>
      <c r="HDZ557" s="178"/>
      <c r="HEA557" s="178"/>
      <c r="HEB557" s="178"/>
      <c r="HEC557" s="178"/>
      <c r="HED557" s="178"/>
      <c r="HEE557" s="178"/>
      <c r="HEF557" s="178"/>
      <c r="HEG557" s="178"/>
      <c r="HEH557" s="178"/>
      <c r="HEI557" s="178"/>
      <c r="HEJ557" s="178"/>
      <c r="HEK557" s="178"/>
      <c r="HEL557" s="178"/>
      <c r="HEM557" s="178"/>
      <c r="HEN557" s="178"/>
      <c r="HEO557" s="178"/>
      <c r="HEP557" s="178"/>
      <c r="HEQ557" s="178"/>
      <c r="HER557" s="178"/>
      <c r="HES557" s="178"/>
      <c r="HET557" s="178"/>
      <c r="HEU557" s="178"/>
      <c r="HEV557" s="178"/>
      <c r="HEW557" s="178"/>
      <c r="HEX557" s="178"/>
      <c r="HEY557" s="178"/>
      <c r="HEZ557" s="178"/>
      <c r="HFA557" s="178"/>
      <c r="HFB557" s="178"/>
      <c r="HFC557" s="178"/>
      <c r="HFD557" s="178"/>
      <c r="HFE557" s="178"/>
      <c r="HFF557" s="178"/>
      <c r="HFG557" s="178"/>
      <c r="HFH557" s="178"/>
      <c r="HFI557" s="178"/>
      <c r="HFJ557" s="178"/>
      <c r="HFK557" s="178"/>
      <c r="HFL557" s="178"/>
      <c r="HFM557" s="178"/>
      <c r="HFN557" s="178"/>
      <c r="HFO557" s="178"/>
      <c r="HFP557" s="178"/>
      <c r="HFQ557" s="178"/>
      <c r="HFR557" s="178"/>
      <c r="HFS557" s="178"/>
      <c r="HFT557" s="178"/>
      <c r="HFU557" s="178"/>
      <c r="HFV557" s="178"/>
      <c r="HFW557" s="178"/>
      <c r="HFX557" s="178"/>
      <c r="HFY557" s="178"/>
      <c r="HFZ557" s="178"/>
      <c r="HGA557" s="178"/>
      <c r="HGB557" s="178"/>
      <c r="HGC557" s="178"/>
      <c r="HGD557" s="178"/>
      <c r="HGE557" s="178"/>
      <c r="HGF557" s="178"/>
      <c r="HGG557" s="178"/>
      <c r="HGH557" s="178"/>
      <c r="HGI557" s="178"/>
      <c r="HGJ557" s="178"/>
      <c r="HGK557" s="178"/>
      <c r="HGL557" s="178"/>
      <c r="HGM557" s="178"/>
      <c r="HGN557" s="178"/>
      <c r="HGO557" s="178"/>
      <c r="HGP557" s="178"/>
      <c r="HGQ557" s="178"/>
      <c r="HGR557" s="178"/>
      <c r="HGS557" s="178"/>
      <c r="HGT557" s="178"/>
      <c r="HGU557" s="178"/>
      <c r="HGV557" s="178"/>
      <c r="HGW557" s="178"/>
      <c r="HGX557" s="178"/>
      <c r="HGY557" s="178"/>
      <c r="HGZ557" s="178"/>
      <c r="HHA557" s="178"/>
      <c r="HHB557" s="178"/>
      <c r="HHC557" s="178"/>
      <c r="HHD557" s="178"/>
      <c r="HHE557" s="178"/>
      <c r="HHF557" s="178"/>
      <c r="HHG557" s="178"/>
      <c r="HHH557" s="178"/>
      <c r="HHI557" s="178"/>
      <c r="HHJ557" s="178"/>
      <c r="HHK557" s="178"/>
      <c r="HHL557" s="178"/>
      <c r="HHM557" s="178"/>
      <c r="HHN557" s="178"/>
      <c r="HHO557" s="178"/>
      <c r="HHP557" s="178"/>
      <c r="HHQ557" s="178"/>
      <c r="HHR557" s="178"/>
      <c r="HHS557" s="178"/>
      <c r="HHT557" s="178"/>
      <c r="HHU557" s="178"/>
      <c r="HHV557" s="178"/>
      <c r="HHW557" s="178"/>
      <c r="HHX557" s="178"/>
      <c r="HHY557" s="178"/>
      <c r="HHZ557" s="178"/>
      <c r="HIA557" s="178"/>
      <c r="HIB557" s="178"/>
      <c r="HIC557" s="178"/>
      <c r="HID557" s="178"/>
      <c r="HIE557" s="178"/>
      <c r="HIF557" s="178"/>
      <c r="HIG557" s="178"/>
      <c r="HIH557" s="178"/>
      <c r="HII557" s="178"/>
      <c r="HIJ557" s="178"/>
      <c r="HIK557" s="178"/>
      <c r="HIL557" s="178"/>
      <c r="HIM557" s="178"/>
      <c r="HIN557" s="178"/>
      <c r="HIO557" s="178"/>
      <c r="HIP557" s="178"/>
      <c r="HIQ557" s="178"/>
      <c r="HIR557" s="178"/>
      <c r="HIS557" s="178"/>
      <c r="HIT557" s="178"/>
      <c r="HIU557" s="178"/>
      <c r="HIV557" s="178"/>
      <c r="HIW557" s="178"/>
      <c r="HIX557" s="178"/>
      <c r="HIY557" s="178"/>
      <c r="HIZ557" s="178"/>
      <c r="HJA557" s="178"/>
      <c r="HJB557" s="178"/>
      <c r="HJC557" s="178"/>
      <c r="HJD557" s="178"/>
      <c r="HJE557" s="178"/>
      <c r="HJF557" s="178"/>
      <c r="HJG557" s="178"/>
      <c r="HJH557" s="178"/>
      <c r="HJI557" s="178"/>
      <c r="HJJ557" s="178"/>
      <c r="HJK557" s="178"/>
      <c r="HJL557" s="178"/>
      <c r="HJM557" s="178"/>
      <c r="HJN557" s="178"/>
      <c r="HJO557" s="178"/>
      <c r="HJP557" s="178"/>
      <c r="HJQ557" s="178"/>
      <c r="HJR557" s="178"/>
      <c r="HJS557" s="178"/>
      <c r="HJT557" s="178"/>
      <c r="HJU557" s="178"/>
      <c r="HJV557" s="178"/>
      <c r="HJW557" s="178"/>
      <c r="HJX557" s="178"/>
      <c r="HJY557" s="178"/>
      <c r="HJZ557" s="178"/>
      <c r="HKA557" s="178"/>
      <c r="HKB557" s="178"/>
      <c r="HKC557" s="178"/>
      <c r="HKD557" s="178"/>
      <c r="HKE557" s="178"/>
      <c r="HKF557" s="178"/>
      <c r="HKG557" s="178"/>
      <c r="HKH557" s="178"/>
      <c r="HKI557" s="178"/>
      <c r="HKJ557" s="178"/>
      <c r="HKK557" s="178"/>
      <c r="HKL557" s="178"/>
      <c r="HKM557" s="178"/>
      <c r="HKN557" s="178"/>
      <c r="HKO557" s="178"/>
      <c r="HKP557" s="178"/>
      <c r="HKQ557" s="178"/>
      <c r="HKR557" s="178"/>
      <c r="HKS557" s="178"/>
      <c r="HKT557" s="178"/>
      <c r="HKU557" s="178"/>
      <c r="HKV557" s="178"/>
      <c r="HKW557" s="178"/>
      <c r="HKX557" s="178"/>
      <c r="HKY557" s="178"/>
      <c r="HKZ557" s="178"/>
      <c r="HLA557" s="178"/>
      <c r="HLB557" s="178"/>
      <c r="HLC557" s="178"/>
      <c r="HLD557" s="178"/>
      <c r="HLE557" s="178"/>
      <c r="HLF557" s="178"/>
      <c r="HLG557" s="178"/>
      <c r="HLH557" s="178"/>
      <c r="HLI557" s="178"/>
      <c r="HLJ557" s="178"/>
      <c r="HLK557" s="178"/>
      <c r="HLL557" s="178"/>
      <c r="HLM557" s="178"/>
      <c r="HLN557" s="178"/>
      <c r="HLO557" s="178"/>
      <c r="HLP557" s="178"/>
      <c r="HLQ557" s="178"/>
      <c r="HLR557" s="178"/>
      <c r="HLS557" s="178"/>
      <c r="HLT557" s="178"/>
      <c r="HLU557" s="178"/>
      <c r="HLV557" s="178"/>
      <c r="HLW557" s="178"/>
      <c r="HLX557" s="178"/>
      <c r="HLY557" s="178"/>
      <c r="HLZ557" s="178"/>
      <c r="HMA557" s="178"/>
      <c r="HMB557" s="178"/>
      <c r="HMC557" s="178"/>
      <c r="HMD557" s="178"/>
      <c r="HME557" s="178"/>
      <c r="HMF557" s="178"/>
      <c r="HMG557" s="178"/>
      <c r="HMH557" s="178"/>
      <c r="HMI557" s="178"/>
      <c r="HMJ557" s="178"/>
      <c r="HMK557" s="178"/>
      <c r="HML557" s="178"/>
      <c r="HMM557" s="178"/>
      <c r="HMN557" s="178"/>
      <c r="HMO557" s="178"/>
      <c r="HMP557" s="178"/>
      <c r="HMQ557" s="178"/>
      <c r="HMR557" s="178"/>
      <c r="HMS557" s="178"/>
      <c r="HMT557" s="178"/>
      <c r="HMU557" s="178"/>
      <c r="HMV557" s="178"/>
      <c r="HMW557" s="178"/>
      <c r="HMX557" s="178"/>
      <c r="HMY557" s="178"/>
      <c r="HMZ557" s="178"/>
      <c r="HNA557" s="178"/>
      <c r="HNB557" s="178"/>
      <c r="HNC557" s="178"/>
      <c r="HND557" s="178"/>
      <c r="HNE557" s="178"/>
      <c r="HNF557" s="178"/>
      <c r="HNG557" s="178"/>
      <c r="HNH557" s="178"/>
      <c r="HNI557" s="178"/>
      <c r="HNJ557" s="178"/>
      <c r="HNK557" s="178"/>
      <c r="HNL557" s="178"/>
      <c r="HNM557" s="178"/>
      <c r="HNN557" s="178"/>
      <c r="HNO557" s="178"/>
      <c r="HNP557" s="178"/>
      <c r="HNQ557" s="178"/>
      <c r="HNR557" s="178"/>
      <c r="HNS557" s="178"/>
      <c r="HNT557" s="178"/>
      <c r="HNU557" s="178"/>
      <c r="HNV557" s="178"/>
      <c r="HNW557" s="178"/>
      <c r="HNX557" s="178"/>
      <c r="HNY557" s="178"/>
      <c r="HNZ557" s="178"/>
      <c r="HOA557" s="178"/>
      <c r="HOB557" s="178"/>
      <c r="HOC557" s="178"/>
      <c r="HOD557" s="178"/>
      <c r="HOE557" s="178"/>
      <c r="HOF557" s="178"/>
      <c r="HOG557" s="178"/>
      <c r="HOH557" s="178"/>
      <c r="HOI557" s="178"/>
      <c r="HOJ557" s="178"/>
      <c r="HOK557" s="178"/>
      <c r="HOL557" s="178"/>
      <c r="HOM557" s="178"/>
      <c r="HON557" s="178"/>
      <c r="HOO557" s="178"/>
      <c r="HOP557" s="178"/>
      <c r="HOQ557" s="178"/>
      <c r="HOR557" s="178"/>
      <c r="HOS557" s="178"/>
      <c r="HOT557" s="178"/>
      <c r="HOU557" s="178"/>
      <c r="HOV557" s="178"/>
      <c r="HOW557" s="178"/>
      <c r="HOX557" s="178"/>
      <c r="HOY557" s="178"/>
      <c r="HOZ557" s="178"/>
      <c r="HPA557" s="178"/>
      <c r="HPB557" s="178"/>
      <c r="HPC557" s="178"/>
      <c r="HPD557" s="178"/>
      <c r="HPE557" s="178"/>
      <c r="HPF557" s="178"/>
      <c r="HPG557" s="178"/>
      <c r="HPH557" s="178"/>
      <c r="HPI557" s="178"/>
      <c r="HPJ557" s="178"/>
      <c r="HPK557" s="178"/>
      <c r="HPL557" s="178"/>
      <c r="HPM557" s="178"/>
      <c r="HPN557" s="178"/>
      <c r="HPO557" s="178"/>
      <c r="HPP557" s="178"/>
      <c r="HPQ557" s="178"/>
      <c r="HPR557" s="178"/>
      <c r="HPS557" s="178"/>
      <c r="HPT557" s="178"/>
      <c r="HPU557" s="178"/>
      <c r="HPV557" s="178"/>
      <c r="HPW557" s="178"/>
      <c r="HPX557" s="178"/>
      <c r="HPY557" s="178"/>
      <c r="HPZ557" s="178"/>
      <c r="HQA557" s="178"/>
      <c r="HQB557" s="178"/>
      <c r="HQC557" s="178"/>
      <c r="HQD557" s="178"/>
      <c r="HQE557" s="178"/>
      <c r="HQF557" s="178"/>
      <c r="HQG557" s="178"/>
      <c r="HQH557" s="178"/>
      <c r="HQI557" s="178"/>
      <c r="HQJ557" s="178"/>
      <c r="HQK557" s="178"/>
      <c r="HQL557" s="178"/>
      <c r="HQM557" s="178"/>
      <c r="HQN557" s="178"/>
      <c r="HQO557" s="178"/>
      <c r="HQP557" s="178"/>
      <c r="HQQ557" s="178"/>
      <c r="HQR557" s="178"/>
      <c r="HQS557" s="178"/>
      <c r="HQT557" s="178"/>
      <c r="HQU557" s="178"/>
      <c r="HQV557" s="178"/>
      <c r="HQW557" s="178"/>
      <c r="HQX557" s="178"/>
      <c r="HQY557" s="178"/>
      <c r="HQZ557" s="178"/>
      <c r="HRA557" s="178"/>
      <c r="HRB557" s="178"/>
      <c r="HRC557" s="178"/>
      <c r="HRD557" s="178"/>
      <c r="HRE557" s="178"/>
      <c r="HRF557" s="178"/>
      <c r="HRG557" s="178"/>
      <c r="HRH557" s="178"/>
      <c r="HRI557" s="178"/>
      <c r="HRJ557" s="178"/>
      <c r="HRK557" s="178"/>
      <c r="HRL557" s="178"/>
      <c r="HRM557" s="178"/>
      <c r="HRN557" s="178"/>
      <c r="HRO557" s="178"/>
      <c r="HRP557" s="178"/>
      <c r="HRQ557" s="178"/>
      <c r="HRR557" s="178"/>
      <c r="HRS557" s="178"/>
      <c r="HRT557" s="178"/>
      <c r="HRU557" s="178"/>
      <c r="HRV557" s="178"/>
      <c r="HRW557" s="178"/>
      <c r="HRX557" s="178"/>
      <c r="HRY557" s="178"/>
      <c r="HRZ557" s="178"/>
      <c r="HSA557" s="178"/>
      <c r="HSB557" s="178"/>
      <c r="HSC557" s="178"/>
      <c r="HSD557" s="178"/>
      <c r="HSE557" s="178"/>
      <c r="HSF557" s="178"/>
      <c r="HSG557" s="178"/>
      <c r="HSH557" s="178"/>
      <c r="HSI557" s="178"/>
      <c r="HSJ557" s="178"/>
      <c r="HSK557" s="178"/>
      <c r="HSL557" s="178"/>
      <c r="HSM557" s="178"/>
      <c r="HSN557" s="178"/>
      <c r="HSO557" s="178"/>
      <c r="HSP557" s="178"/>
      <c r="HSQ557" s="178"/>
      <c r="HSR557" s="178"/>
      <c r="HSS557" s="178"/>
      <c r="HST557" s="178"/>
      <c r="HSU557" s="178"/>
      <c r="HSV557" s="178"/>
      <c r="HSW557" s="178"/>
      <c r="HSX557" s="178"/>
      <c r="HSY557" s="178"/>
      <c r="HSZ557" s="178"/>
      <c r="HTA557" s="178"/>
      <c r="HTB557" s="178"/>
      <c r="HTC557" s="178"/>
      <c r="HTD557" s="178"/>
      <c r="HTE557" s="178"/>
      <c r="HTF557" s="178"/>
      <c r="HTG557" s="178"/>
      <c r="HTH557" s="178"/>
      <c r="HTI557" s="178"/>
      <c r="HTJ557" s="178"/>
      <c r="HTK557" s="178"/>
      <c r="HTL557" s="178"/>
      <c r="HTM557" s="178"/>
      <c r="HTN557" s="178"/>
      <c r="HTO557" s="178"/>
      <c r="HTP557" s="178"/>
      <c r="HTQ557" s="178"/>
      <c r="HTR557" s="178"/>
      <c r="HTS557" s="178"/>
      <c r="HTT557" s="178"/>
      <c r="HTU557" s="178"/>
      <c r="HTV557" s="178"/>
      <c r="HTW557" s="178"/>
      <c r="HTX557" s="178"/>
      <c r="HTY557" s="178"/>
      <c r="HTZ557" s="178"/>
      <c r="HUA557" s="178"/>
      <c r="HUB557" s="178"/>
      <c r="HUC557" s="178"/>
      <c r="HUD557" s="178"/>
      <c r="HUE557" s="178"/>
      <c r="HUF557" s="178"/>
      <c r="HUG557" s="178"/>
      <c r="HUH557" s="178"/>
      <c r="HUI557" s="178"/>
      <c r="HUJ557" s="178"/>
      <c r="HUK557" s="178"/>
      <c r="HUL557" s="178"/>
      <c r="HUM557" s="178"/>
      <c r="HUN557" s="178"/>
      <c r="HUO557" s="178"/>
      <c r="HUP557" s="178"/>
      <c r="HUQ557" s="178"/>
      <c r="HUR557" s="178"/>
      <c r="HUS557" s="178"/>
      <c r="HUT557" s="178"/>
      <c r="HUU557" s="178"/>
      <c r="HUV557" s="178"/>
      <c r="HUW557" s="178"/>
      <c r="HUX557" s="178"/>
      <c r="HUY557" s="178"/>
      <c r="HUZ557" s="178"/>
      <c r="HVA557" s="178"/>
      <c r="HVB557" s="178"/>
      <c r="HVC557" s="178"/>
      <c r="HVD557" s="178"/>
      <c r="HVE557" s="178"/>
      <c r="HVF557" s="178"/>
      <c r="HVG557" s="178"/>
      <c r="HVH557" s="178"/>
      <c r="HVI557" s="178"/>
      <c r="HVJ557" s="178"/>
      <c r="HVK557" s="178"/>
      <c r="HVL557" s="178"/>
      <c r="HVM557" s="178"/>
      <c r="HVN557" s="178"/>
      <c r="HVO557" s="178"/>
      <c r="HVP557" s="178"/>
      <c r="HVQ557" s="178"/>
      <c r="HVR557" s="178"/>
      <c r="HVS557" s="178"/>
      <c r="HVT557" s="178"/>
      <c r="HVU557" s="178"/>
      <c r="HVV557" s="178"/>
      <c r="HVW557" s="178"/>
      <c r="HVX557" s="178"/>
      <c r="HVY557" s="178"/>
      <c r="HVZ557" s="178"/>
      <c r="HWA557" s="178"/>
      <c r="HWB557" s="178"/>
      <c r="HWC557" s="178"/>
      <c r="HWD557" s="178"/>
      <c r="HWE557" s="178"/>
      <c r="HWF557" s="178"/>
      <c r="HWG557" s="178"/>
      <c r="HWH557" s="178"/>
      <c r="HWI557" s="178"/>
      <c r="HWJ557" s="178"/>
      <c r="HWK557" s="178"/>
      <c r="HWL557" s="178"/>
      <c r="HWM557" s="178"/>
      <c r="HWN557" s="178"/>
      <c r="HWO557" s="178"/>
      <c r="HWP557" s="178"/>
      <c r="HWQ557" s="178"/>
      <c r="HWR557" s="178"/>
      <c r="HWS557" s="178"/>
      <c r="HWT557" s="178"/>
      <c r="HWU557" s="178"/>
      <c r="HWV557" s="178"/>
      <c r="HWW557" s="178"/>
      <c r="HWX557" s="178"/>
      <c r="HWY557" s="178"/>
      <c r="HWZ557" s="178"/>
      <c r="HXA557" s="178"/>
      <c r="HXB557" s="178"/>
      <c r="HXC557" s="178"/>
      <c r="HXD557" s="178"/>
      <c r="HXE557" s="178"/>
      <c r="HXF557" s="178"/>
      <c r="HXG557" s="178"/>
      <c r="HXH557" s="178"/>
      <c r="HXI557" s="178"/>
      <c r="HXJ557" s="178"/>
      <c r="HXK557" s="178"/>
      <c r="HXL557" s="178"/>
      <c r="HXM557" s="178"/>
      <c r="HXN557" s="178"/>
      <c r="HXO557" s="178"/>
      <c r="HXP557" s="178"/>
      <c r="HXQ557" s="178"/>
      <c r="HXR557" s="178"/>
      <c r="HXS557" s="178"/>
      <c r="HXT557" s="178"/>
      <c r="HXU557" s="178"/>
      <c r="HXV557" s="178"/>
      <c r="HXW557" s="178"/>
      <c r="HXX557" s="178"/>
      <c r="HXY557" s="178"/>
      <c r="HXZ557" s="178"/>
      <c r="HYA557" s="178"/>
      <c r="HYB557" s="178"/>
      <c r="HYC557" s="178"/>
      <c r="HYD557" s="178"/>
      <c r="HYE557" s="178"/>
      <c r="HYF557" s="178"/>
      <c r="HYG557" s="178"/>
      <c r="HYH557" s="178"/>
      <c r="HYI557" s="178"/>
      <c r="HYJ557" s="178"/>
      <c r="HYK557" s="178"/>
      <c r="HYL557" s="178"/>
      <c r="HYM557" s="178"/>
      <c r="HYN557" s="178"/>
      <c r="HYO557" s="178"/>
      <c r="HYP557" s="178"/>
      <c r="HYQ557" s="178"/>
      <c r="HYR557" s="178"/>
      <c r="HYS557" s="178"/>
      <c r="HYT557" s="178"/>
      <c r="HYU557" s="178"/>
      <c r="HYV557" s="178"/>
      <c r="HYW557" s="178"/>
      <c r="HYX557" s="178"/>
      <c r="HYY557" s="178"/>
      <c r="HYZ557" s="178"/>
      <c r="HZA557" s="178"/>
      <c r="HZB557" s="178"/>
      <c r="HZC557" s="178"/>
      <c r="HZD557" s="178"/>
      <c r="HZE557" s="178"/>
      <c r="HZF557" s="178"/>
      <c r="HZG557" s="178"/>
      <c r="HZH557" s="178"/>
      <c r="HZI557" s="178"/>
      <c r="HZJ557" s="178"/>
      <c r="HZK557" s="178"/>
      <c r="HZL557" s="178"/>
      <c r="HZM557" s="178"/>
      <c r="HZN557" s="178"/>
      <c r="HZO557" s="178"/>
      <c r="HZP557" s="178"/>
      <c r="HZQ557" s="178"/>
      <c r="HZR557" s="178"/>
      <c r="HZS557" s="178"/>
      <c r="HZT557" s="178"/>
      <c r="HZU557" s="178"/>
      <c r="HZV557" s="178"/>
      <c r="HZW557" s="178"/>
      <c r="HZX557" s="178"/>
      <c r="HZY557" s="178"/>
      <c r="HZZ557" s="178"/>
      <c r="IAA557" s="178"/>
      <c r="IAB557" s="178"/>
      <c r="IAC557" s="178"/>
      <c r="IAD557" s="178"/>
      <c r="IAE557" s="178"/>
      <c r="IAF557" s="178"/>
      <c r="IAG557" s="178"/>
      <c r="IAH557" s="178"/>
      <c r="IAI557" s="178"/>
      <c r="IAJ557" s="178"/>
      <c r="IAK557" s="178"/>
      <c r="IAL557" s="178"/>
      <c r="IAM557" s="178"/>
      <c r="IAN557" s="178"/>
      <c r="IAO557" s="178"/>
      <c r="IAP557" s="178"/>
      <c r="IAQ557" s="178"/>
      <c r="IAR557" s="178"/>
      <c r="IAS557" s="178"/>
      <c r="IAT557" s="178"/>
      <c r="IAU557" s="178"/>
      <c r="IAV557" s="178"/>
      <c r="IAW557" s="178"/>
      <c r="IAX557" s="178"/>
      <c r="IAY557" s="178"/>
      <c r="IAZ557" s="178"/>
      <c r="IBA557" s="178"/>
      <c r="IBB557" s="178"/>
      <c r="IBC557" s="178"/>
      <c r="IBD557" s="178"/>
      <c r="IBE557" s="178"/>
      <c r="IBF557" s="178"/>
      <c r="IBG557" s="178"/>
      <c r="IBH557" s="178"/>
      <c r="IBI557" s="178"/>
      <c r="IBJ557" s="178"/>
      <c r="IBK557" s="178"/>
      <c r="IBL557" s="178"/>
      <c r="IBM557" s="178"/>
      <c r="IBN557" s="178"/>
      <c r="IBO557" s="178"/>
      <c r="IBP557" s="178"/>
      <c r="IBQ557" s="178"/>
      <c r="IBR557" s="178"/>
      <c r="IBS557" s="178"/>
      <c r="IBT557" s="178"/>
      <c r="IBU557" s="178"/>
      <c r="IBV557" s="178"/>
      <c r="IBW557" s="178"/>
      <c r="IBX557" s="178"/>
      <c r="IBY557" s="178"/>
      <c r="IBZ557" s="178"/>
      <c r="ICA557" s="178"/>
      <c r="ICB557" s="178"/>
      <c r="ICC557" s="178"/>
      <c r="ICD557" s="178"/>
      <c r="ICE557" s="178"/>
      <c r="ICF557" s="178"/>
      <c r="ICG557" s="178"/>
      <c r="ICH557" s="178"/>
      <c r="ICI557" s="178"/>
      <c r="ICJ557" s="178"/>
      <c r="ICK557" s="178"/>
      <c r="ICL557" s="178"/>
      <c r="ICM557" s="178"/>
      <c r="ICN557" s="178"/>
      <c r="ICO557" s="178"/>
      <c r="ICP557" s="178"/>
      <c r="ICQ557" s="178"/>
      <c r="ICR557" s="178"/>
      <c r="ICS557" s="178"/>
      <c r="ICT557" s="178"/>
      <c r="ICU557" s="178"/>
      <c r="ICV557" s="178"/>
      <c r="ICW557" s="178"/>
      <c r="ICX557" s="178"/>
      <c r="ICY557" s="178"/>
      <c r="ICZ557" s="178"/>
      <c r="IDA557" s="178"/>
      <c r="IDB557" s="178"/>
      <c r="IDC557" s="178"/>
      <c r="IDD557" s="178"/>
      <c r="IDE557" s="178"/>
      <c r="IDF557" s="178"/>
      <c r="IDG557" s="178"/>
      <c r="IDH557" s="178"/>
      <c r="IDI557" s="178"/>
      <c r="IDJ557" s="178"/>
      <c r="IDK557" s="178"/>
      <c r="IDL557" s="178"/>
      <c r="IDM557" s="178"/>
      <c r="IDN557" s="178"/>
      <c r="IDO557" s="178"/>
      <c r="IDP557" s="178"/>
      <c r="IDQ557" s="178"/>
      <c r="IDR557" s="178"/>
      <c r="IDS557" s="178"/>
      <c r="IDT557" s="178"/>
      <c r="IDU557" s="178"/>
      <c r="IDV557" s="178"/>
      <c r="IDW557" s="178"/>
      <c r="IDX557" s="178"/>
      <c r="IDY557" s="178"/>
      <c r="IDZ557" s="178"/>
      <c r="IEA557" s="178"/>
      <c r="IEB557" s="178"/>
      <c r="IEC557" s="178"/>
      <c r="IED557" s="178"/>
      <c r="IEE557" s="178"/>
      <c r="IEF557" s="178"/>
      <c r="IEG557" s="178"/>
      <c r="IEH557" s="178"/>
      <c r="IEI557" s="178"/>
      <c r="IEJ557" s="178"/>
      <c r="IEK557" s="178"/>
      <c r="IEL557" s="178"/>
      <c r="IEM557" s="178"/>
      <c r="IEN557" s="178"/>
      <c r="IEO557" s="178"/>
      <c r="IEP557" s="178"/>
      <c r="IEQ557" s="178"/>
      <c r="IER557" s="178"/>
      <c r="IES557" s="178"/>
      <c r="IET557" s="178"/>
      <c r="IEU557" s="178"/>
      <c r="IEV557" s="178"/>
      <c r="IEW557" s="178"/>
      <c r="IEX557" s="178"/>
      <c r="IEY557" s="178"/>
      <c r="IEZ557" s="178"/>
      <c r="IFA557" s="178"/>
      <c r="IFB557" s="178"/>
      <c r="IFC557" s="178"/>
      <c r="IFD557" s="178"/>
      <c r="IFE557" s="178"/>
      <c r="IFF557" s="178"/>
      <c r="IFG557" s="178"/>
      <c r="IFH557" s="178"/>
      <c r="IFI557" s="178"/>
      <c r="IFJ557" s="178"/>
      <c r="IFK557" s="178"/>
      <c r="IFL557" s="178"/>
      <c r="IFM557" s="178"/>
      <c r="IFN557" s="178"/>
      <c r="IFO557" s="178"/>
      <c r="IFP557" s="178"/>
      <c r="IFQ557" s="178"/>
      <c r="IFR557" s="178"/>
      <c r="IFS557" s="178"/>
      <c r="IFT557" s="178"/>
      <c r="IFU557" s="178"/>
      <c r="IFV557" s="178"/>
      <c r="IFW557" s="178"/>
      <c r="IFX557" s="178"/>
      <c r="IFY557" s="178"/>
      <c r="IFZ557" s="178"/>
      <c r="IGA557" s="178"/>
      <c r="IGB557" s="178"/>
      <c r="IGC557" s="178"/>
      <c r="IGD557" s="178"/>
      <c r="IGE557" s="178"/>
      <c r="IGF557" s="178"/>
      <c r="IGG557" s="178"/>
      <c r="IGH557" s="178"/>
      <c r="IGI557" s="178"/>
      <c r="IGJ557" s="178"/>
      <c r="IGK557" s="178"/>
      <c r="IGL557" s="178"/>
      <c r="IGM557" s="178"/>
      <c r="IGN557" s="178"/>
      <c r="IGO557" s="178"/>
      <c r="IGP557" s="178"/>
      <c r="IGQ557" s="178"/>
      <c r="IGR557" s="178"/>
      <c r="IGS557" s="178"/>
      <c r="IGT557" s="178"/>
      <c r="IGU557" s="178"/>
      <c r="IGV557" s="178"/>
      <c r="IGW557" s="178"/>
      <c r="IGX557" s="178"/>
      <c r="IGY557" s="178"/>
      <c r="IGZ557" s="178"/>
      <c r="IHA557" s="178"/>
      <c r="IHB557" s="178"/>
      <c r="IHC557" s="178"/>
      <c r="IHD557" s="178"/>
      <c r="IHE557" s="178"/>
      <c r="IHF557" s="178"/>
      <c r="IHG557" s="178"/>
      <c r="IHH557" s="178"/>
      <c r="IHI557" s="178"/>
      <c r="IHJ557" s="178"/>
      <c r="IHK557" s="178"/>
      <c r="IHL557" s="178"/>
      <c r="IHM557" s="178"/>
      <c r="IHN557" s="178"/>
      <c r="IHO557" s="178"/>
      <c r="IHP557" s="178"/>
      <c r="IHQ557" s="178"/>
      <c r="IHR557" s="178"/>
      <c r="IHS557" s="178"/>
      <c r="IHT557" s="178"/>
      <c r="IHU557" s="178"/>
      <c r="IHV557" s="178"/>
      <c r="IHW557" s="178"/>
      <c r="IHX557" s="178"/>
      <c r="IHY557" s="178"/>
      <c r="IHZ557" s="178"/>
      <c r="IIA557" s="178"/>
      <c r="IIB557" s="178"/>
      <c r="IIC557" s="178"/>
      <c r="IID557" s="178"/>
      <c r="IIE557" s="178"/>
      <c r="IIF557" s="178"/>
      <c r="IIG557" s="178"/>
      <c r="IIH557" s="178"/>
      <c r="III557" s="178"/>
      <c r="IIJ557" s="178"/>
      <c r="IIK557" s="178"/>
      <c r="IIL557" s="178"/>
      <c r="IIM557" s="178"/>
      <c r="IIN557" s="178"/>
      <c r="IIO557" s="178"/>
      <c r="IIP557" s="178"/>
      <c r="IIQ557" s="178"/>
      <c r="IIR557" s="178"/>
      <c r="IIS557" s="178"/>
      <c r="IIT557" s="178"/>
      <c r="IIU557" s="178"/>
      <c r="IIV557" s="178"/>
      <c r="IIW557" s="178"/>
      <c r="IIX557" s="178"/>
      <c r="IIY557" s="178"/>
      <c r="IIZ557" s="178"/>
      <c r="IJA557" s="178"/>
      <c r="IJB557" s="178"/>
      <c r="IJC557" s="178"/>
      <c r="IJD557" s="178"/>
      <c r="IJE557" s="178"/>
      <c r="IJF557" s="178"/>
      <c r="IJG557" s="178"/>
      <c r="IJH557" s="178"/>
      <c r="IJI557" s="178"/>
      <c r="IJJ557" s="178"/>
      <c r="IJK557" s="178"/>
      <c r="IJL557" s="178"/>
      <c r="IJM557" s="178"/>
      <c r="IJN557" s="178"/>
      <c r="IJO557" s="178"/>
      <c r="IJP557" s="178"/>
      <c r="IJQ557" s="178"/>
      <c r="IJR557" s="178"/>
      <c r="IJS557" s="178"/>
      <c r="IJT557" s="178"/>
      <c r="IJU557" s="178"/>
      <c r="IJV557" s="178"/>
      <c r="IJW557" s="178"/>
      <c r="IJX557" s="178"/>
      <c r="IJY557" s="178"/>
      <c r="IJZ557" s="178"/>
      <c r="IKA557" s="178"/>
      <c r="IKB557" s="178"/>
      <c r="IKC557" s="178"/>
      <c r="IKD557" s="178"/>
      <c r="IKE557" s="178"/>
      <c r="IKF557" s="178"/>
      <c r="IKG557" s="178"/>
      <c r="IKH557" s="178"/>
      <c r="IKI557" s="178"/>
      <c r="IKJ557" s="178"/>
      <c r="IKK557" s="178"/>
      <c r="IKL557" s="178"/>
      <c r="IKM557" s="178"/>
      <c r="IKN557" s="178"/>
      <c r="IKO557" s="178"/>
      <c r="IKP557" s="178"/>
      <c r="IKQ557" s="178"/>
      <c r="IKR557" s="178"/>
      <c r="IKS557" s="178"/>
      <c r="IKT557" s="178"/>
      <c r="IKU557" s="178"/>
      <c r="IKV557" s="178"/>
      <c r="IKW557" s="178"/>
      <c r="IKX557" s="178"/>
      <c r="IKY557" s="178"/>
      <c r="IKZ557" s="178"/>
      <c r="ILA557" s="178"/>
      <c r="ILB557" s="178"/>
      <c r="ILC557" s="178"/>
      <c r="ILD557" s="178"/>
      <c r="ILE557" s="178"/>
      <c r="ILF557" s="178"/>
      <c r="ILG557" s="178"/>
      <c r="ILH557" s="178"/>
      <c r="ILI557" s="178"/>
      <c r="ILJ557" s="178"/>
      <c r="ILK557" s="178"/>
      <c r="ILL557" s="178"/>
      <c r="ILM557" s="178"/>
      <c r="ILN557" s="178"/>
      <c r="ILO557" s="178"/>
      <c r="ILP557" s="178"/>
      <c r="ILQ557" s="178"/>
      <c r="ILR557" s="178"/>
      <c r="ILS557" s="178"/>
      <c r="ILT557" s="178"/>
      <c r="ILU557" s="178"/>
      <c r="ILV557" s="178"/>
      <c r="ILW557" s="178"/>
      <c r="ILX557" s="178"/>
      <c r="ILY557" s="178"/>
      <c r="ILZ557" s="178"/>
      <c r="IMA557" s="178"/>
      <c r="IMB557" s="178"/>
      <c r="IMC557" s="178"/>
      <c r="IMD557" s="178"/>
      <c r="IME557" s="178"/>
      <c r="IMF557" s="178"/>
      <c r="IMG557" s="178"/>
      <c r="IMH557" s="178"/>
      <c r="IMI557" s="178"/>
      <c r="IMJ557" s="178"/>
      <c r="IMK557" s="178"/>
      <c r="IML557" s="178"/>
      <c r="IMM557" s="178"/>
      <c r="IMN557" s="178"/>
      <c r="IMO557" s="178"/>
      <c r="IMP557" s="178"/>
      <c r="IMQ557" s="178"/>
      <c r="IMR557" s="178"/>
      <c r="IMS557" s="178"/>
      <c r="IMT557" s="178"/>
      <c r="IMU557" s="178"/>
      <c r="IMV557" s="178"/>
      <c r="IMW557" s="178"/>
      <c r="IMX557" s="178"/>
      <c r="IMY557" s="178"/>
      <c r="IMZ557" s="178"/>
      <c r="INA557" s="178"/>
      <c r="INB557" s="178"/>
      <c r="INC557" s="178"/>
      <c r="IND557" s="178"/>
      <c r="INE557" s="178"/>
      <c r="INF557" s="178"/>
      <c r="ING557" s="178"/>
      <c r="INH557" s="178"/>
      <c r="INI557" s="178"/>
      <c r="INJ557" s="178"/>
      <c r="INK557" s="178"/>
      <c r="INL557" s="178"/>
      <c r="INM557" s="178"/>
      <c r="INN557" s="178"/>
      <c r="INO557" s="178"/>
      <c r="INP557" s="178"/>
      <c r="INQ557" s="178"/>
      <c r="INR557" s="178"/>
      <c r="INS557" s="178"/>
      <c r="INT557" s="178"/>
      <c r="INU557" s="178"/>
      <c r="INV557" s="178"/>
      <c r="INW557" s="178"/>
      <c r="INX557" s="178"/>
      <c r="INY557" s="178"/>
      <c r="INZ557" s="178"/>
      <c r="IOA557" s="178"/>
      <c r="IOB557" s="178"/>
      <c r="IOC557" s="178"/>
      <c r="IOD557" s="178"/>
      <c r="IOE557" s="178"/>
      <c r="IOF557" s="178"/>
      <c r="IOG557" s="178"/>
      <c r="IOH557" s="178"/>
      <c r="IOI557" s="178"/>
      <c r="IOJ557" s="178"/>
      <c r="IOK557" s="178"/>
      <c r="IOL557" s="178"/>
      <c r="IOM557" s="178"/>
      <c r="ION557" s="178"/>
      <c r="IOO557" s="178"/>
      <c r="IOP557" s="178"/>
      <c r="IOQ557" s="178"/>
      <c r="IOR557" s="178"/>
      <c r="IOS557" s="178"/>
      <c r="IOT557" s="178"/>
      <c r="IOU557" s="178"/>
      <c r="IOV557" s="178"/>
      <c r="IOW557" s="178"/>
      <c r="IOX557" s="178"/>
      <c r="IOY557" s="178"/>
      <c r="IOZ557" s="178"/>
      <c r="IPA557" s="178"/>
      <c r="IPB557" s="178"/>
      <c r="IPC557" s="178"/>
      <c r="IPD557" s="178"/>
      <c r="IPE557" s="178"/>
      <c r="IPF557" s="178"/>
      <c r="IPG557" s="178"/>
      <c r="IPH557" s="178"/>
      <c r="IPI557" s="178"/>
      <c r="IPJ557" s="178"/>
      <c r="IPK557" s="178"/>
      <c r="IPL557" s="178"/>
      <c r="IPM557" s="178"/>
      <c r="IPN557" s="178"/>
      <c r="IPO557" s="178"/>
      <c r="IPP557" s="178"/>
      <c r="IPQ557" s="178"/>
      <c r="IPR557" s="178"/>
      <c r="IPS557" s="178"/>
      <c r="IPT557" s="178"/>
      <c r="IPU557" s="178"/>
      <c r="IPV557" s="178"/>
      <c r="IPW557" s="178"/>
      <c r="IPX557" s="178"/>
      <c r="IPY557" s="178"/>
      <c r="IPZ557" s="178"/>
      <c r="IQA557" s="178"/>
      <c r="IQB557" s="178"/>
      <c r="IQC557" s="178"/>
      <c r="IQD557" s="178"/>
      <c r="IQE557" s="178"/>
      <c r="IQF557" s="178"/>
      <c r="IQG557" s="178"/>
      <c r="IQH557" s="178"/>
      <c r="IQI557" s="178"/>
      <c r="IQJ557" s="178"/>
      <c r="IQK557" s="178"/>
      <c r="IQL557" s="178"/>
      <c r="IQM557" s="178"/>
      <c r="IQN557" s="178"/>
      <c r="IQO557" s="178"/>
      <c r="IQP557" s="178"/>
      <c r="IQQ557" s="178"/>
      <c r="IQR557" s="178"/>
      <c r="IQS557" s="178"/>
      <c r="IQT557" s="178"/>
      <c r="IQU557" s="178"/>
      <c r="IQV557" s="178"/>
      <c r="IQW557" s="178"/>
      <c r="IQX557" s="178"/>
      <c r="IQY557" s="178"/>
      <c r="IQZ557" s="178"/>
      <c r="IRA557" s="178"/>
      <c r="IRB557" s="178"/>
      <c r="IRC557" s="178"/>
      <c r="IRD557" s="178"/>
      <c r="IRE557" s="178"/>
      <c r="IRF557" s="178"/>
      <c r="IRG557" s="178"/>
      <c r="IRH557" s="178"/>
      <c r="IRI557" s="178"/>
      <c r="IRJ557" s="178"/>
      <c r="IRK557" s="178"/>
      <c r="IRL557" s="178"/>
      <c r="IRM557" s="178"/>
      <c r="IRN557" s="178"/>
      <c r="IRO557" s="178"/>
      <c r="IRP557" s="178"/>
      <c r="IRQ557" s="178"/>
      <c r="IRR557" s="178"/>
      <c r="IRS557" s="178"/>
      <c r="IRT557" s="178"/>
      <c r="IRU557" s="178"/>
      <c r="IRV557" s="178"/>
      <c r="IRW557" s="178"/>
      <c r="IRX557" s="178"/>
      <c r="IRY557" s="178"/>
      <c r="IRZ557" s="178"/>
      <c r="ISA557" s="178"/>
      <c r="ISB557" s="178"/>
      <c r="ISC557" s="178"/>
      <c r="ISD557" s="178"/>
      <c r="ISE557" s="178"/>
      <c r="ISF557" s="178"/>
      <c r="ISG557" s="178"/>
      <c r="ISH557" s="178"/>
      <c r="ISI557" s="178"/>
      <c r="ISJ557" s="178"/>
      <c r="ISK557" s="178"/>
      <c r="ISL557" s="178"/>
      <c r="ISM557" s="178"/>
      <c r="ISN557" s="178"/>
      <c r="ISO557" s="178"/>
      <c r="ISP557" s="178"/>
      <c r="ISQ557" s="178"/>
      <c r="ISR557" s="178"/>
      <c r="ISS557" s="178"/>
      <c r="IST557" s="178"/>
      <c r="ISU557" s="178"/>
      <c r="ISV557" s="178"/>
      <c r="ISW557" s="178"/>
      <c r="ISX557" s="178"/>
      <c r="ISY557" s="178"/>
      <c r="ISZ557" s="178"/>
      <c r="ITA557" s="178"/>
      <c r="ITB557" s="178"/>
      <c r="ITC557" s="178"/>
      <c r="ITD557" s="178"/>
      <c r="ITE557" s="178"/>
      <c r="ITF557" s="178"/>
      <c r="ITG557" s="178"/>
      <c r="ITH557" s="178"/>
      <c r="ITI557" s="178"/>
      <c r="ITJ557" s="178"/>
      <c r="ITK557" s="178"/>
      <c r="ITL557" s="178"/>
      <c r="ITM557" s="178"/>
      <c r="ITN557" s="178"/>
      <c r="ITO557" s="178"/>
      <c r="ITP557" s="178"/>
      <c r="ITQ557" s="178"/>
      <c r="ITR557" s="178"/>
      <c r="ITS557" s="178"/>
      <c r="ITT557" s="178"/>
      <c r="ITU557" s="178"/>
      <c r="ITV557" s="178"/>
      <c r="ITW557" s="178"/>
      <c r="ITX557" s="178"/>
      <c r="ITY557" s="178"/>
      <c r="ITZ557" s="178"/>
      <c r="IUA557" s="178"/>
      <c r="IUB557" s="178"/>
      <c r="IUC557" s="178"/>
      <c r="IUD557" s="178"/>
      <c r="IUE557" s="178"/>
      <c r="IUF557" s="178"/>
      <c r="IUG557" s="178"/>
      <c r="IUH557" s="178"/>
      <c r="IUI557" s="178"/>
      <c r="IUJ557" s="178"/>
      <c r="IUK557" s="178"/>
      <c r="IUL557" s="178"/>
      <c r="IUM557" s="178"/>
      <c r="IUN557" s="178"/>
      <c r="IUO557" s="178"/>
      <c r="IUP557" s="178"/>
      <c r="IUQ557" s="178"/>
      <c r="IUR557" s="178"/>
      <c r="IUS557" s="178"/>
      <c r="IUT557" s="178"/>
      <c r="IUU557" s="178"/>
      <c r="IUV557" s="178"/>
      <c r="IUW557" s="178"/>
      <c r="IUX557" s="178"/>
      <c r="IUY557" s="178"/>
      <c r="IUZ557" s="178"/>
      <c r="IVA557" s="178"/>
      <c r="IVB557" s="178"/>
      <c r="IVC557" s="178"/>
      <c r="IVD557" s="178"/>
      <c r="IVE557" s="178"/>
      <c r="IVF557" s="178"/>
      <c r="IVG557" s="178"/>
      <c r="IVH557" s="178"/>
      <c r="IVI557" s="178"/>
      <c r="IVJ557" s="178"/>
      <c r="IVK557" s="178"/>
      <c r="IVL557" s="178"/>
      <c r="IVM557" s="178"/>
      <c r="IVN557" s="178"/>
      <c r="IVO557" s="178"/>
      <c r="IVP557" s="178"/>
      <c r="IVQ557" s="178"/>
      <c r="IVR557" s="178"/>
      <c r="IVS557" s="178"/>
      <c r="IVT557" s="178"/>
      <c r="IVU557" s="178"/>
      <c r="IVV557" s="178"/>
      <c r="IVW557" s="178"/>
      <c r="IVX557" s="178"/>
      <c r="IVY557" s="178"/>
      <c r="IVZ557" s="178"/>
      <c r="IWA557" s="178"/>
      <c r="IWB557" s="178"/>
      <c r="IWC557" s="178"/>
      <c r="IWD557" s="178"/>
      <c r="IWE557" s="178"/>
      <c r="IWF557" s="178"/>
      <c r="IWG557" s="178"/>
      <c r="IWH557" s="178"/>
      <c r="IWI557" s="178"/>
      <c r="IWJ557" s="178"/>
      <c r="IWK557" s="178"/>
      <c r="IWL557" s="178"/>
      <c r="IWM557" s="178"/>
      <c r="IWN557" s="178"/>
      <c r="IWO557" s="178"/>
      <c r="IWP557" s="178"/>
      <c r="IWQ557" s="178"/>
      <c r="IWR557" s="178"/>
      <c r="IWS557" s="178"/>
      <c r="IWT557" s="178"/>
      <c r="IWU557" s="178"/>
      <c r="IWV557" s="178"/>
      <c r="IWW557" s="178"/>
      <c r="IWX557" s="178"/>
      <c r="IWY557" s="178"/>
      <c r="IWZ557" s="178"/>
      <c r="IXA557" s="178"/>
      <c r="IXB557" s="178"/>
      <c r="IXC557" s="178"/>
      <c r="IXD557" s="178"/>
      <c r="IXE557" s="178"/>
      <c r="IXF557" s="178"/>
      <c r="IXG557" s="178"/>
      <c r="IXH557" s="178"/>
      <c r="IXI557" s="178"/>
      <c r="IXJ557" s="178"/>
      <c r="IXK557" s="178"/>
      <c r="IXL557" s="178"/>
      <c r="IXM557" s="178"/>
      <c r="IXN557" s="178"/>
      <c r="IXO557" s="178"/>
      <c r="IXP557" s="178"/>
      <c r="IXQ557" s="178"/>
      <c r="IXR557" s="178"/>
      <c r="IXS557" s="178"/>
      <c r="IXT557" s="178"/>
      <c r="IXU557" s="178"/>
      <c r="IXV557" s="178"/>
      <c r="IXW557" s="178"/>
      <c r="IXX557" s="178"/>
      <c r="IXY557" s="178"/>
      <c r="IXZ557" s="178"/>
      <c r="IYA557" s="178"/>
      <c r="IYB557" s="178"/>
      <c r="IYC557" s="178"/>
      <c r="IYD557" s="178"/>
      <c r="IYE557" s="178"/>
      <c r="IYF557" s="178"/>
      <c r="IYG557" s="178"/>
      <c r="IYH557" s="178"/>
      <c r="IYI557" s="178"/>
      <c r="IYJ557" s="178"/>
      <c r="IYK557" s="178"/>
      <c r="IYL557" s="178"/>
      <c r="IYM557" s="178"/>
      <c r="IYN557" s="178"/>
      <c r="IYO557" s="178"/>
      <c r="IYP557" s="178"/>
      <c r="IYQ557" s="178"/>
      <c r="IYR557" s="178"/>
      <c r="IYS557" s="178"/>
      <c r="IYT557" s="178"/>
      <c r="IYU557" s="178"/>
      <c r="IYV557" s="178"/>
      <c r="IYW557" s="178"/>
      <c r="IYX557" s="178"/>
      <c r="IYY557" s="178"/>
      <c r="IYZ557" s="178"/>
      <c r="IZA557" s="178"/>
      <c r="IZB557" s="178"/>
      <c r="IZC557" s="178"/>
      <c r="IZD557" s="178"/>
      <c r="IZE557" s="178"/>
      <c r="IZF557" s="178"/>
      <c r="IZG557" s="178"/>
      <c r="IZH557" s="178"/>
      <c r="IZI557" s="178"/>
      <c r="IZJ557" s="178"/>
      <c r="IZK557" s="178"/>
      <c r="IZL557" s="178"/>
      <c r="IZM557" s="178"/>
      <c r="IZN557" s="178"/>
      <c r="IZO557" s="178"/>
      <c r="IZP557" s="178"/>
      <c r="IZQ557" s="178"/>
      <c r="IZR557" s="178"/>
      <c r="IZS557" s="178"/>
      <c r="IZT557" s="178"/>
      <c r="IZU557" s="178"/>
      <c r="IZV557" s="178"/>
      <c r="IZW557" s="178"/>
      <c r="IZX557" s="178"/>
      <c r="IZY557" s="178"/>
      <c r="IZZ557" s="178"/>
      <c r="JAA557" s="178"/>
      <c r="JAB557" s="178"/>
      <c r="JAC557" s="178"/>
      <c r="JAD557" s="178"/>
      <c r="JAE557" s="178"/>
      <c r="JAF557" s="178"/>
      <c r="JAG557" s="178"/>
      <c r="JAH557" s="178"/>
      <c r="JAI557" s="178"/>
      <c r="JAJ557" s="178"/>
      <c r="JAK557" s="178"/>
      <c r="JAL557" s="178"/>
      <c r="JAM557" s="178"/>
      <c r="JAN557" s="178"/>
      <c r="JAO557" s="178"/>
      <c r="JAP557" s="178"/>
      <c r="JAQ557" s="178"/>
      <c r="JAR557" s="178"/>
      <c r="JAS557" s="178"/>
      <c r="JAT557" s="178"/>
      <c r="JAU557" s="178"/>
      <c r="JAV557" s="178"/>
      <c r="JAW557" s="178"/>
      <c r="JAX557" s="178"/>
      <c r="JAY557" s="178"/>
      <c r="JAZ557" s="178"/>
      <c r="JBA557" s="178"/>
      <c r="JBB557" s="178"/>
      <c r="JBC557" s="178"/>
      <c r="JBD557" s="178"/>
      <c r="JBE557" s="178"/>
      <c r="JBF557" s="178"/>
      <c r="JBG557" s="178"/>
      <c r="JBH557" s="178"/>
      <c r="JBI557" s="178"/>
      <c r="JBJ557" s="178"/>
      <c r="JBK557" s="178"/>
      <c r="JBL557" s="178"/>
      <c r="JBM557" s="178"/>
      <c r="JBN557" s="178"/>
      <c r="JBO557" s="178"/>
      <c r="JBP557" s="178"/>
      <c r="JBQ557" s="178"/>
      <c r="JBR557" s="178"/>
      <c r="JBS557" s="178"/>
      <c r="JBT557" s="178"/>
      <c r="JBU557" s="178"/>
      <c r="JBV557" s="178"/>
      <c r="JBW557" s="178"/>
      <c r="JBX557" s="178"/>
      <c r="JBY557" s="178"/>
      <c r="JBZ557" s="178"/>
      <c r="JCA557" s="178"/>
      <c r="JCB557" s="178"/>
      <c r="JCC557" s="178"/>
      <c r="JCD557" s="178"/>
      <c r="JCE557" s="178"/>
      <c r="JCF557" s="178"/>
      <c r="JCG557" s="178"/>
      <c r="JCH557" s="178"/>
      <c r="JCI557" s="178"/>
      <c r="JCJ557" s="178"/>
      <c r="JCK557" s="178"/>
      <c r="JCL557" s="178"/>
      <c r="JCM557" s="178"/>
      <c r="JCN557" s="178"/>
      <c r="JCO557" s="178"/>
      <c r="JCP557" s="178"/>
      <c r="JCQ557" s="178"/>
      <c r="JCR557" s="178"/>
      <c r="JCS557" s="178"/>
      <c r="JCT557" s="178"/>
      <c r="JCU557" s="178"/>
      <c r="JCV557" s="178"/>
      <c r="JCW557" s="178"/>
      <c r="JCX557" s="178"/>
      <c r="JCY557" s="178"/>
      <c r="JCZ557" s="178"/>
      <c r="JDA557" s="178"/>
      <c r="JDB557" s="178"/>
      <c r="JDC557" s="178"/>
      <c r="JDD557" s="178"/>
      <c r="JDE557" s="178"/>
      <c r="JDF557" s="178"/>
      <c r="JDG557" s="178"/>
      <c r="JDH557" s="178"/>
      <c r="JDI557" s="178"/>
      <c r="JDJ557" s="178"/>
      <c r="JDK557" s="178"/>
      <c r="JDL557" s="178"/>
      <c r="JDM557" s="178"/>
      <c r="JDN557" s="178"/>
      <c r="JDO557" s="178"/>
      <c r="JDP557" s="178"/>
      <c r="JDQ557" s="178"/>
      <c r="JDR557" s="178"/>
      <c r="JDS557" s="178"/>
      <c r="JDT557" s="178"/>
      <c r="JDU557" s="178"/>
      <c r="JDV557" s="178"/>
      <c r="JDW557" s="178"/>
      <c r="JDX557" s="178"/>
      <c r="JDY557" s="178"/>
      <c r="JDZ557" s="178"/>
      <c r="JEA557" s="178"/>
      <c r="JEB557" s="178"/>
      <c r="JEC557" s="178"/>
      <c r="JED557" s="178"/>
      <c r="JEE557" s="178"/>
      <c r="JEF557" s="178"/>
      <c r="JEG557" s="178"/>
      <c r="JEH557" s="178"/>
      <c r="JEI557" s="178"/>
      <c r="JEJ557" s="178"/>
      <c r="JEK557" s="178"/>
      <c r="JEL557" s="178"/>
      <c r="JEM557" s="178"/>
      <c r="JEN557" s="178"/>
      <c r="JEO557" s="178"/>
      <c r="JEP557" s="178"/>
      <c r="JEQ557" s="178"/>
      <c r="JER557" s="178"/>
      <c r="JES557" s="178"/>
      <c r="JET557" s="178"/>
      <c r="JEU557" s="178"/>
      <c r="JEV557" s="178"/>
      <c r="JEW557" s="178"/>
      <c r="JEX557" s="178"/>
      <c r="JEY557" s="178"/>
      <c r="JEZ557" s="178"/>
      <c r="JFA557" s="178"/>
      <c r="JFB557" s="178"/>
      <c r="JFC557" s="178"/>
      <c r="JFD557" s="178"/>
      <c r="JFE557" s="178"/>
      <c r="JFF557" s="178"/>
      <c r="JFG557" s="178"/>
      <c r="JFH557" s="178"/>
      <c r="JFI557" s="178"/>
      <c r="JFJ557" s="178"/>
      <c r="JFK557" s="178"/>
      <c r="JFL557" s="178"/>
      <c r="JFM557" s="178"/>
      <c r="JFN557" s="178"/>
      <c r="JFO557" s="178"/>
      <c r="JFP557" s="178"/>
      <c r="JFQ557" s="178"/>
      <c r="JFR557" s="178"/>
      <c r="JFS557" s="178"/>
      <c r="JFT557" s="178"/>
      <c r="JFU557" s="178"/>
      <c r="JFV557" s="178"/>
      <c r="JFW557" s="178"/>
      <c r="JFX557" s="178"/>
      <c r="JFY557" s="178"/>
      <c r="JFZ557" s="178"/>
      <c r="JGA557" s="178"/>
      <c r="JGB557" s="178"/>
      <c r="JGC557" s="178"/>
      <c r="JGD557" s="178"/>
      <c r="JGE557" s="178"/>
      <c r="JGF557" s="178"/>
      <c r="JGG557" s="178"/>
      <c r="JGH557" s="178"/>
      <c r="JGI557" s="178"/>
      <c r="JGJ557" s="178"/>
      <c r="JGK557" s="178"/>
      <c r="JGL557" s="178"/>
      <c r="JGM557" s="178"/>
      <c r="JGN557" s="178"/>
      <c r="JGO557" s="178"/>
      <c r="JGP557" s="178"/>
      <c r="JGQ557" s="178"/>
      <c r="JGR557" s="178"/>
      <c r="JGS557" s="178"/>
      <c r="JGT557" s="178"/>
      <c r="JGU557" s="178"/>
      <c r="JGV557" s="178"/>
      <c r="JGW557" s="178"/>
      <c r="JGX557" s="178"/>
      <c r="JGY557" s="178"/>
      <c r="JGZ557" s="178"/>
      <c r="JHA557" s="178"/>
      <c r="JHB557" s="178"/>
      <c r="JHC557" s="178"/>
      <c r="JHD557" s="178"/>
      <c r="JHE557" s="178"/>
      <c r="JHF557" s="178"/>
      <c r="JHG557" s="178"/>
      <c r="JHH557" s="178"/>
      <c r="JHI557" s="178"/>
      <c r="JHJ557" s="178"/>
      <c r="JHK557" s="178"/>
      <c r="JHL557" s="178"/>
      <c r="JHM557" s="178"/>
      <c r="JHN557" s="178"/>
      <c r="JHO557" s="178"/>
      <c r="JHP557" s="178"/>
      <c r="JHQ557" s="178"/>
      <c r="JHR557" s="178"/>
      <c r="JHS557" s="178"/>
      <c r="JHT557" s="178"/>
      <c r="JHU557" s="178"/>
      <c r="JHV557" s="178"/>
      <c r="JHW557" s="178"/>
      <c r="JHX557" s="178"/>
      <c r="JHY557" s="178"/>
      <c r="JHZ557" s="178"/>
      <c r="JIA557" s="178"/>
      <c r="JIB557" s="178"/>
      <c r="JIC557" s="178"/>
      <c r="JID557" s="178"/>
      <c r="JIE557" s="178"/>
      <c r="JIF557" s="178"/>
      <c r="JIG557" s="178"/>
      <c r="JIH557" s="178"/>
      <c r="JII557" s="178"/>
      <c r="JIJ557" s="178"/>
      <c r="JIK557" s="178"/>
      <c r="JIL557" s="178"/>
      <c r="JIM557" s="178"/>
      <c r="JIN557" s="178"/>
      <c r="JIO557" s="178"/>
      <c r="JIP557" s="178"/>
      <c r="JIQ557" s="178"/>
      <c r="JIR557" s="178"/>
      <c r="JIS557" s="178"/>
      <c r="JIT557" s="178"/>
      <c r="JIU557" s="178"/>
      <c r="JIV557" s="178"/>
      <c r="JIW557" s="178"/>
      <c r="JIX557" s="178"/>
      <c r="JIY557" s="178"/>
      <c r="JIZ557" s="178"/>
      <c r="JJA557" s="178"/>
      <c r="JJB557" s="178"/>
      <c r="JJC557" s="178"/>
      <c r="JJD557" s="178"/>
      <c r="JJE557" s="178"/>
      <c r="JJF557" s="178"/>
      <c r="JJG557" s="178"/>
      <c r="JJH557" s="178"/>
      <c r="JJI557" s="178"/>
      <c r="JJJ557" s="178"/>
      <c r="JJK557" s="178"/>
      <c r="JJL557" s="178"/>
      <c r="JJM557" s="178"/>
      <c r="JJN557" s="178"/>
      <c r="JJO557" s="178"/>
      <c r="JJP557" s="178"/>
      <c r="JJQ557" s="178"/>
      <c r="JJR557" s="178"/>
      <c r="JJS557" s="178"/>
      <c r="JJT557" s="178"/>
      <c r="JJU557" s="178"/>
      <c r="JJV557" s="178"/>
      <c r="JJW557" s="178"/>
      <c r="JJX557" s="178"/>
      <c r="JJY557" s="178"/>
      <c r="JJZ557" s="178"/>
      <c r="JKA557" s="178"/>
      <c r="JKB557" s="178"/>
      <c r="JKC557" s="178"/>
      <c r="JKD557" s="178"/>
      <c r="JKE557" s="178"/>
      <c r="JKF557" s="178"/>
      <c r="JKG557" s="178"/>
      <c r="JKH557" s="178"/>
      <c r="JKI557" s="178"/>
      <c r="JKJ557" s="178"/>
      <c r="JKK557" s="178"/>
      <c r="JKL557" s="178"/>
      <c r="JKM557" s="178"/>
      <c r="JKN557" s="178"/>
      <c r="JKO557" s="178"/>
      <c r="JKP557" s="178"/>
      <c r="JKQ557" s="178"/>
      <c r="JKR557" s="178"/>
      <c r="JKS557" s="178"/>
      <c r="JKT557" s="178"/>
      <c r="JKU557" s="178"/>
      <c r="JKV557" s="178"/>
      <c r="JKW557" s="178"/>
      <c r="JKX557" s="178"/>
      <c r="JKY557" s="178"/>
      <c r="JKZ557" s="178"/>
      <c r="JLA557" s="178"/>
      <c r="JLB557" s="178"/>
      <c r="JLC557" s="178"/>
      <c r="JLD557" s="178"/>
      <c r="JLE557" s="178"/>
      <c r="JLF557" s="178"/>
      <c r="JLG557" s="178"/>
      <c r="JLH557" s="178"/>
      <c r="JLI557" s="178"/>
      <c r="JLJ557" s="178"/>
      <c r="JLK557" s="178"/>
      <c r="JLL557" s="178"/>
      <c r="JLM557" s="178"/>
      <c r="JLN557" s="178"/>
      <c r="JLO557" s="178"/>
      <c r="JLP557" s="178"/>
      <c r="JLQ557" s="178"/>
      <c r="JLR557" s="178"/>
      <c r="JLS557" s="178"/>
      <c r="JLT557" s="178"/>
      <c r="JLU557" s="178"/>
      <c r="JLV557" s="178"/>
      <c r="JLW557" s="178"/>
      <c r="JLX557" s="178"/>
      <c r="JLY557" s="178"/>
      <c r="JLZ557" s="178"/>
      <c r="JMA557" s="178"/>
      <c r="JMB557" s="178"/>
      <c r="JMC557" s="178"/>
      <c r="JMD557" s="178"/>
      <c r="JME557" s="178"/>
      <c r="JMF557" s="178"/>
      <c r="JMG557" s="178"/>
      <c r="JMH557" s="178"/>
      <c r="JMI557" s="178"/>
      <c r="JMJ557" s="178"/>
      <c r="JMK557" s="178"/>
      <c r="JML557" s="178"/>
      <c r="JMM557" s="178"/>
      <c r="JMN557" s="178"/>
      <c r="JMO557" s="178"/>
      <c r="JMP557" s="178"/>
      <c r="JMQ557" s="178"/>
      <c r="JMR557" s="178"/>
      <c r="JMS557" s="178"/>
      <c r="JMT557" s="178"/>
      <c r="JMU557" s="178"/>
      <c r="JMV557" s="178"/>
      <c r="JMW557" s="178"/>
      <c r="JMX557" s="178"/>
      <c r="JMY557" s="178"/>
      <c r="JMZ557" s="178"/>
      <c r="JNA557" s="178"/>
      <c r="JNB557" s="178"/>
      <c r="JNC557" s="178"/>
      <c r="JND557" s="178"/>
      <c r="JNE557" s="178"/>
      <c r="JNF557" s="178"/>
      <c r="JNG557" s="178"/>
      <c r="JNH557" s="178"/>
      <c r="JNI557" s="178"/>
      <c r="JNJ557" s="178"/>
      <c r="JNK557" s="178"/>
      <c r="JNL557" s="178"/>
      <c r="JNM557" s="178"/>
      <c r="JNN557" s="178"/>
      <c r="JNO557" s="178"/>
      <c r="JNP557" s="178"/>
      <c r="JNQ557" s="178"/>
      <c r="JNR557" s="178"/>
      <c r="JNS557" s="178"/>
      <c r="JNT557" s="178"/>
      <c r="JNU557" s="178"/>
      <c r="JNV557" s="178"/>
      <c r="JNW557" s="178"/>
      <c r="JNX557" s="178"/>
      <c r="JNY557" s="178"/>
      <c r="JNZ557" s="178"/>
      <c r="JOA557" s="178"/>
      <c r="JOB557" s="178"/>
      <c r="JOC557" s="178"/>
      <c r="JOD557" s="178"/>
      <c r="JOE557" s="178"/>
      <c r="JOF557" s="178"/>
      <c r="JOG557" s="178"/>
      <c r="JOH557" s="178"/>
      <c r="JOI557" s="178"/>
      <c r="JOJ557" s="178"/>
      <c r="JOK557" s="178"/>
      <c r="JOL557" s="178"/>
      <c r="JOM557" s="178"/>
      <c r="JON557" s="178"/>
      <c r="JOO557" s="178"/>
      <c r="JOP557" s="178"/>
      <c r="JOQ557" s="178"/>
      <c r="JOR557" s="178"/>
      <c r="JOS557" s="178"/>
      <c r="JOT557" s="178"/>
      <c r="JOU557" s="178"/>
      <c r="JOV557" s="178"/>
      <c r="JOW557" s="178"/>
      <c r="JOX557" s="178"/>
      <c r="JOY557" s="178"/>
      <c r="JOZ557" s="178"/>
      <c r="JPA557" s="178"/>
      <c r="JPB557" s="178"/>
      <c r="JPC557" s="178"/>
      <c r="JPD557" s="178"/>
      <c r="JPE557" s="178"/>
      <c r="JPF557" s="178"/>
      <c r="JPG557" s="178"/>
      <c r="JPH557" s="178"/>
      <c r="JPI557" s="178"/>
      <c r="JPJ557" s="178"/>
      <c r="JPK557" s="178"/>
      <c r="JPL557" s="178"/>
      <c r="JPM557" s="178"/>
      <c r="JPN557" s="178"/>
      <c r="JPO557" s="178"/>
      <c r="JPP557" s="178"/>
      <c r="JPQ557" s="178"/>
      <c r="JPR557" s="178"/>
      <c r="JPS557" s="178"/>
      <c r="JPT557" s="178"/>
      <c r="JPU557" s="178"/>
      <c r="JPV557" s="178"/>
      <c r="JPW557" s="178"/>
      <c r="JPX557" s="178"/>
      <c r="JPY557" s="178"/>
      <c r="JPZ557" s="178"/>
      <c r="JQA557" s="178"/>
      <c r="JQB557" s="178"/>
      <c r="JQC557" s="178"/>
      <c r="JQD557" s="178"/>
      <c r="JQE557" s="178"/>
      <c r="JQF557" s="178"/>
      <c r="JQG557" s="178"/>
      <c r="JQH557" s="178"/>
      <c r="JQI557" s="178"/>
      <c r="JQJ557" s="178"/>
      <c r="JQK557" s="178"/>
      <c r="JQL557" s="178"/>
      <c r="JQM557" s="178"/>
      <c r="JQN557" s="178"/>
      <c r="JQO557" s="178"/>
      <c r="JQP557" s="178"/>
      <c r="JQQ557" s="178"/>
      <c r="JQR557" s="178"/>
      <c r="JQS557" s="178"/>
      <c r="JQT557" s="178"/>
      <c r="JQU557" s="178"/>
      <c r="JQV557" s="178"/>
      <c r="JQW557" s="178"/>
      <c r="JQX557" s="178"/>
      <c r="JQY557" s="178"/>
      <c r="JQZ557" s="178"/>
      <c r="JRA557" s="178"/>
      <c r="JRB557" s="178"/>
      <c r="JRC557" s="178"/>
      <c r="JRD557" s="178"/>
      <c r="JRE557" s="178"/>
      <c r="JRF557" s="178"/>
      <c r="JRG557" s="178"/>
      <c r="JRH557" s="178"/>
      <c r="JRI557" s="178"/>
      <c r="JRJ557" s="178"/>
      <c r="JRK557" s="178"/>
      <c r="JRL557" s="178"/>
      <c r="JRM557" s="178"/>
      <c r="JRN557" s="178"/>
      <c r="JRO557" s="178"/>
      <c r="JRP557" s="178"/>
      <c r="JRQ557" s="178"/>
      <c r="JRR557" s="178"/>
      <c r="JRS557" s="178"/>
      <c r="JRT557" s="178"/>
      <c r="JRU557" s="178"/>
      <c r="JRV557" s="178"/>
      <c r="JRW557" s="178"/>
      <c r="JRX557" s="178"/>
      <c r="JRY557" s="178"/>
      <c r="JRZ557" s="178"/>
      <c r="JSA557" s="178"/>
      <c r="JSB557" s="178"/>
      <c r="JSC557" s="178"/>
      <c r="JSD557" s="178"/>
      <c r="JSE557" s="178"/>
      <c r="JSF557" s="178"/>
      <c r="JSG557" s="178"/>
      <c r="JSH557" s="178"/>
      <c r="JSI557" s="178"/>
      <c r="JSJ557" s="178"/>
      <c r="JSK557" s="178"/>
      <c r="JSL557" s="178"/>
      <c r="JSM557" s="178"/>
      <c r="JSN557" s="178"/>
      <c r="JSO557" s="178"/>
      <c r="JSP557" s="178"/>
      <c r="JSQ557" s="178"/>
      <c r="JSR557" s="178"/>
      <c r="JSS557" s="178"/>
      <c r="JST557" s="178"/>
      <c r="JSU557" s="178"/>
      <c r="JSV557" s="178"/>
      <c r="JSW557" s="178"/>
      <c r="JSX557" s="178"/>
      <c r="JSY557" s="178"/>
      <c r="JSZ557" s="178"/>
      <c r="JTA557" s="178"/>
      <c r="JTB557" s="178"/>
      <c r="JTC557" s="178"/>
      <c r="JTD557" s="178"/>
      <c r="JTE557" s="178"/>
      <c r="JTF557" s="178"/>
      <c r="JTG557" s="178"/>
      <c r="JTH557" s="178"/>
      <c r="JTI557" s="178"/>
      <c r="JTJ557" s="178"/>
      <c r="JTK557" s="178"/>
      <c r="JTL557" s="178"/>
      <c r="JTM557" s="178"/>
      <c r="JTN557" s="178"/>
      <c r="JTO557" s="178"/>
      <c r="JTP557" s="178"/>
      <c r="JTQ557" s="178"/>
      <c r="JTR557" s="178"/>
      <c r="JTS557" s="178"/>
      <c r="JTT557" s="178"/>
      <c r="JTU557" s="178"/>
      <c r="JTV557" s="178"/>
      <c r="JTW557" s="178"/>
      <c r="JTX557" s="178"/>
      <c r="JTY557" s="178"/>
      <c r="JTZ557" s="178"/>
      <c r="JUA557" s="178"/>
      <c r="JUB557" s="178"/>
      <c r="JUC557" s="178"/>
      <c r="JUD557" s="178"/>
      <c r="JUE557" s="178"/>
      <c r="JUF557" s="178"/>
      <c r="JUG557" s="178"/>
      <c r="JUH557" s="178"/>
      <c r="JUI557" s="178"/>
      <c r="JUJ557" s="178"/>
      <c r="JUK557" s="178"/>
      <c r="JUL557" s="178"/>
      <c r="JUM557" s="178"/>
      <c r="JUN557" s="178"/>
      <c r="JUO557" s="178"/>
      <c r="JUP557" s="178"/>
      <c r="JUQ557" s="178"/>
      <c r="JUR557" s="178"/>
      <c r="JUS557" s="178"/>
      <c r="JUT557" s="178"/>
      <c r="JUU557" s="178"/>
      <c r="JUV557" s="178"/>
      <c r="JUW557" s="178"/>
      <c r="JUX557" s="178"/>
      <c r="JUY557" s="178"/>
      <c r="JUZ557" s="178"/>
      <c r="JVA557" s="178"/>
      <c r="JVB557" s="178"/>
      <c r="JVC557" s="178"/>
      <c r="JVD557" s="178"/>
      <c r="JVE557" s="178"/>
      <c r="JVF557" s="178"/>
      <c r="JVG557" s="178"/>
      <c r="JVH557" s="178"/>
      <c r="JVI557" s="178"/>
      <c r="JVJ557" s="178"/>
      <c r="JVK557" s="178"/>
      <c r="JVL557" s="178"/>
      <c r="JVM557" s="178"/>
      <c r="JVN557" s="178"/>
      <c r="JVO557" s="178"/>
      <c r="JVP557" s="178"/>
      <c r="JVQ557" s="178"/>
      <c r="JVR557" s="178"/>
      <c r="JVS557" s="178"/>
      <c r="JVT557" s="178"/>
      <c r="JVU557" s="178"/>
      <c r="JVV557" s="178"/>
      <c r="JVW557" s="178"/>
      <c r="JVX557" s="178"/>
      <c r="JVY557" s="178"/>
      <c r="JVZ557" s="178"/>
      <c r="JWA557" s="178"/>
      <c r="JWB557" s="178"/>
      <c r="JWC557" s="178"/>
      <c r="JWD557" s="178"/>
      <c r="JWE557" s="178"/>
      <c r="JWF557" s="178"/>
      <c r="JWG557" s="178"/>
      <c r="JWH557" s="178"/>
      <c r="JWI557" s="178"/>
      <c r="JWJ557" s="178"/>
      <c r="JWK557" s="178"/>
      <c r="JWL557" s="178"/>
      <c r="JWM557" s="178"/>
      <c r="JWN557" s="178"/>
      <c r="JWO557" s="178"/>
      <c r="JWP557" s="178"/>
      <c r="JWQ557" s="178"/>
      <c r="JWR557" s="178"/>
      <c r="JWS557" s="178"/>
      <c r="JWT557" s="178"/>
      <c r="JWU557" s="178"/>
      <c r="JWV557" s="178"/>
      <c r="JWW557" s="178"/>
      <c r="JWX557" s="178"/>
      <c r="JWY557" s="178"/>
      <c r="JWZ557" s="178"/>
      <c r="JXA557" s="178"/>
      <c r="JXB557" s="178"/>
      <c r="JXC557" s="178"/>
      <c r="JXD557" s="178"/>
      <c r="JXE557" s="178"/>
      <c r="JXF557" s="178"/>
      <c r="JXG557" s="178"/>
      <c r="JXH557" s="178"/>
      <c r="JXI557" s="178"/>
      <c r="JXJ557" s="178"/>
      <c r="JXK557" s="178"/>
      <c r="JXL557" s="178"/>
      <c r="JXM557" s="178"/>
      <c r="JXN557" s="178"/>
      <c r="JXO557" s="178"/>
      <c r="JXP557" s="178"/>
      <c r="JXQ557" s="178"/>
      <c r="JXR557" s="178"/>
      <c r="JXS557" s="178"/>
      <c r="JXT557" s="178"/>
      <c r="JXU557" s="178"/>
      <c r="JXV557" s="178"/>
      <c r="JXW557" s="178"/>
      <c r="JXX557" s="178"/>
      <c r="JXY557" s="178"/>
      <c r="JXZ557" s="178"/>
      <c r="JYA557" s="178"/>
      <c r="JYB557" s="178"/>
      <c r="JYC557" s="178"/>
      <c r="JYD557" s="178"/>
      <c r="JYE557" s="178"/>
      <c r="JYF557" s="178"/>
      <c r="JYG557" s="178"/>
      <c r="JYH557" s="178"/>
      <c r="JYI557" s="178"/>
      <c r="JYJ557" s="178"/>
      <c r="JYK557" s="178"/>
      <c r="JYL557" s="178"/>
      <c r="JYM557" s="178"/>
      <c r="JYN557" s="178"/>
      <c r="JYO557" s="178"/>
      <c r="JYP557" s="178"/>
      <c r="JYQ557" s="178"/>
      <c r="JYR557" s="178"/>
      <c r="JYS557" s="178"/>
      <c r="JYT557" s="178"/>
      <c r="JYU557" s="178"/>
      <c r="JYV557" s="178"/>
      <c r="JYW557" s="178"/>
      <c r="JYX557" s="178"/>
      <c r="JYY557" s="178"/>
      <c r="JYZ557" s="178"/>
      <c r="JZA557" s="178"/>
      <c r="JZB557" s="178"/>
      <c r="JZC557" s="178"/>
      <c r="JZD557" s="178"/>
      <c r="JZE557" s="178"/>
      <c r="JZF557" s="178"/>
      <c r="JZG557" s="178"/>
      <c r="JZH557" s="178"/>
      <c r="JZI557" s="178"/>
      <c r="JZJ557" s="178"/>
      <c r="JZK557" s="178"/>
      <c r="JZL557" s="178"/>
      <c r="JZM557" s="178"/>
      <c r="JZN557" s="178"/>
      <c r="JZO557" s="178"/>
      <c r="JZP557" s="178"/>
      <c r="JZQ557" s="178"/>
      <c r="JZR557" s="178"/>
      <c r="JZS557" s="178"/>
      <c r="JZT557" s="178"/>
      <c r="JZU557" s="178"/>
      <c r="JZV557" s="178"/>
      <c r="JZW557" s="178"/>
      <c r="JZX557" s="178"/>
      <c r="JZY557" s="178"/>
      <c r="JZZ557" s="178"/>
      <c r="KAA557" s="178"/>
      <c r="KAB557" s="178"/>
      <c r="KAC557" s="178"/>
      <c r="KAD557" s="178"/>
      <c r="KAE557" s="178"/>
      <c r="KAF557" s="178"/>
      <c r="KAG557" s="178"/>
      <c r="KAH557" s="178"/>
      <c r="KAI557" s="178"/>
      <c r="KAJ557" s="178"/>
      <c r="KAK557" s="178"/>
      <c r="KAL557" s="178"/>
      <c r="KAM557" s="178"/>
      <c r="KAN557" s="178"/>
      <c r="KAO557" s="178"/>
      <c r="KAP557" s="178"/>
      <c r="KAQ557" s="178"/>
      <c r="KAR557" s="178"/>
      <c r="KAS557" s="178"/>
      <c r="KAT557" s="178"/>
      <c r="KAU557" s="178"/>
      <c r="KAV557" s="178"/>
      <c r="KAW557" s="178"/>
      <c r="KAX557" s="178"/>
      <c r="KAY557" s="178"/>
      <c r="KAZ557" s="178"/>
      <c r="KBA557" s="178"/>
      <c r="KBB557" s="178"/>
      <c r="KBC557" s="178"/>
      <c r="KBD557" s="178"/>
      <c r="KBE557" s="178"/>
      <c r="KBF557" s="178"/>
      <c r="KBG557" s="178"/>
      <c r="KBH557" s="178"/>
      <c r="KBI557" s="178"/>
      <c r="KBJ557" s="178"/>
      <c r="KBK557" s="178"/>
      <c r="KBL557" s="178"/>
      <c r="KBM557" s="178"/>
      <c r="KBN557" s="178"/>
      <c r="KBO557" s="178"/>
      <c r="KBP557" s="178"/>
      <c r="KBQ557" s="178"/>
      <c r="KBR557" s="178"/>
      <c r="KBS557" s="178"/>
      <c r="KBT557" s="178"/>
      <c r="KBU557" s="178"/>
      <c r="KBV557" s="178"/>
      <c r="KBW557" s="178"/>
      <c r="KBX557" s="178"/>
      <c r="KBY557" s="178"/>
      <c r="KBZ557" s="178"/>
      <c r="KCA557" s="178"/>
      <c r="KCB557" s="178"/>
      <c r="KCC557" s="178"/>
      <c r="KCD557" s="178"/>
      <c r="KCE557" s="178"/>
      <c r="KCF557" s="178"/>
      <c r="KCG557" s="178"/>
      <c r="KCH557" s="178"/>
      <c r="KCI557" s="178"/>
      <c r="KCJ557" s="178"/>
      <c r="KCK557" s="178"/>
      <c r="KCL557" s="178"/>
      <c r="KCM557" s="178"/>
      <c r="KCN557" s="178"/>
      <c r="KCO557" s="178"/>
      <c r="KCP557" s="178"/>
      <c r="KCQ557" s="178"/>
      <c r="KCR557" s="178"/>
      <c r="KCS557" s="178"/>
      <c r="KCT557" s="178"/>
      <c r="KCU557" s="178"/>
      <c r="KCV557" s="178"/>
      <c r="KCW557" s="178"/>
      <c r="KCX557" s="178"/>
      <c r="KCY557" s="178"/>
      <c r="KCZ557" s="178"/>
      <c r="KDA557" s="178"/>
      <c r="KDB557" s="178"/>
      <c r="KDC557" s="178"/>
      <c r="KDD557" s="178"/>
      <c r="KDE557" s="178"/>
      <c r="KDF557" s="178"/>
      <c r="KDG557" s="178"/>
      <c r="KDH557" s="178"/>
      <c r="KDI557" s="178"/>
      <c r="KDJ557" s="178"/>
      <c r="KDK557" s="178"/>
      <c r="KDL557" s="178"/>
      <c r="KDM557" s="178"/>
      <c r="KDN557" s="178"/>
      <c r="KDO557" s="178"/>
      <c r="KDP557" s="178"/>
      <c r="KDQ557" s="178"/>
      <c r="KDR557" s="178"/>
      <c r="KDS557" s="178"/>
      <c r="KDT557" s="178"/>
      <c r="KDU557" s="178"/>
      <c r="KDV557" s="178"/>
      <c r="KDW557" s="178"/>
      <c r="KDX557" s="178"/>
      <c r="KDY557" s="178"/>
      <c r="KDZ557" s="178"/>
      <c r="KEA557" s="178"/>
      <c r="KEB557" s="178"/>
      <c r="KEC557" s="178"/>
      <c r="KED557" s="178"/>
      <c r="KEE557" s="178"/>
      <c r="KEF557" s="178"/>
      <c r="KEG557" s="178"/>
      <c r="KEH557" s="178"/>
      <c r="KEI557" s="178"/>
      <c r="KEJ557" s="178"/>
      <c r="KEK557" s="178"/>
      <c r="KEL557" s="178"/>
      <c r="KEM557" s="178"/>
      <c r="KEN557" s="178"/>
      <c r="KEO557" s="178"/>
      <c r="KEP557" s="178"/>
      <c r="KEQ557" s="178"/>
      <c r="KER557" s="178"/>
      <c r="KES557" s="178"/>
      <c r="KET557" s="178"/>
      <c r="KEU557" s="178"/>
      <c r="KEV557" s="178"/>
      <c r="KEW557" s="178"/>
      <c r="KEX557" s="178"/>
      <c r="KEY557" s="178"/>
      <c r="KEZ557" s="178"/>
      <c r="KFA557" s="178"/>
      <c r="KFB557" s="178"/>
      <c r="KFC557" s="178"/>
      <c r="KFD557" s="178"/>
      <c r="KFE557" s="178"/>
      <c r="KFF557" s="178"/>
      <c r="KFG557" s="178"/>
      <c r="KFH557" s="178"/>
      <c r="KFI557" s="178"/>
      <c r="KFJ557" s="178"/>
      <c r="KFK557" s="178"/>
      <c r="KFL557" s="178"/>
      <c r="KFM557" s="178"/>
      <c r="KFN557" s="178"/>
      <c r="KFO557" s="178"/>
      <c r="KFP557" s="178"/>
      <c r="KFQ557" s="178"/>
      <c r="KFR557" s="178"/>
      <c r="KFS557" s="178"/>
      <c r="KFT557" s="178"/>
      <c r="KFU557" s="178"/>
      <c r="KFV557" s="178"/>
      <c r="KFW557" s="178"/>
      <c r="KFX557" s="178"/>
      <c r="KFY557" s="178"/>
      <c r="KFZ557" s="178"/>
      <c r="KGA557" s="178"/>
      <c r="KGB557" s="178"/>
      <c r="KGC557" s="178"/>
      <c r="KGD557" s="178"/>
      <c r="KGE557" s="178"/>
      <c r="KGF557" s="178"/>
      <c r="KGG557" s="178"/>
      <c r="KGH557" s="178"/>
      <c r="KGI557" s="178"/>
      <c r="KGJ557" s="178"/>
      <c r="KGK557" s="178"/>
      <c r="KGL557" s="178"/>
      <c r="KGM557" s="178"/>
      <c r="KGN557" s="178"/>
      <c r="KGO557" s="178"/>
      <c r="KGP557" s="178"/>
      <c r="KGQ557" s="178"/>
      <c r="KGR557" s="178"/>
      <c r="KGS557" s="178"/>
      <c r="KGT557" s="178"/>
      <c r="KGU557" s="178"/>
      <c r="KGV557" s="178"/>
      <c r="KGW557" s="178"/>
      <c r="KGX557" s="178"/>
      <c r="KGY557" s="178"/>
      <c r="KGZ557" s="178"/>
      <c r="KHA557" s="178"/>
      <c r="KHB557" s="178"/>
      <c r="KHC557" s="178"/>
      <c r="KHD557" s="178"/>
      <c r="KHE557" s="178"/>
      <c r="KHF557" s="178"/>
      <c r="KHG557" s="178"/>
      <c r="KHH557" s="178"/>
      <c r="KHI557" s="178"/>
      <c r="KHJ557" s="178"/>
      <c r="KHK557" s="178"/>
      <c r="KHL557" s="178"/>
      <c r="KHM557" s="178"/>
      <c r="KHN557" s="178"/>
      <c r="KHO557" s="178"/>
      <c r="KHP557" s="178"/>
      <c r="KHQ557" s="178"/>
      <c r="KHR557" s="178"/>
      <c r="KHS557" s="178"/>
      <c r="KHT557" s="178"/>
      <c r="KHU557" s="178"/>
      <c r="KHV557" s="178"/>
      <c r="KHW557" s="178"/>
      <c r="KHX557" s="178"/>
      <c r="KHY557" s="178"/>
      <c r="KHZ557" s="178"/>
      <c r="KIA557" s="178"/>
      <c r="KIB557" s="178"/>
      <c r="KIC557" s="178"/>
      <c r="KID557" s="178"/>
      <c r="KIE557" s="178"/>
      <c r="KIF557" s="178"/>
      <c r="KIG557" s="178"/>
      <c r="KIH557" s="178"/>
      <c r="KII557" s="178"/>
      <c r="KIJ557" s="178"/>
      <c r="KIK557" s="178"/>
      <c r="KIL557" s="178"/>
      <c r="KIM557" s="178"/>
      <c r="KIN557" s="178"/>
      <c r="KIO557" s="178"/>
      <c r="KIP557" s="178"/>
      <c r="KIQ557" s="178"/>
      <c r="KIR557" s="178"/>
      <c r="KIS557" s="178"/>
      <c r="KIT557" s="178"/>
      <c r="KIU557" s="178"/>
      <c r="KIV557" s="178"/>
      <c r="KIW557" s="178"/>
      <c r="KIX557" s="178"/>
      <c r="KIY557" s="178"/>
      <c r="KIZ557" s="178"/>
      <c r="KJA557" s="178"/>
      <c r="KJB557" s="178"/>
      <c r="KJC557" s="178"/>
      <c r="KJD557" s="178"/>
      <c r="KJE557" s="178"/>
      <c r="KJF557" s="178"/>
      <c r="KJG557" s="178"/>
      <c r="KJH557" s="178"/>
      <c r="KJI557" s="178"/>
      <c r="KJJ557" s="178"/>
      <c r="KJK557" s="178"/>
      <c r="KJL557" s="178"/>
      <c r="KJM557" s="178"/>
      <c r="KJN557" s="178"/>
      <c r="KJO557" s="178"/>
      <c r="KJP557" s="178"/>
      <c r="KJQ557" s="178"/>
      <c r="KJR557" s="178"/>
      <c r="KJS557" s="178"/>
      <c r="KJT557" s="178"/>
      <c r="KJU557" s="178"/>
      <c r="KJV557" s="178"/>
      <c r="KJW557" s="178"/>
      <c r="KJX557" s="178"/>
      <c r="KJY557" s="178"/>
      <c r="KJZ557" s="178"/>
      <c r="KKA557" s="178"/>
      <c r="KKB557" s="178"/>
      <c r="KKC557" s="178"/>
      <c r="KKD557" s="178"/>
      <c r="KKE557" s="178"/>
      <c r="KKF557" s="178"/>
      <c r="KKG557" s="178"/>
      <c r="KKH557" s="178"/>
      <c r="KKI557" s="178"/>
      <c r="KKJ557" s="178"/>
      <c r="KKK557" s="178"/>
      <c r="KKL557" s="178"/>
      <c r="KKM557" s="178"/>
      <c r="KKN557" s="178"/>
      <c r="KKO557" s="178"/>
      <c r="KKP557" s="178"/>
      <c r="KKQ557" s="178"/>
      <c r="KKR557" s="178"/>
      <c r="KKS557" s="178"/>
      <c r="KKT557" s="178"/>
      <c r="KKU557" s="178"/>
      <c r="KKV557" s="178"/>
      <c r="KKW557" s="178"/>
      <c r="KKX557" s="178"/>
      <c r="KKY557" s="178"/>
      <c r="KKZ557" s="178"/>
      <c r="KLA557" s="178"/>
      <c r="KLB557" s="178"/>
      <c r="KLC557" s="178"/>
      <c r="KLD557" s="178"/>
      <c r="KLE557" s="178"/>
      <c r="KLF557" s="178"/>
      <c r="KLG557" s="178"/>
      <c r="KLH557" s="178"/>
      <c r="KLI557" s="178"/>
      <c r="KLJ557" s="178"/>
      <c r="KLK557" s="178"/>
      <c r="KLL557" s="178"/>
      <c r="KLM557" s="178"/>
      <c r="KLN557" s="178"/>
      <c r="KLO557" s="178"/>
      <c r="KLP557" s="178"/>
      <c r="KLQ557" s="178"/>
      <c r="KLR557" s="178"/>
      <c r="KLS557" s="178"/>
      <c r="KLT557" s="178"/>
      <c r="KLU557" s="178"/>
      <c r="KLV557" s="178"/>
      <c r="KLW557" s="178"/>
      <c r="KLX557" s="178"/>
      <c r="KLY557" s="178"/>
      <c r="KLZ557" s="178"/>
      <c r="KMA557" s="178"/>
      <c r="KMB557" s="178"/>
      <c r="KMC557" s="178"/>
      <c r="KMD557" s="178"/>
      <c r="KME557" s="178"/>
      <c r="KMF557" s="178"/>
      <c r="KMG557" s="178"/>
      <c r="KMH557" s="178"/>
      <c r="KMI557" s="178"/>
      <c r="KMJ557" s="178"/>
      <c r="KMK557" s="178"/>
      <c r="KML557" s="178"/>
      <c r="KMM557" s="178"/>
      <c r="KMN557" s="178"/>
      <c r="KMO557" s="178"/>
      <c r="KMP557" s="178"/>
      <c r="KMQ557" s="178"/>
      <c r="KMR557" s="178"/>
      <c r="KMS557" s="178"/>
      <c r="KMT557" s="178"/>
      <c r="KMU557" s="178"/>
      <c r="KMV557" s="178"/>
      <c r="KMW557" s="178"/>
      <c r="KMX557" s="178"/>
      <c r="KMY557" s="178"/>
      <c r="KMZ557" s="178"/>
      <c r="KNA557" s="178"/>
      <c r="KNB557" s="178"/>
      <c r="KNC557" s="178"/>
      <c r="KND557" s="178"/>
      <c r="KNE557" s="178"/>
      <c r="KNF557" s="178"/>
      <c r="KNG557" s="178"/>
      <c r="KNH557" s="178"/>
      <c r="KNI557" s="178"/>
      <c r="KNJ557" s="178"/>
      <c r="KNK557" s="178"/>
      <c r="KNL557" s="178"/>
      <c r="KNM557" s="178"/>
      <c r="KNN557" s="178"/>
      <c r="KNO557" s="178"/>
      <c r="KNP557" s="178"/>
      <c r="KNQ557" s="178"/>
      <c r="KNR557" s="178"/>
      <c r="KNS557" s="178"/>
      <c r="KNT557" s="178"/>
      <c r="KNU557" s="178"/>
      <c r="KNV557" s="178"/>
      <c r="KNW557" s="178"/>
      <c r="KNX557" s="178"/>
      <c r="KNY557" s="178"/>
      <c r="KNZ557" s="178"/>
      <c r="KOA557" s="178"/>
      <c r="KOB557" s="178"/>
      <c r="KOC557" s="178"/>
      <c r="KOD557" s="178"/>
      <c r="KOE557" s="178"/>
      <c r="KOF557" s="178"/>
      <c r="KOG557" s="178"/>
      <c r="KOH557" s="178"/>
      <c r="KOI557" s="178"/>
      <c r="KOJ557" s="178"/>
      <c r="KOK557" s="178"/>
      <c r="KOL557" s="178"/>
      <c r="KOM557" s="178"/>
      <c r="KON557" s="178"/>
      <c r="KOO557" s="178"/>
      <c r="KOP557" s="178"/>
      <c r="KOQ557" s="178"/>
      <c r="KOR557" s="178"/>
      <c r="KOS557" s="178"/>
      <c r="KOT557" s="178"/>
      <c r="KOU557" s="178"/>
      <c r="KOV557" s="178"/>
      <c r="KOW557" s="178"/>
      <c r="KOX557" s="178"/>
      <c r="KOY557" s="178"/>
      <c r="KOZ557" s="178"/>
      <c r="KPA557" s="178"/>
      <c r="KPB557" s="178"/>
      <c r="KPC557" s="178"/>
      <c r="KPD557" s="178"/>
      <c r="KPE557" s="178"/>
      <c r="KPF557" s="178"/>
      <c r="KPG557" s="178"/>
      <c r="KPH557" s="178"/>
      <c r="KPI557" s="178"/>
      <c r="KPJ557" s="178"/>
      <c r="KPK557" s="178"/>
      <c r="KPL557" s="178"/>
      <c r="KPM557" s="178"/>
      <c r="KPN557" s="178"/>
      <c r="KPO557" s="178"/>
      <c r="KPP557" s="178"/>
      <c r="KPQ557" s="178"/>
      <c r="KPR557" s="178"/>
      <c r="KPS557" s="178"/>
      <c r="KPT557" s="178"/>
      <c r="KPU557" s="178"/>
      <c r="KPV557" s="178"/>
      <c r="KPW557" s="178"/>
      <c r="KPX557" s="178"/>
      <c r="KPY557" s="178"/>
      <c r="KPZ557" s="178"/>
      <c r="KQA557" s="178"/>
      <c r="KQB557" s="178"/>
      <c r="KQC557" s="178"/>
      <c r="KQD557" s="178"/>
      <c r="KQE557" s="178"/>
      <c r="KQF557" s="178"/>
      <c r="KQG557" s="178"/>
      <c r="KQH557" s="178"/>
      <c r="KQI557" s="178"/>
      <c r="KQJ557" s="178"/>
      <c r="KQK557" s="178"/>
      <c r="KQL557" s="178"/>
      <c r="KQM557" s="178"/>
      <c r="KQN557" s="178"/>
      <c r="KQO557" s="178"/>
      <c r="KQP557" s="178"/>
      <c r="KQQ557" s="178"/>
      <c r="KQR557" s="178"/>
      <c r="KQS557" s="178"/>
      <c r="KQT557" s="178"/>
      <c r="KQU557" s="178"/>
      <c r="KQV557" s="178"/>
      <c r="KQW557" s="178"/>
      <c r="KQX557" s="178"/>
      <c r="KQY557" s="178"/>
      <c r="KQZ557" s="178"/>
      <c r="KRA557" s="178"/>
      <c r="KRB557" s="178"/>
      <c r="KRC557" s="178"/>
      <c r="KRD557" s="178"/>
      <c r="KRE557" s="178"/>
      <c r="KRF557" s="178"/>
      <c r="KRG557" s="178"/>
      <c r="KRH557" s="178"/>
      <c r="KRI557" s="178"/>
      <c r="KRJ557" s="178"/>
      <c r="KRK557" s="178"/>
      <c r="KRL557" s="178"/>
      <c r="KRM557" s="178"/>
      <c r="KRN557" s="178"/>
      <c r="KRO557" s="178"/>
      <c r="KRP557" s="178"/>
      <c r="KRQ557" s="178"/>
      <c r="KRR557" s="178"/>
      <c r="KRS557" s="178"/>
      <c r="KRT557" s="178"/>
      <c r="KRU557" s="178"/>
      <c r="KRV557" s="178"/>
      <c r="KRW557" s="178"/>
      <c r="KRX557" s="178"/>
      <c r="KRY557" s="178"/>
      <c r="KRZ557" s="178"/>
      <c r="KSA557" s="178"/>
      <c r="KSB557" s="178"/>
      <c r="KSC557" s="178"/>
      <c r="KSD557" s="178"/>
      <c r="KSE557" s="178"/>
      <c r="KSF557" s="178"/>
      <c r="KSG557" s="178"/>
      <c r="KSH557" s="178"/>
      <c r="KSI557" s="178"/>
      <c r="KSJ557" s="178"/>
      <c r="KSK557" s="178"/>
      <c r="KSL557" s="178"/>
      <c r="KSM557" s="178"/>
      <c r="KSN557" s="178"/>
      <c r="KSO557" s="178"/>
      <c r="KSP557" s="178"/>
      <c r="KSQ557" s="178"/>
      <c r="KSR557" s="178"/>
      <c r="KSS557" s="178"/>
      <c r="KST557" s="178"/>
      <c r="KSU557" s="178"/>
      <c r="KSV557" s="178"/>
      <c r="KSW557" s="178"/>
      <c r="KSX557" s="178"/>
      <c r="KSY557" s="178"/>
      <c r="KSZ557" s="178"/>
      <c r="KTA557" s="178"/>
      <c r="KTB557" s="178"/>
      <c r="KTC557" s="178"/>
      <c r="KTD557" s="178"/>
      <c r="KTE557" s="178"/>
      <c r="KTF557" s="178"/>
      <c r="KTG557" s="178"/>
      <c r="KTH557" s="178"/>
      <c r="KTI557" s="178"/>
      <c r="KTJ557" s="178"/>
      <c r="KTK557" s="178"/>
      <c r="KTL557" s="178"/>
      <c r="KTM557" s="178"/>
      <c r="KTN557" s="178"/>
      <c r="KTO557" s="178"/>
      <c r="KTP557" s="178"/>
      <c r="KTQ557" s="178"/>
      <c r="KTR557" s="178"/>
      <c r="KTS557" s="178"/>
      <c r="KTT557" s="178"/>
      <c r="KTU557" s="178"/>
      <c r="KTV557" s="178"/>
      <c r="KTW557" s="178"/>
      <c r="KTX557" s="178"/>
      <c r="KTY557" s="178"/>
      <c r="KTZ557" s="178"/>
      <c r="KUA557" s="178"/>
      <c r="KUB557" s="178"/>
      <c r="KUC557" s="178"/>
      <c r="KUD557" s="178"/>
      <c r="KUE557" s="178"/>
      <c r="KUF557" s="178"/>
      <c r="KUG557" s="178"/>
      <c r="KUH557" s="178"/>
      <c r="KUI557" s="178"/>
      <c r="KUJ557" s="178"/>
      <c r="KUK557" s="178"/>
      <c r="KUL557" s="178"/>
      <c r="KUM557" s="178"/>
      <c r="KUN557" s="178"/>
      <c r="KUO557" s="178"/>
      <c r="KUP557" s="178"/>
      <c r="KUQ557" s="178"/>
      <c r="KUR557" s="178"/>
      <c r="KUS557" s="178"/>
      <c r="KUT557" s="178"/>
      <c r="KUU557" s="178"/>
      <c r="KUV557" s="178"/>
      <c r="KUW557" s="178"/>
      <c r="KUX557" s="178"/>
      <c r="KUY557" s="178"/>
      <c r="KUZ557" s="178"/>
      <c r="KVA557" s="178"/>
      <c r="KVB557" s="178"/>
      <c r="KVC557" s="178"/>
      <c r="KVD557" s="178"/>
      <c r="KVE557" s="178"/>
      <c r="KVF557" s="178"/>
      <c r="KVG557" s="178"/>
      <c r="KVH557" s="178"/>
      <c r="KVI557" s="178"/>
      <c r="KVJ557" s="178"/>
      <c r="KVK557" s="178"/>
      <c r="KVL557" s="178"/>
      <c r="KVM557" s="178"/>
      <c r="KVN557" s="178"/>
      <c r="KVO557" s="178"/>
      <c r="KVP557" s="178"/>
      <c r="KVQ557" s="178"/>
      <c r="KVR557" s="178"/>
      <c r="KVS557" s="178"/>
      <c r="KVT557" s="178"/>
      <c r="KVU557" s="178"/>
      <c r="KVV557" s="178"/>
      <c r="KVW557" s="178"/>
      <c r="KVX557" s="178"/>
      <c r="KVY557" s="178"/>
      <c r="KVZ557" s="178"/>
      <c r="KWA557" s="178"/>
      <c r="KWB557" s="178"/>
      <c r="KWC557" s="178"/>
      <c r="KWD557" s="178"/>
      <c r="KWE557" s="178"/>
      <c r="KWF557" s="178"/>
      <c r="KWG557" s="178"/>
      <c r="KWH557" s="178"/>
      <c r="KWI557" s="178"/>
      <c r="KWJ557" s="178"/>
      <c r="KWK557" s="178"/>
      <c r="KWL557" s="178"/>
      <c r="KWM557" s="178"/>
      <c r="KWN557" s="178"/>
      <c r="KWO557" s="178"/>
      <c r="KWP557" s="178"/>
      <c r="KWQ557" s="178"/>
      <c r="KWR557" s="178"/>
      <c r="KWS557" s="178"/>
      <c r="KWT557" s="178"/>
      <c r="KWU557" s="178"/>
      <c r="KWV557" s="178"/>
      <c r="KWW557" s="178"/>
      <c r="KWX557" s="178"/>
      <c r="KWY557" s="178"/>
      <c r="KWZ557" s="178"/>
      <c r="KXA557" s="178"/>
      <c r="KXB557" s="178"/>
      <c r="KXC557" s="178"/>
      <c r="KXD557" s="178"/>
      <c r="KXE557" s="178"/>
      <c r="KXF557" s="178"/>
      <c r="KXG557" s="178"/>
      <c r="KXH557" s="178"/>
      <c r="KXI557" s="178"/>
      <c r="KXJ557" s="178"/>
      <c r="KXK557" s="178"/>
      <c r="KXL557" s="178"/>
      <c r="KXM557" s="178"/>
      <c r="KXN557" s="178"/>
      <c r="KXO557" s="178"/>
      <c r="KXP557" s="178"/>
      <c r="KXQ557" s="178"/>
      <c r="KXR557" s="178"/>
      <c r="KXS557" s="178"/>
      <c r="KXT557" s="178"/>
      <c r="KXU557" s="178"/>
      <c r="KXV557" s="178"/>
      <c r="KXW557" s="178"/>
      <c r="KXX557" s="178"/>
      <c r="KXY557" s="178"/>
      <c r="KXZ557" s="178"/>
      <c r="KYA557" s="178"/>
      <c r="KYB557" s="178"/>
      <c r="KYC557" s="178"/>
      <c r="KYD557" s="178"/>
      <c r="KYE557" s="178"/>
      <c r="KYF557" s="178"/>
      <c r="KYG557" s="178"/>
      <c r="KYH557" s="178"/>
      <c r="KYI557" s="178"/>
      <c r="KYJ557" s="178"/>
      <c r="KYK557" s="178"/>
      <c r="KYL557" s="178"/>
      <c r="KYM557" s="178"/>
      <c r="KYN557" s="178"/>
      <c r="KYO557" s="178"/>
      <c r="KYP557" s="178"/>
      <c r="KYQ557" s="178"/>
      <c r="KYR557" s="178"/>
      <c r="KYS557" s="178"/>
      <c r="KYT557" s="178"/>
      <c r="KYU557" s="178"/>
      <c r="KYV557" s="178"/>
      <c r="KYW557" s="178"/>
      <c r="KYX557" s="178"/>
      <c r="KYY557" s="178"/>
      <c r="KYZ557" s="178"/>
      <c r="KZA557" s="178"/>
      <c r="KZB557" s="178"/>
      <c r="KZC557" s="178"/>
      <c r="KZD557" s="178"/>
      <c r="KZE557" s="178"/>
      <c r="KZF557" s="178"/>
      <c r="KZG557" s="178"/>
      <c r="KZH557" s="178"/>
      <c r="KZI557" s="178"/>
      <c r="KZJ557" s="178"/>
      <c r="KZK557" s="178"/>
      <c r="KZL557" s="178"/>
      <c r="KZM557" s="178"/>
      <c r="KZN557" s="178"/>
      <c r="KZO557" s="178"/>
      <c r="KZP557" s="178"/>
      <c r="KZQ557" s="178"/>
      <c r="KZR557" s="178"/>
      <c r="KZS557" s="178"/>
      <c r="KZT557" s="178"/>
      <c r="KZU557" s="178"/>
      <c r="KZV557" s="178"/>
      <c r="KZW557" s="178"/>
      <c r="KZX557" s="178"/>
      <c r="KZY557" s="178"/>
      <c r="KZZ557" s="178"/>
      <c r="LAA557" s="178"/>
      <c r="LAB557" s="178"/>
      <c r="LAC557" s="178"/>
      <c r="LAD557" s="178"/>
      <c r="LAE557" s="178"/>
      <c r="LAF557" s="178"/>
      <c r="LAG557" s="178"/>
      <c r="LAH557" s="178"/>
      <c r="LAI557" s="178"/>
      <c r="LAJ557" s="178"/>
      <c r="LAK557" s="178"/>
      <c r="LAL557" s="178"/>
      <c r="LAM557" s="178"/>
      <c r="LAN557" s="178"/>
      <c r="LAO557" s="178"/>
      <c r="LAP557" s="178"/>
      <c r="LAQ557" s="178"/>
      <c r="LAR557" s="178"/>
      <c r="LAS557" s="178"/>
      <c r="LAT557" s="178"/>
      <c r="LAU557" s="178"/>
      <c r="LAV557" s="178"/>
      <c r="LAW557" s="178"/>
      <c r="LAX557" s="178"/>
      <c r="LAY557" s="178"/>
      <c r="LAZ557" s="178"/>
      <c r="LBA557" s="178"/>
      <c r="LBB557" s="178"/>
      <c r="LBC557" s="178"/>
      <c r="LBD557" s="178"/>
      <c r="LBE557" s="178"/>
      <c r="LBF557" s="178"/>
      <c r="LBG557" s="178"/>
      <c r="LBH557" s="178"/>
      <c r="LBI557" s="178"/>
      <c r="LBJ557" s="178"/>
      <c r="LBK557" s="178"/>
      <c r="LBL557" s="178"/>
      <c r="LBM557" s="178"/>
      <c r="LBN557" s="178"/>
      <c r="LBO557" s="178"/>
      <c r="LBP557" s="178"/>
      <c r="LBQ557" s="178"/>
      <c r="LBR557" s="178"/>
      <c r="LBS557" s="178"/>
      <c r="LBT557" s="178"/>
      <c r="LBU557" s="178"/>
      <c r="LBV557" s="178"/>
      <c r="LBW557" s="178"/>
      <c r="LBX557" s="178"/>
      <c r="LBY557" s="178"/>
      <c r="LBZ557" s="178"/>
      <c r="LCA557" s="178"/>
      <c r="LCB557" s="178"/>
      <c r="LCC557" s="178"/>
      <c r="LCD557" s="178"/>
      <c r="LCE557" s="178"/>
      <c r="LCF557" s="178"/>
      <c r="LCG557" s="178"/>
      <c r="LCH557" s="178"/>
      <c r="LCI557" s="178"/>
      <c r="LCJ557" s="178"/>
      <c r="LCK557" s="178"/>
      <c r="LCL557" s="178"/>
      <c r="LCM557" s="178"/>
      <c r="LCN557" s="178"/>
      <c r="LCO557" s="178"/>
      <c r="LCP557" s="178"/>
      <c r="LCQ557" s="178"/>
      <c r="LCR557" s="178"/>
      <c r="LCS557" s="178"/>
      <c r="LCT557" s="178"/>
      <c r="LCU557" s="178"/>
      <c r="LCV557" s="178"/>
      <c r="LCW557" s="178"/>
      <c r="LCX557" s="178"/>
      <c r="LCY557" s="178"/>
      <c r="LCZ557" s="178"/>
      <c r="LDA557" s="178"/>
      <c r="LDB557" s="178"/>
      <c r="LDC557" s="178"/>
      <c r="LDD557" s="178"/>
      <c r="LDE557" s="178"/>
      <c r="LDF557" s="178"/>
      <c r="LDG557" s="178"/>
      <c r="LDH557" s="178"/>
      <c r="LDI557" s="178"/>
      <c r="LDJ557" s="178"/>
      <c r="LDK557" s="178"/>
      <c r="LDL557" s="178"/>
      <c r="LDM557" s="178"/>
      <c r="LDN557" s="178"/>
      <c r="LDO557" s="178"/>
      <c r="LDP557" s="178"/>
      <c r="LDQ557" s="178"/>
      <c r="LDR557" s="178"/>
      <c r="LDS557" s="178"/>
      <c r="LDT557" s="178"/>
      <c r="LDU557" s="178"/>
      <c r="LDV557" s="178"/>
      <c r="LDW557" s="178"/>
      <c r="LDX557" s="178"/>
      <c r="LDY557" s="178"/>
      <c r="LDZ557" s="178"/>
      <c r="LEA557" s="178"/>
      <c r="LEB557" s="178"/>
      <c r="LEC557" s="178"/>
      <c r="LED557" s="178"/>
      <c r="LEE557" s="178"/>
      <c r="LEF557" s="178"/>
      <c r="LEG557" s="178"/>
      <c r="LEH557" s="178"/>
      <c r="LEI557" s="178"/>
      <c r="LEJ557" s="178"/>
      <c r="LEK557" s="178"/>
      <c r="LEL557" s="178"/>
      <c r="LEM557" s="178"/>
      <c r="LEN557" s="178"/>
      <c r="LEO557" s="178"/>
      <c r="LEP557" s="178"/>
      <c r="LEQ557" s="178"/>
      <c r="LER557" s="178"/>
      <c r="LES557" s="178"/>
      <c r="LET557" s="178"/>
      <c r="LEU557" s="178"/>
      <c r="LEV557" s="178"/>
      <c r="LEW557" s="178"/>
      <c r="LEX557" s="178"/>
      <c r="LEY557" s="178"/>
      <c r="LEZ557" s="178"/>
      <c r="LFA557" s="178"/>
      <c r="LFB557" s="178"/>
      <c r="LFC557" s="178"/>
      <c r="LFD557" s="178"/>
      <c r="LFE557" s="178"/>
      <c r="LFF557" s="178"/>
      <c r="LFG557" s="178"/>
      <c r="LFH557" s="178"/>
      <c r="LFI557" s="178"/>
      <c r="LFJ557" s="178"/>
      <c r="LFK557" s="178"/>
      <c r="LFL557" s="178"/>
      <c r="LFM557" s="178"/>
      <c r="LFN557" s="178"/>
      <c r="LFO557" s="178"/>
      <c r="LFP557" s="178"/>
      <c r="LFQ557" s="178"/>
      <c r="LFR557" s="178"/>
      <c r="LFS557" s="178"/>
      <c r="LFT557" s="178"/>
      <c r="LFU557" s="178"/>
      <c r="LFV557" s="178"/>
      <c r="LFW557" s="178"/>
      <c r="LFX557" s="178"/>
      <c r="LFY557" s="178"/>
      <c r="LFZ557" s="178"/>
      <c r="LGA557" s="178"/>
      <c r="LGB557" s="178"/>
      <c r="LGC557" s="178"/>
      <c r="LGD557" s="178"/>
      <c r="LGE557" s="178"/>
      <c r="LGF557" s="178"/>
      <c r="LGG557" s="178"/>
      <c r="LGH557" s="178"/>
      <c r="LGI557" s="178"/>
      <c r="LGJ557" s="178"/>
      <c r="LGK557" s="178"/>
      <c r="LGL557" s="178"/>
      <c r="LGM557" s="178"/>
      <c r="LGN557" s="178"/>
      <c r="LGO557" s="178"/>
      <c r="LGP557" s="178"/>
      <c r="LGQ557" s="178"/>
      <c r="LGR557" s="178"/>
      <c r="LGS557" s="178"/>
      <c r="LGT557" s="178"/>
      <c r="LGU557" s="178"/>
      <c r="LGV557" s="178"/>
      <c r="LGW557" s="178"/>
      <c r="LGX557" s="178"/>
      <c r="LGY557" s="178"/>
      <c r="LGZ557" s="178"/>
      <c r="LHA557" s="178"/>
      <c r="LHB557" s="178"/>
      <c r="LHC557" s="178"/>
      <c r="LHD557" s="178"/>
      <c r="LHE557" s="178"/>
      <c r="LHF557" s="178"/>
      <c r="LHG557" s="178"/>
      <c r="LHH557" s="178"/>
      <c r="LHI557" s="178"/>
      <c r="LHJ557" s="178"/>
      <c r="LHK557" s="178"/>
      <c r="LHL557" s="178"/>
      <c r="LHM557" s="178"/>
      <c r="LHN557" s="178"/>
      <c r="LHO557" s="178"/>
      <c r="LHP557" s="178"/>
      <c r="LHQ557" s="178"/>
      <c r="LHR557" s="178"/>
      <c r="LHS557" s="178"/>
      <c r="LHT557" s="178"/>
      <c r="LHU557" s="178"/>
      <c r="LHV557" s="178"/>
      <c r="LHW557" s="178"/>
      <c r="LHX557" s="178"/>
      <c r="LHY557" s="178"/>
      <c r="LHZ557" s="178"/>
      <c r="LIA557" s="178"/>
      <c r="LIB557" s="178"/>
      <c r="LIC557" s="178"/>
      <c r="LID557" s="178"/>
      <c r="LIE557" s="178"/>
      <c r="LIF557" s="178"/>
      <c r="LIG557" s="178"/>
      <c r="LIH557" s="178"/>
      <c r="LII557" s="178"/>
      <c r="LIJ557" s="178"/>
      <c r="LIK557" s="178"/>
      <c r="LIL557" s="178"/>
      <c r="LIM557" s="178"/>
      <c r="LIN557" s="178"/>
      <c r="LIO557" s="178"/>
      <c r="LIP557" s="178"/>
      <c r="LIQ557" s="178"/>
      <c r="LIR557" s="178"/>
      <c r="LIS557" s="178"/>
      <c r="LIT557" s="178"/>
      <c r="LIU557" s="178"/>
      <c r="LIV557" s="178"/>
      <c r="LIW557" s="178"/>
      <c r="LIX557" s="178"/>
      <c r="LIY557" s="178"/>
      <c r="LIZ557" s="178"/>
      <c r="LJA557" s="178"/>
      <c r="LJB557" s="178"/>
      <c r="LJC557" s="178"/>
      <c r="LJD557" s="178"/>
      <c r="LJE557" s="178"/>
      <c r="LJF557" s="178"/>
      <c r="LJG557" s="178"/>
      <c r="LJH557" s="178"/>
      <c r="LJI557" s="178"/>
      <c r="LJJ557" s="178"/>
      <c r="LJK557" s="178"/>
      <c r="LJL557" s="178"/>
      <c r="LJM557" s="178"/>
      <c r="LJN557" s="178"/>
      <c r="LJO557" s="178"/>
      <c r="LJP557" s="178"/>
      <c r="LJQ557" s="178"/>
      <c r="LJR557" s="178"/>
      <c r="LJS557" s="178"/>
      <c r="LJT557" s="178"/>
      <c r="LJU557" s="178"/>
      <c r="LJV557" s="178"/>
      <c r="LJW557" s="178"/>
      <c r="LJX557" s="178"/>
      <c r="LJY557" s="178"/>
      <c r="LJZ557" s="178"/>
      <c r="LKA557" s="178"/>
      <c r="LKB557" s="178"/>
      <c r="LKC557" s="178"/>
      <c r="LKD557" s="178"/>
      <c r="LKE557" s="178"/>
      <c r="LKF557" s="178"/>
      <c r="LKG557" s="178"/>
      <c r="LKH557" s="178"/>
      <c r="LKI557" s="178"/>
      <c r="LKJ557" s="178"/>
      <c r="LKK557" s="178"/>
      <c r="LKL557" s="178"/>
      <c r="LKM557" s="178"/>
      <c r="LKN557" s="178"/>
      <c r="LKO557" s="178"/>
      <c r="LKP557" s="178"/>
      <c r="LKQ557" s="178"/>
      <c r="LKR557" s="178"/>
      <c r="LKS557" s="178"/>
      <c r="LKT557" s="178"/>
      <c r="LKU557" s="178"/>
      <c r="LKV557" s="178"/>
      <c r="LKW557" s="178"/>
      <c r="LKX557" s="178"/>
      <c r="LKY557" s="178"/>
      <c r="LKZ557" s="178"/>
      <c r="LLA557" s="178"/>
      <c r="LLB557" s="178"/>
      <c r="LLC557" s="178"/>
      <c r="LLD557" s="178"/>
      <c r="LLE557" s="178"/>
      <c r="LLF557" s="178"/>
      <c r="LLG557" s="178"/>
      <c r="LLH557" s="178"/>
      <c r="LLI557" s="178"/>
      <c r="LLJ557" s="178"/>
      <c r="LLK557" s="178"/>
      <c r="LLL557" s="178"/>
      <c r="LLM557" s="178"/>
      <c r="LLN557" s="178"/>
      <c r="LLO557" s="178"/>
      <c r="LLP557" s="178"/>
      <c r="LLQ557" s="178"/>
      <c r="LLR557" s="178"/>
      <c r="LLS557" s="178"/>
      <c r="LLT557" s="178"/>
      <c r="LLU557" s="178"/>
      <c r="LLV557" s="178"/>
      <c r="LLW557" s="178"/>
      <c r="LLX557" s="178"/>
      <c r="LLY557" s="178"/>
      <c r="LLZ557" s="178"/>
      <c r="LMA557" s="178"/>
      <c r="LMB557" s="178"/>
      <c r="LMC557" s="178"/>
      <c r="LMD557" s="178"/>
      <c r="LME557" s="178"/>
      <c r="LMF557" s="178"/>
      <c r="LMG557" s="178"/>
      <c r="LMH557" s="178"/>
      <c r="LMI557" s="178"/>
      <c r="LMJ557" s="178"/>
      <c r="LMK557" s="178"/>
      <c r="LML557" s="178"/>
      <c r="LMM557" s="178"/>
      <c r="LMN557" s="178"/>
      <c r="LMO557" s="178"/>
      <c r="LMP557" s="178"/>
      <c r="LMQ557" s="178"/>
      <c r="LMR557" s="178"/>
      <c r="LMS557" s="178"/>
      <c r="LMT557" s="178"/>
      <c r="LMU557" s="178"/>
      <c r="LMV557" s="178"/>
      <c r="LMW557" s="178"/>
      <c r="LMX557" s="178"/>
      <c r="LMY557" s="178"/>
      <c r="LMZ557" s="178"/>
      <c r="LNA557" s="178"/>
      <c r="LNB557" s="178"/>
      <c r="LNC557" s="178"/>
      <c r="LND557" s="178"/>
      <c r="LNE557" s="178"/>
      <c r="LNF557" s="178"/>
      <c r="LNG557" s="178"/>
      <c r="LNH557" s="178"/>
      <c r="LNI557" s="178"/>
      <c r="LNJ557" s="178"/>
      <c r="LNK557" s="178"/>
      <c r="LNL557" s="178"/>
      <c r="LNM557" s="178"/>
      <c r="LNN557" s="178"/>
      <c r="LNO557" s="178"/>
      <c r="LNP557" s="178"/>
      <c r="LNQ557" s="178"/>
      <c r="LNR557" s="178"/>
      <c r="LNS557" s="178"/>
      <c r="LNT557" s="178"/>
      <c r="LNU557" s="178"/>
      <c r="LNV557" s="178"/>
      <c r="LNW557" s="178"/>
      <c r="LNX557" s="178"/>
      <c r="LNY557" s="178"/>
      <c r="LNZ557" s="178"/>
      <c r="LOA557" s="178"/>
      <c r="LOB557" s="178"/>
      <c r="LOC557" s="178"/>
      <c r="LOD557" s="178"/>
      <c r="LOE557" s="178"/>
      <c r="LOF557" s="178"/>
      <c r="LOG557" s="178"/>
      <c r="LOH557" s="178"/>
      <c r="LOI557" s="178"/>
      <c r="LOJ557" s="178"/>
      <c r="LOK557" s="178"/>
      <c r="LOL557" s="178"/>
      <c r="LOM557" s="178"/>
      <c r="LON557" s="178"/>
      <c r="LOO557" s="178"/>
      <c r="LOP557" s="178"/>
      <c r="LOQ557" s="178"/>
      <c r="LOR557" s="178"/>
      <c r="LOS557" s="178"/>
      <c r="LOT557" s="178"/>
      <c r="LOU557" s="178"/>
      <c r="LOV557" s="178"/>
      <c r="LOW557" s="178"/>
      <c r="LOX557" s="178"/>
      <c r="LOY557" s="178"/>
      <c r="LOZ557" s="178"/>
      <c r="LPA557" s="178"/>
      <c r="LPB557" s="178"/>
      <c r="LPC557" s="178"/>
      <c r="LPD557" s="178"/>
      <c r="LPE557" s="178"/>
      <c r="LPF557" s="178"/>
      <c r="LPG557" s="178"/>
      <c r="LPH557" s="178"/>
      <c r="LPI557" s="178"/>
      <c r="LPJ557" s="178"/>
      <c r="LPK557" s="178"/>
      <c r="LPL557" s="178"/>
      <c r="LPM557" s="178"/>
      <c r="LPN557" s="178"/>
      <c r="LPO557" s="178"/>
      <c r="LPP557" s="178"/>
      <c r="LPQ557" s="178"/>
      <c r="LPR557" s="178"/>
      <c r="LPS557" s="178"/>
      <c r="LPT557" s="178"/>
      <c r="LPU557" s="178"/>
      <c r="LPV557" s="178"/>
      <c r="LPW557" s="178"/>
      <c r="LPX557" s="178"/>
      <c r="LPY557" s="178"/>
      <c r="LPZ557" s="178"/>
      <c r="LQA557" s="178"/>
      <c r="LQB557" s="178"/>
      <c r="LQC557" s="178"/>
      <c r="LQD557" s="178"/>
      <c r="LQE557" s="178"/>
      <c r="LQF557" s="178"/>
      <c r="LQG557" s="178"/>
      <c r="LQH557" s="178"/>
      <c r="LQI557" s="178"/>
      <c r="LQJ557" s="178"/>
      <c r="LQK557" s="178"/>
      <c r="LQL557" s="178"/>
      <c r="LQM557" s="178"/>
      <c r="LQN557" s="178"/>
      <c r="LQO557" s="178"/>
      <c r="LQP557" s="178"/>
      <c r="LQQ557" s="178"/>
      <c r="LQR557" s="178"/>
      <c r="LQS557" s="178"/>
      <c r="LQT557" s="178"/>
      <c r="LQU557" s="178"/>
      <c r="LQV557" s="178"/>
      <c r="LQW557" s="178"/>
      <c r="LQX557" s="178"/>
      <c r="LQY557" s="178"/>
      <c r="LQZ557" s="178"/>
      <c r="LRA557" s="178"/>
      <c r="LRB557" s="178"/>
      <c r="LRC557" s="178"/>
      <c r="LRD557" s="178"/>
      <c r="LRE557" s="178"/>
      <c r="LRF557" s="178"/>
      <c r="LRG557" s="178"/>
      <c r="LRH557" s="178"/>
      <c r="LRI557" s="178"/>
      <c r="LRJ557" s="178"/>
      <c r="LRK557" s="178"/>
      <c r="LRL557" s="178"/>
      <c r="LRM557" s="178"/>
      <c r="LRN557" s="178"/>
      <c r="LRO557" s="178"/>
      <c r="LRP557" s="178"/>
      <c r="LRQ557" s="178"/>
      <c r="LRR557" s="178"/>
      <c r="LRS557" s="178"/>
      <c r="LRT557" s="178"/>
      <c r="LRU557" s="178"/>
      <c r="LRV557" s="178"/>
      <c r="LRW557" s="178"/>
      <c r="LRX557" s="178"/>
      <c r="LRY557" s="178"/>
      <c r="LRZ557" s="178"/>
      <c r="LSA557" s="178"/>
      <c r="LSB557" s="178"/>
      <c r="LSC557" s="178"/>
      <c r="LSD557" s="178"/>
      <c r="LSE557" s="178"/>
      <c r="LSF557" s="178"/>
      <c r="LSG557" s="178"/>
      <c r="LSH557" s="178"/>
      <c r="LSI557" s="178"/>
      <c r="LSJ557" s="178"/>
      <c r="LSK557" s="178"/>
      <c r="LSL557" s="178"/>
      <c r="LSM557" s="178"/>
      <c r="LSN557" s="178"/>
      <c r="LSO557" s="178"/>
      <c r="LSP557" s="178"/>
      <c r="LSQ557" s="178"/>
      <c r="LSR557" s="178"/>
      <c r="LSS557" s="178"/>
      <c r="LST557" s="178"/>
      <c r="LSU557" s="178"/>
      <c r="LSV557" s="178"/>
      <c r="LSW557" s="178"/>
      <c r="LSX557" s="178"/>
      <c r="LSY557" s="178"/>
      <c r="LSZ557" s="178"/>
      <c r="LTA557" s="178"/>
      <c r="LTB557" s="178"/>
      <c r="LTC557" s="178"/>
      <c r="LTD557" s="178"/>
      <c r="LTE557" s="178"/>
      <c r="LTF557" s="178"/>
      <c r="LTG557" s="178"/>
      <c r="LTH557" s="178"/>
      <c r="LTI557" s="178"/>
      <c r="LTJ557" s="178"/>
      <c r="LTK557" s="178"/>
      <c r="LTL557" s="178"/>
      <c r="LTM557" s="178"/>
      <c r="LTN557" s="178"/>
      <c r="LTO557" s="178"/>
      <c r="LTP557" s="178"/>
      <c r="LTQ557" s="178"/>
      <c r="LTR557" s="178"/>
      <c r="LTS557" s="178"/>
      <c r="LTT557" s="178"/>
      <c r="LTU557" s="178"/>
      <c r="LTV557" s="178"/>
      <c r="LTW557" s="178"/>
      <c r="LTX557" s="178"/>
      <c r="LTY557" s="178"/>
      <c r="LTZ557" s="178"/>
      <c r="LUA557" s="178"/>
      <c r="LUB557" s="178"/>
      <c r="LUC557" s="178"/>
      <c r="LUD557" s="178"/>
      <c r="LUE557" s="178"/>
      <c r="LUF557" s="178"/>
      <c r="LUG557" s="178"/>
      <c r="LUH557" s="178"/>
      <c r="LUI557" s="178"/>
      <c r="LUJ557" s="178"/>
      <c r="LUK557" s="178"/>
      <c r="LUL557" s="178"/>
      <c r="LUM557" s="178"/>
      <c r="LUN557" s="178"/>
      <c r="LUO557" s="178"/>
      <c r="LUP557" s="178"/>
      <c r="LUQ557" s="178"/>
      <c r="LUR557" s="178"/>
      <c r="LUS557" s="178"/>
      <c r="LUT557" s="178"/>
      <c r="LUU557" s="178"/>
      <c r="LUV557" s="178"/>
      <c r="LUW557" s="178"/>
      <c r="LUX557" s="178"/>
      <c r="LUY557" s="178"/>
      <c r="LUZ557" s="178"/>
      <c r="LVA557" s="178"/>
      <c r="LVB557" s="178"/>
      <c r="LVC557" s="178"/>
      <c r="LVD557" s="178"/>
      <c r="LVE557" s="178"/>
      <c r="LVF557" s="178"/>
      <c r="LVG557" s="178"/>
      <c r="LVH557" s="178"/>
      <c r="LVI557" s="178"/>
      <c r="LVJ557" s="178"/>
      <c r="LVK557" s="178"/>
      <c r="LVL557" s="178"/>
      <c r="LVM557" s="178"/>
      <c r="LVN557" s="178"/>
      <c r="LVO557" s="178"/>
      <c r="LVP557" s="178"/>
      <c r="LVQ557" s="178"/>
      <c r="LVR557" s="178"/>
      <c r="LVS557" s="178"/>
      <c r="LVT557" s="178"/>
      <c r="LVU557" s="178"/>
      <c r="LVV557" s="178"/>
      <c r="LVW557" s="178"/>
      <c r="LVX557" s="178"/>
      <c r="LVY557" s="178"/>
      <c r="LVZ557" s="178"/>
      <c r="LWA557" s="178"/>
      <c r="LWB557" s="178"/>
      <c r="LWC557" s="178"/>
      <c r="LWD557" s="178"/>
      <c r="LWE557" s="178"/>
      <c r="LWF557" s="178"/>
      <c r="LWG557" s="178"/>
      <c r="LWH557" s="178"/>
      <c r="LWI557" s="178"/>
      <c r="LWJ557" s="178"/>
      <c r="LWK557" s="178"/>
      <c r="LWL557" s="178"/>
      <c r="LWM557" s="178"/>
      <c r="LWN557" s="178"/>
      <c r="LWO557" s="178"/>
      <c r="LWP557" s="178"/>
      <c r="LWQ557" s="178"/>
      <c r="LWR557" s="178"/>
      <c r="LWS557" s="178"/>
      <c r="LWT557" s="178"/>
      <c r="LWU557" s="178"/>
      <c r="LWV557" s="178"/>
      <c r="LWW557" s="178"/>
      <c r="LWX557" s="178"/>
      <c r="LWY557" s="178"/>
      <c r="LWZ557" s="178"/>
      <c r="LXA557" s="178"/>
      <c r="LXB557" s="178"/>
      <c r="LXC557" s="178"/>
      <c r="LXD557" s="178"/>
      <c r="LXE557" s="178"/>
      <c r="LXF557" s="178"/>
      <c r="LXG557" s="178"/>
      <c r="LXH557" s="178"/>
      <c r="LXI557" s="178"/>
      <c r="LXJ557" s="178"/>
      <c r="LXK557" s="178"/>
      <c r="LXL557" s="178"/>
      <c r="LXM557" s="178"/>
      <c r="LXN557" s="178"/>
      <c r="LXO557" s="178"/>
      <c r="LXP557" s="178"/>
      <c r="LXQ557" s="178"/>
      <c r="LXR557" s="178"/>
      <c r="LXS557" s="178"/>
      <c r="LXT557" s="178"/>
      <c r="LXU557" s="178"/>
      <c r="LXV557" s="178"/>
      <c r="LXW557" s="178"/>
      <c r="LXX557" s="178"/>
      <c r="LXY557" s="178"/>
      <c r="LXZ557" s="178"/>
      <c r="LYA557" s="178"/>
      <c r="LYB557" s="178"/>
      <c r="LYC557" s="178"/>
      <c r="LYD557" s="178"/>
      <c r="LYE557" s="178"/>
      <c r="LYF557" s="178"/>
      <c r="LYG557" s="178"/>
      <c r="LYH557" s="178"/>
      <c r="LYI557" s="178"/>
      <c r="LYJ557" s="178"/>
      <c r="LYK557" s="178"/>
      <c r="LYL557" s="178"/>
      <c r="LYM557" s="178"/>
      <c r="LYN557" s="178"/>
      <c r="LYO557" s="178"/>
      <c r="LYP557" s="178"/>
      <c r="LYQ557" s="178"/>
      <c r="LYR557" s="178"/>
      <c r="LYS557" s="178"/>
      <c r="LYT557" s="178"/>
      <c r="LYU557" s="178"/>
      <c r="LYV557" s="178"/>
      <c r="LYW557" s="178"/>
      <c r="LYX557" s="178"/>
      <c r="LYY557" s="178"/>
      <c r="LYZ557" s="178"/>
      <c r="LZA557" s="178"/>
      <c r="LZB557" s="178"/>
      <c r="LZC557" s="178"/>
      <c r="LZD557" s="178"/>
      <c r="LZE557" s="178"/>
      <c r="LZF557" s="178"/>
      <c r="LZG557" s="178"/>
      <c r="LZH557" s="178"/>
      <c r="LZI557" s="178"/>
      <c r="LZJ557" s="178"/>
      <c r="LZK557" s="178"/>
      <c r="LZL557" s="178"/>
      <c r="LZM557" s="178"/>
      <c r="LZN557" s="178"/>
      <c r="LZO557" s="178"/>
      <c r="LZP557" s="178"/>
      <c r="LZQ557" s="178"/>
      <c r="LZR557" s="178"/>
      <c r="LZS557" s="178"/>
      <c r="LZT557" s="178"/>
      <c r="LZU557" s="178"/>
      <c r="LZV557" s="178"/>
      <c r="LZW557" s="178"/>
      <c r="LZX557" s="178"/>
      <c r="LZY557" s="178"/>
      <c r="LZZ557" s="178"/>
      <c r="MAA557" s="178"/>
      <c r="MAB557" s="178"/>
      <c r="MAC557" s="178"/>
      <c r="MAD557" s="178"/>
      <c r="MAE557" s="178"/>
      <c r="MAF557" s="178"/>
      <c r="MAG557" s="178"/>
      <c r="MAH557" s="178"/>
      <c r="MAI557" s="178"/>
      <c r="MAJ557" s="178"/>
      <c r="MAK557" s="178"/>
      <c r="MAL557" s="178"/>
      <c r="MAM557" s="178"/>
      <c r="MAN557" s="178"/>
      <c r="MAO557" s="178"/>
      <c r="MAP557" s="178"/>
      <c r="MAQ557" s="178"/>
      <c r="MAR557" s="178"/>
      <c r="MAS557" s="178"/>
      <c r="MAT557" s="178"/>
      <c r="MAU557" s="178"/>
      <c r="MAV557" s="178"/>
      <c r="MAW557" s="178"/>
      <c r="MAX557" s="178"/>
      <c r="MAY557" s="178"/>
      <c r="MAZ557" s="178"/>
      <c r="MBA557" s="178"/>
      <c r="MBB557" s="178"/>
      <c r="MBC557" s="178"/>
      <c r="MBD557" s="178"/>
      <c r="MBE557" s="178"/>
      <c r="MBF557" s="178"/>
      <c r="MBG557" s="178"/>
      <c r="MBH557" s="178"/>
      <c r="MBI557" s="178"/>
      <c r="MBJ557" s="178"/>
      <c r="MBK557" s="178"/>
      <c r="MBL557" s="178"/>
      <c r="MBM557" s="178"/>
      <c r="MBN557" s="178"/>
      <c r="MBO557" s="178"/>
      <c r="MBP557" s="178"/>
      <c r="MBQ557" s="178"/>
      <c r="MBR557" s="178"/>
      <c r="MBS557" s="178"/>
      <c r="MBT557" s="178"/>
      <c r="MBU557" s="178"/>
      <c r="MBV557" s="178"/>
      <c r="MBW557" s="178"/>
      <c r="MBX557" s="178"/>
      <c r="MBY557" s="178"/>
      <c r="MBZ557" s="178"/>
      <c r="MCA557" s="178"/>
      <c r="MCB557" s="178"/>
      <c r="MCC557" s="178"/>
      <c r="MCD557" s="178"/>
      <c r="MCE557" s="178"/>
      <c r="MCF557" s="178"/>
      <c r="MCG557" s="178"/>
      <c r="MCH557" s="178"/>
      <c r="MCI557" s="178"/>
      <c r="MCJ557" s="178"/>
      <c r="MCK557" s="178"/>
      <c r="MCL557" s="178"/>
      <c r="MCM557" s="178"/>
      <c r="MCN557" s="178"/>
      <c r="MCO557" s="178"/>
      <c r="MCP557" s="178"/>
      <c r="MCQ557" s="178"/>
      <c r="MCR557" s="178"/>
      <c r="MCS557" s="178"/>
      <c r="MCT557" s="178"/>
      <c r="MCU557" s="178"/>
      <c r="MCV557" s="178"/>
      <c r="MCW557" s="178"/>
      <c r="MCX557" s="178"/>
      <c r="MCY557" s="178"/>
      <c r="MCZ557" s="178"/>
      <c r="MDA557" s="178"/>
      <c r="MDB557" s="178"/>
      <c r="MDC557" s="178"/>
      <c r="MDD557" s="178"/>
      <c r="MDE557" s="178"/>
      <c r="MDF557" s="178"/>
      <c r="MDG557" s="178"/>
      <c r="MDH557" s="178"/>
      <c r="MDI557" s="178"/>
      <c r="MDJ557" s="178"/>
      <c r="MDK557" s="178"/>
      <c r="MDL557" s="178"/>
      <c r="MDM557" s="178"/>
      <c r="MDN557" s="178"/>
      <c r="MDO557" s="178"/>
      <c r="MDP557" s="178"/>
      <c r="MDQ557" s="178"/>
      <c r="MDR557" s="178"/>
      <c r="MDS557" s="178"/>
      <c r="MDT557" s="178"/>
      <c r="MDU557" s="178"/>
      <c r="MDV557" s="178"/>
      <c r="MDW557" s="178"/>
      <c r="MDX557" s="178"/>
      <c r="MDY557" s="178"/>
      <c r="MDZ557" s="178"/>
      <c r="MEA557" s="178"/>
      <c r="MEB557" s="178"/>
      <c r="MEC557" s="178"/>
      <c r="MED557" s="178"/>
      <c r="MEE557" s="178"/>
      <c r="MEF557" s="178"/>
      <c r="MEG557" s="178"/>
      <c r="MEH557" s="178"/>
      <c r="MEI557" s="178"/>
      <c r="MEJ557" s="178"/>
      <c r="MEK557" s="178"/>
      <c r="MEL557" s="178"/>
      <c r="MEM557" s="178"/>
      <c r="MEN557" s="178"/>
      <c r="MEO557" s="178"/>
      <c r="MEP557" s="178"/>
      <c r="MEQ557" s="178"/>
      <c r="MER557" s="178"/>
      <c r="MES557" s="178"/>
      <c r="MET557" s="178"/>
      <c r="MEU557" s="178"/>
      <c r="MEV557" s="178"/>
      <c r="MEW557" s="178"/>
      <c r="MEX557" s="178"/>
      <c r="MEY557" s="178"/>
      <c r="MEZ557" s="178"/>
      <c r="MFA557" s="178"/>
      <c r="MFB557" s="178"/>
      <c r="MFC557" s="178"/>
      <c r="MFD557" s="178"/>
      <c r="MFE557" s="178"/>
      <c r="MFF557" s="178"/>
      <c r="MFG557" s="178"/>
      <c r="MFH557" s="178"/>
      <c r="MFI557" s="178"/>
      <c r="MFJ557" s="178"/>
      <c r="MFK557" s="178"/>
      <c r="MFL557" s="178"/>
      <c r="MFM557" s="178"/>
      <c r="MFN557" s="178"/>
      <c r="MFO557" s="178"/>
      <c r="MFP557" s="178"/>
      <c r="MFQ557" s="178"/>
      <c r="MFR557" s="178"/>
      <c r="MFS557" s="178"/>
      <c r="MFT557" s="178"/>
      <c r="MFU557" s="178"/>
      <c r="MFV557" s="178"/>
      <c r="MFW557" s="178"/>
      <c r="MFX557" s="178"/>
      <c r="MFY557" s="178"/>
      <c r="MFZ557" s="178"/>
      <c r="MGA557" s="178"/>
      <c r="MGB557" s="178"/>
      <c r="MGC557" s="178"/>
      <c r="MGD557" s="178"/>
      <c r="MGE557" s="178"/>
      <c r="MGF557" s="178"/>
      <c r="MGG557" s="178"/>
      <c r="MGH557" s="178"/>
      <c r="MGI557" s="178"/>
      <c r="MGJ557" s="178"/>
      <c r="MGK557" s="178"/>
      <c r="MGL557" s="178"/>
      <c r="MGM557" s="178"/>
      <c r="MGN557" s="178"/>
      <c r="MGO557" s="178"/>
      <c r="MGP557" s="178"/>
      <c r="MGQ557" s="178"/>
      <c r="MGR557" s="178"/>
      <c r="MGS557" s="178"/>
      <c r="MGT557" s="178"/>
      <c r="MGU557" s="178"/>
      <c r="MGV557" s="178"/>
      <c r="MGW557" s="178"/>
      <c r="MGX557" s="178"/>
      <c r="MGY557" s="178"/>
      <c r="MGZ557" s="178"/>
      <c r="MHA557" s="178"/>
      <c r="MHB557" s="178"/>
      <c r="MHC557" s="178"/>
      <c r="MHD557" s="178"/>
      <c r="MHE557" s="178"/>
      <c r="MHF557" s="178"/>
      <c r="MHG557" s="178"/>
      <c r="MHH557" s="178"/>
      <c r="MHI557" s="178"/>
      <c r="MHJ557" s="178"/>
      <c r="MHK557" s="178"/>
      <c r="MHL557" s="178"/>
      <c r="MHM557" s="178"/>
      <c r="MHN557" s="178"/>
      <c r="MHO557" s="178"/>
      <c r="MHP557" s="178"/>
      <c r="MHQ557" s="178"/>
      <c r="MHR557" s="178"/>
      <c r="MHS557" s="178"/>
      <c r="MHT557" s="178"/>
      <c r="MHU557" s="178"/>
      <c r="MHV557" s="178"/>
      <c r="MHW557" s="178"/>
      <c r="MHX557" s="178"/>
      <c r="MHY557" s="178"/>
      <c r="MHZ557" s="178"/>
      <c r="MIA557" s="178"/>
      <c r="MIB557" s="178"/>
      <c r="MIC557" s="178"/>
      <c r="MID557" s="178"/>
      <c r="MIE557" s="178"/>
      <c r="MIF557" s="178"/>
      <c r="MIG557" s="178"/>
      <c r="MIH557" s="178"/>
      <c r="MII557" s="178"/>
      <c r="MIJ557" s="178"/>
      <c r="MIK557" s="178"/>
      <c r="MIL557" s="178"/>
      <c r="MIM557" s="178"/>
      <c r="MIN557" s="178"/>
      <c r="MIO557" s="178"/>
      <c r="MIP557" s="178"/>
      <c r="MIQ557" s="178"/>
      <c r="MIR557" s="178"/>
      <c r="MIS557" s="178"/>
      <c r="MIT557" s="178"/>
      <c r="MIU557" s="178"/>
      <c r="MIV557" s="178"/>
      <c r="MIW557" s="178"/>
      <c r="MIX557" s="178"/>
      <c r="MIY557" s="178"/>
      <c r="MIZ557" s="178"/>
      <c r="MJA557" s="178"/>
      <c r="MJB557" s="178"/>
      <c r="MJC557" s="178"/>
      <c r="MJD557" s="178"/>
      <c r="MJE557" s="178"/>
      <c r="MJF557" s="178"/>
      <c r="MJG557" s="178"/>
      <c r="MJH557" s="178"/>
      <c r="MJI557" s="178"/>
      <c r="MJJ557" s="178"/>
      <c r="MJK557" s="178"/>
      <c r="MJL557" s="178"/>
      <c r="MJM557" s="178"/>
      <c r="MJN557" s="178"/>
      <c r="MJO557" s="178"/>
      <c r="MJP557" s="178"/>
      <c r="MJQ557" s="178"/>
      <c r="MJR557" s="178"/>
      <c r="MJS557" s="178"/>
      <c r="MJT557" s="178"/>
      <c r="MJU557" s="178"/>
      <c r="MJV557" s="178"/>
      <c r="MJW557" s="178"/>
      <c r="MJX557" s="178"/>
      <c r="MJY557" s="178"/>
      <c r="MJZ557" s="178"/>
      <c r="MKA557" s="178"/>
      <c r="MKB557" s="178"/>
      <c r="MKC557" s="178"/>
      <c r="MKD557" s="178"/>
      <c r="MKE557" s="178"/>
      <c r="MKF557" s="178"/>
      <c r="MKG557" s="178"/>
      <c r="MKH557" s="178"/>
      <c r="MKI557" s="178"/>
      <c r="MKJ557" s="178"/>
      <c r="MKK557" s="178"/>
      <c r="MKL557" s="178"/>
      <c r="MKM557" s="178"/>
      <c r="MKN557" s="178"/>
      <c r="MKO557" s="178"/>
      <c r="MKP557" s="178"/>
      <c r="MKQ557" s="178"/>
      <c r="MKR557" s="178"/>
      <c r="MKS557" s="178"/>
      <c r="MKT557" s="178"/>
      <c r="MKU557" s="178"/>
      <c r="MKV557" s="178"/>
      <c r="MKW557" s="178"/>
      <c r="MKX557" s="178"/>
      <c r="MKY557" s="178"/>
      <c r="MKZ557" s="178"/>
      <c r="MLA557" s="178"/>
      <c r="MLB557" s="178"/>
      <c r="MLC557" s="178"/>
      <c r="MLD557" s="178"/>
      <c r="MLE557" s="178"/>
      <c r="MLF557" s="178"/>
      <c r="MLG557" s="178"/>
      <c r="MLH557" s="178"/>
      <c r="MLI557" s="178"/>
      <c r="MLJ557" s="178"/>
      <c r="MLK557" s="178"/>
      <c r="MLL557" s="178"/>
      <c r="MLM557" s="178"/>
      <c r="MLN557" s="178"/>
      <c r="MLO557" s="178"/>
      <c r="MLP557" s="178"/>
      <c r="MLQ557" s="178"/>
      <c r="MLR557" s="178"/>
      <c r="MLS557" s="178"/>
      <c r="MLT557" s="178"/>
      <c r="MLU557" s="178"/>
      <c r="MLV557" s="178"/>
      <c r="MLW557" s="178"/>
      <c r="MLX557" s="178"/>
      <c r="MLY557" s="178"/>
      <c r="MLZ557" s="178"/>
      <c r="MMA557" s="178"/>
      <c r="MMB557" s="178"/>
      <c r="MMC557" s="178"/>
      <c r="MMD557" s="178"/>
      <c r="MME557" s="178"/>
      <c r="MMF557" s="178"/>
      <c r="MMG557" s="178"/>
      <c r="MMH557" s="178"/>
      <c r="MMI557" s="178"/>
      <c r="MMJ557" s="178"/>
      <c r="MMK557" s="178"/>
      <c r="MML557" s="178"/>
      <c r="MMM557" s="178"/>
      <c r="MMN557" s="178"/>
      <c r="MMO557" s="178"/>
      <c r="MMP557" s="178"/>
      <c r="MMQ557" s="178"/>
      <c r="MMR557" s="178"/>
      <c r="MMS557" s="178"/>
      <c r="MMT557" s="178"/>
      <c r="MMU557" s="178"/>
      <c r="MMV557" s="178"/>
      <c r="MMW557" s="178"/>
      <c r="MMX557" s="178"/>
      <c r="MMY557" s="178"/>
      <c r="MMZ557" s="178"/>
      <c r="MNA557" s="178"/>
      <c r="MNB557" s="178"/>
      <c r="MNC557" s="178"/>
      <c r="MND557" s="178"/>
      <c r="MNE557" s="178"/>
      <c r="MNF557" s="178"/>
      <c r="MNG557" s="178"/>
      <c r="MNH557" s="178"/>
      <c r="MNI557" s="178"/>
      <c r="MNJ557" s="178"/>
      <c r="MNK557" s="178"/>
      <c r="MNL557" s="178"/>
      <c r="MNM557" s="178"/>
      <c r="MNN557" s="178"/>
      <c r="MNO557" s="178"/>
      <c r="MNP557" s="178"/>
      <c r="MNQ557" s="178"/>
      <c r="MNR557" s="178"/>
      <c r="MNS557" s="178"/>
      <c r="MNT557" s="178"/>
      <c r="MNU557" s="178"/>
      <c r="MNV557" s="178"/>
      <c r="MNW557" s="178"/>
      <c r="MNX557" s="178"/>
      <c r="MNY557" s="178"/>
      <c r="MNZ557" s="178"/>
      <c r="MOA557" s="178"/>
      <c r="MOB557" s="178"/>
      <c r="MOC557" s="178"/>
      <c r="MOD557" s="178"/>
      <c r="MOE557" s="178"/>
      <c r="MOF557" s="178"/>
      <c r="MOG557" s="178"/>
      <c r="MOH557" s="178"/>
      <c r="MOI557" s="178"/>
      <c r="MOJ557" s="178"/>
      <c r="MOK557" s="178"/>
      <c r="MOL557" s="178"/>
      <c r="MOM557" s="178"/>
      <c r="MON557" s="178"/>
      <c r="MOO557" s="178"/>
      <c r="MOP557" s="178"/>
      <c r="MOQ557" s="178"/>
      <c r="MOR557" s="178"/>
      <c r="MOS557" s="178"/>
      <c r="MOT557" s="178"/>
      <c r="MOU557" s="178"/>
      <c r="MOV557" s="178"/>
      <c r="MOW557" s="178"/>
      <c r="MOX557" s="178"/>
      <c r="MOY557" s="178"/>
      <c r="MOZ557" s="178"/>
      <c r="MPA557" s="178"/>
      <c r="MPB557" s="178"/>
      <c r="MPC557" s="178"/>
      <c r="MPD557" s="178"/>
      <c r="MPE557" s="178"/>
      <c r="MPF557" s="178"/>
      <c r="MPG557" s="178"/>
      <c r="MPH557" s="178"/>
      <c r="MPI557" s="178"/>
      <c r="MPJ557" s="178"/>
      <c r="MPK557" s="178"/>
      <c r="MPL557" s="178"/>
      <c r="MPM557" s="178"/>
      <c r="MPN557" s="178"/>
      <c r="MPO557" s="178"/>
      <c r="MPP557" s="178"/>
      <c r="MPQ557" s="178"/>
      <c r="MPR557" s="178"/>
      <c r="MPS557" s="178"/>
      <c r="MPT557" s="178"/>
      <c r="MPU557" s="178"/>
      <c r="MPV557" s="178"/>
      <c r="MPW557" s="178"/>
      <c r="MPX557" s="178"/>
      <c r="MPY557" s="178"/>
      <c r="MPZ557" s="178"/>
      <c r="MQA557" s="178"/>
      <c r="MQB557" s="178"/>
      <c r="MQC557" s="178"/>
      <c r="MQD557" s="178"/>
      <c r="MQE557" s="178"/>
      <c r="MQF557" s="178"/>
      <c r="MQG557" s="178"/>
      <c r="MQH557" s="178"/>
      <c r="MQI557" s="178"/>
      <c r="MQJ557" s="178"/>
      <c r="MQK557" s="178"/>
      <c r="MQL557" s="178"/>
      <c r="MQM557" s="178"/>
      <c r="MQN557" s="178"/>
      <c r="MQO557" s="178"/>
      <c r="MQP557" s="178"/>
      <c r="MQQ557" s="178"/>
      <c r="MQR557" s="178"/>
      <c r="MQS557" s="178"/>
      <c r="MQT557" s="178"/>
      <c r="MQU557" s="178"/>
      <c r="MQV557" s="178"/>
      <c r="MQW557" s="178"/>
      <c r="MQX557" s="178"/>
      <c r="MQY557" s="178"/>
      <c r="MQZ557" s="178"/>
      <c r="MRA557" s="178"/>
      <c r="MRB557" s="178"/>
      <c r="MRC557" s="178"/>
      <c r="MRD557" s="178"/>
      <c r="MRE557" s="178"/>
      <c r="MRF557" s="178"/>
      <c r="MRG557" s="178"/>
      <c r="MRH557" s="178"/>
      <c r="MRI557" s="178"/>
      <c r="MRJ557" s="178"/>
      <c r="MRK557" s="178"/>
      <c r="MRL557" s="178"/>
      <c r="MRM557" s="178"/>
      <c r="MRN557" s="178"/>
      <c r="MRO557" s="178"/>
      <c r="MRP557" s="178"/>
      <c r="MRQ557" s="178"/>
      <c r="MRR557" s="178"/>
      <c r="MRS557" s="178"/>
      <c r="MRT557" s="178"/>
      <c r="MRU557" s="178"/>
      <c r="MRV557" s="178"/>
      <c r="MRW557" s="178"/>
      <c r="MRX557" s="178"/>
      <c r="MRY557" s="178"/>
      <c r="MRZ557" s="178"/>
      <c r="MSA557" s="178"/>
      <c r="MSB557" s="178"/>
      <c r="MSC557" s="178"/>
      <c r="MSD557" s="178"/>
      <c r="MSE557" s="178"/>
      <c r="MSF557" s="178"/>
      <c r="MSG557" s="178"/>
      <c r="MSH557" s="178"/>
      <c r="MSI557" s="178"/>
      <c r="MSJ557" s="178"/>
      <c r="MSK557" s="178"/>
      <c r="MSL557" s="178"/>
      <c r="MSM557" s="178"/>
      <c r="MSN557" s="178"/>
      <c r="MSO557" s="178"/>
      <c r="MSP557" s="178"/>
      <c r="MSQ557" s="178"/>
      <c r="MSR557" s="178"/>
      <c r="MSS557" s="178"/>
      <c r="MST557" s="178"/>
      <c r="MSU557" s="178"/>
      <c r="MSV557" s="178"/>
      <c r="MSW557" s="178"/>
      <c r="MSX557" s="178"/>
      <c r="MSY557" s="178"/>
      <c r="MSZ557" s="178"/>
      <c r="MTA557" s="178"/>
      <c r="MTB557" s="178"/>
      <c r="MTC557" s="178"/>
      <c r="MTD557" s="178"/>
      <c r="MTE557" s="178"/>
      <c r="MTF557" s="178"/>
      <c r="MTG557" s="178"/>
      <c r="MTH557" s="178"/>
      <c r="MTI557" s="178"/>
      <c r="MTJ557" s="178"/>
      <c r="MTK557" s="178"/>
      <c r="MTL557" s="178"/>
      <c r="MTM557" s="178"/>
      <c r="MTN557" s="178"/>
      <c r="MTO557" s="178"/>
      <c r="MTP557" s="178"/>
      <c r="MTQ557" s="178"/>
      <c r="MTR557" s="178"/>
      <c r="MTS557" s="178"/>
      <c r="MTT557" s="178"/>
      <c r="MTU557" s="178"/>
      <c r="MTV557" s="178"/>
      <c r="MTW557" s="178"/>
      <c r="MTX557" s="178"/>
      <c r="MTY557" s="178"/>
      <c r="MTZ557" s="178"/>
      <c r="MUA557" s="178"/>
      <c r="MUB557" s="178"/>
      <c r="MUC557" s="178"/>
      <c r="MUD557" s="178"/>
      <c r="MUE557" s="178"/>
      <c r="MUF557" s="178"/>
      <c r="MUG557" s="178"/>
      <c r="MUH557" s="178"/>
      <c r="MUI557" s="178"/>
      <c r="MUJ557" s="178"/>
      <c r="MUK557" s="178"/>
      <c r="MUL557" s="178"/>
      <c r="MUM557" s="178"/>
      <c r="MUN557" s="178"/>
      <c r="MUO557" s="178"/>
      <c r="MUP557" s="178"/>
      <c r="MUQ557" s="178"/>
      <c r="MUR557" s="178"/>
      <c r="MUS557" s="178"/>
      <c r="MUT557" s="178"/>
      <c r="MUU557" s="178"/>
      <c r="MUV557" s="178"/>
      <c r="MUW557" s="178"/>
      <c r="MUX557" s="178"/>
      <c r="MUY557" s="178"/>
      <c r="MUZ557" s="178"/>
      <c r="MVA557" s="178"/>
      <c r="MVB557" s="178"/>
      <c r="MVC557" s="178"/>
      <c r="MVD557" s="178"/>
      <c r="MVE557" s="178"/>
      <c r="MVF557" s="178"/>
      <c r="MVG557" s="178"/>
      <c r="MVH557" s="178"/>
      <c r="MVI557" s="178"/>
      <c r="MVJ557" s="178"/>
      <c r="MVK557" s="178"/>
      <c r="MVL557" s="178"/>
      <c r="MVM557" s="178"/>
      <c r="MVN557" s="178"/>
      <c r="MVO557" s="178"/>
      <c r="MVP557" s="178"/>
      <c r="MVQ557" s="178"/>
      <c r="MVR557" s="178"/>
      <c r="MVS557" s="178"/>
      <c r="MVT557" s="178"/>
      <c r="MVU557" s="178"/>
      <c r="MVV557" s="178"/>
      <c r="MVW557" s="178"/>
      <c r="MVX557" s="178"/>
      <c r="MVY557" s="178"/>
      <c r="MVZ557" s="178"/>
      <c r="MWA557" s="178"/>
      <c r="MWB557" s="178"/>
      <c r="MWC557" s="178"/>
      <c r="MWD557" s="178"/>
      <c r="MWE557" s="178"/>
      <c r="MWF557" s="178"/>
      <c r="MWG557" s="178"/>
      <c r="MWH557" s="178"/>
      <c r="MWI557" s="178"/>
      <c r="MWJ557" s="178"/>
      <c r="MWK557" s="178"/>
      <c r="MWL557" s="178"/>
      <c r="MWM557" s="178"/>
      <c r="MWN557" s="178"/>
      <c r="MWO557" s="178"/>
      <c r="MWP557" s="178"/>
      <c r="MWQ557" s="178"/>
      <c r="MWR557" s="178"/>
      <c r="MWS557" s="178"/>
      <c r="MWT557" s="178"/>
      <c r="MWU557" s="178"/>
      <c r="MWV557" s="178"/>
      <c r="MWW557" s="178"/>
      <c r="MWX557" s="178"/>
      <c r="MWY557" s="178"/>
      <c r="MWZ557" s="178"/>
      <c r="MXA557" s="178"/>
      <c r="MXB557" s="178"/>
      <c r="MXC557" s="178"/>
      <c r="MXD557" s="178"/>
      <c r="MXE557" s="178"/>
      <c r="MXF557" s="178"/>
      <c r="MXG557" s="178"/>
      <c r="MXH557" s="178"/>
      <c r="MXI557" s="178"/>
      <c r="MXJ557" s="178"/>
      <c r="MXK557" s="178"/>
      <c r="MXL557" s="178"/>
      <c r="MXM557" s="178"/>
      <c r="MXN557" s="178"/>
      <c r="MXO557" s="178"/>
      <c r="MXP557" s="178"/>
      <c r="MXQ557" s="178"/>
      <c r="MXR557" s="178"/>
      <c r="MXS557" s="178"/>
      <c r="MXT557" s="178"/>
      <c r="MXU557" s="178"/>
      <c r="MXV557" s="178"/>
      <c r="MXW557" s="178"/>
      <c r="MXX557" s="178"/>
      <c r="MXY557" s="178"/>
      <c r="MXZ557" s="178"/>
      <c r="MYA557" s="178"/>
      <c r="MYB557" s="178"/>
      <c r="MYC557" s="178"/>
      <c r="MYD557" s="178"/>
      <c r="MYE557" s="178"/>
      <c r="MYF557" s="178"/>
      <c r="MYG557" s="178"/>
      <c r="MYH557" s="178"/>
      <c r="MYI557" s="178"/>
      <c r="MYJ557" s="178"/>
      <c r="MYK557" s="178"/>
      <c r="MYL557" s="178"/>
      <c r="MYM557" s="178"/>
      <c r="MYN557" s="178"/>
      <c r="MYO557" s="178"/>
      <c r="MYP557" s="178"/>
      <c r="MYQ557" s="178"/>
      <c r="MYR557" s="178"/>
      <c r="MYS557" s="178"/>
      <c r="MYT557" s="178"/>
      <c r="MYU557" s="178"/>
      <c r="MYV557" s="178"/>
      <c r="MYW557" s="178"/>
      <c r="MYX557" s="178"/>
      <c r="MYY557" s="178"/>
      <c r="MYZ557" s="178"/>
      <c r="MZA557" s="178"/>
      <c r="MZB557" s="178"/>
      <c r="MZC557" s="178"/>
      <c r="MZD557" s="178"/>
      <c r="MZE557" s="178"/>
      <c r="MZF557" s="178"/>
      <c r="MZG557" s="178"/>
      <c r="MZH557" s="178"/>
      <c r="MZI557" s="178"/>
      <c r="MZJ557" s="178"/>
      <c r="MZK557" s="178"/>
      <c r="MZL557" s="178"/>
      <c r="MZM557" s="178"/>
      <c r="MZN557" s="178"/>
      <c r="MZO557" s="178"/>
      <c r="MZP557" s="178"/>
      <c r="MZQ557" s="178"/>
      <c r="MZR557" s="178"/>
      <c r="MZS557" s="178"/>
      <c r="MZT557" s="178"/>
      <c r="MZU557" s="178"/>
      <c r="MZV557" s="178"/>
      <c r="MZW557" s="178"/>
      <c r="MZX557" s="178"/>
      <c r="MZY557" s="178"/>
      <c r="MZZ557" s="178"/>
      <c r="NAA557" s="178"/>
      <c r="NAB557" s="178"/>
      <c r="NAC557" s="178"/>
      <c r="NAD557" s="178"/>
      <c r="NAE557" s="178"/>
      <c r="NAF557" s="178"/>
      <c r="NAG557" s="178"/>
      <c r="NAH557" s="178"/>
      <c r="NAI557" s="178"/>
      <c r="NAJ557" s="178"/>
      <c r="NAK557" s="178"/>
      <c r="NAL557" s="178"/>
      <c r="NAM557" s="178"/>
      <c r="NAN557" s="178"/>
      <c r="NAO557" s="178"/>
      <c r="NAP557" s="178"/>
      <c r="NAQ557" s="178"/>
      <c r="NAR557" s="178"/>
      <c r="NAS557" s="178"/>
      <c r="NAT557" s="178"/>
      <c r="NAU557" s="178"/>
      <c r="NAV557" s="178"/>
      <c r="NAW557" s="178"/>
      <c r="NAX557" s="178"/>
      <c r="NAY557" s="178"/>
      <c r="NAZ557" s="178"/>
      <c r="NBA557" s="178"/>
      <c r="NBB557" s="178"/>
      <c r="NBC557" s="178"/>
      <c r="NBD557" s="178"/>
      <c r="NBE557" s="178"/>
      <c r="NBF557" s="178"/>
      <c r="NBG557" s="178"/>
      <c r="NBH557" s="178"/>
      <c r="NBI557" s="178"/>
      <c r="NBJ557" s="178"/>
      <c r="NBK557" s="178"/>
      <c r="NBL557" s="178"/>
      <c r="NBM557" s="178"/>
      <c r="NBN557" s="178"/>
      <c r="NBO557" s="178"/>
      <c r="NBP557" s="178"/>
      <c r="NBQ557" s="178"/>
      <c r="NBR557" s="178"/>
      <c r="NBS557" s="178"/>
      <c r="NBT557" s="178"/>
      <c r="NBU557" s="178"/>
      <c r="NBV557" s="178"/>
      <c r="NBW557" s="178"/>
      <c r="NBX557" s="178"/>
      <c r="NBY557" s="178"/>
      <c r="NBZ557" s="178"/>
      <c r="NCA557" s="178"/>
      <c r="NCB557" s="178"/>
      <c r="NCC557" s="178"/>
      <c r="NCD557" s="178"/>
      <c r="NCE557" s="178"/>
      <c r="NCF557" s="178"/>
      <c r="NCG557" s="178"/>
      <c r="NCH557" s="178"/>
      <c r="NCI557" s="178"/>
      <c r="NCJ557" s="178"/>
      <c r="NCK557" s="178"/>
      <c r="NCL557" s="178"/>
      <c r="NCM557" s="178"/>
      <c r="NCN557" s="178"/>
      <c r="NCO557" s="178"/>
      <c r="NCP557" s="178"/>
      <c r="NCQ557" s="178"/>
      <c r="NCR557" s="178"/>
      <c r="NCS557" s="178"/>
      <c r="NCT557" s="178"/>
      <c r="NCU557" s="178"/>
      <c r="NCV557" s="178"/>
      <c r="NCW557" s="178"/>
      <c r="NCX557" s="178"/>
      <c r="NCY557" s="178"/>
      <c r="NCZ557" s="178"/>
      <c r="NDA557" s="178"/>
      <c r="NDB557" s="178"/>
      <c r="NDC557" s="178"/>
      <c r="NDD557" s="178"/>
      <c r="NDE557" s="178"/>
      <c r="NDF557" s="178"/>
      <c r="NDG557" s="178"/>
      <c r="NDH557" s="178"/>
      <c r="NDI557" s="178"/>
      <c r="NDJ557" s="178"/>
      <c r="NDK557" s="178"/>
      <c r="NDL557" s="178"/>
      <c r="NDM557" s="178"/>
      <c r="NDN557" s="178"/>
      <c r="NDO557" s="178"/>
      <c r="NDP557" s="178"/>
      <c r="NDQ557" s="178"/>
      <c r="NDR557" s="178"/>
      <c r="NDS557" s="178"/>
      <c r="NDT557" s="178"/>
      <c r="NDU557" s="178"/>
      <c r="NDV557" s="178"/>
      <c r="NDW557" s="178"/>
      <c r="NDX557" s="178"/>
      <c r="NDY557" s="178"/>
      <c r="NDZ557" s="178"/>
      <c r="NEA557" s="178"/>
      <c r="NEB557" s="178"/>
      <c r="NEC557" s="178"/>
      <c r="NED557" s="178"/>
      <c r="NEE557" s="178"/>
      <c r="NEF557" s="178"/>
      <c r="NEG557" s="178"/>
      <c r="NEH557" s="178"/>
      <c r="NEI557" s="178"/>
      <c r="NEJ557" s="178"/>
      <c r="NEK557" s="178"/>
      <c r="NEL557" s="178"/>
      <c r="NEM557" s="178"/>
      <c r="NEN557" s="178"/>
      <c r="NEO557" s="178"/>
      <c r="NEP557" s="178"/>
      <c r="NEQ557" s="178"/>
      <c r="NER557" s="178"/>
      <c r="NES557" s="178"/>
      <c r="NET557" s="178"/>
      <c r="NEU557" s="178"/>
      <c r="NEV557" s="178"/>
      <c r="NEW557" s="178"/>
      <c r="NEX557" s="178"/>
      <c r="NEY557" s="178"/>
      <c r="NEZ557" s="178"/>
      <c r="NFA557" s="178"/>
      <c r="NFB557" s="178"/>
      <c r="NFC557" s="178"/>
      <c r="NFD557" s="178"/>
      <c r="NFE557" s="178"/>
      <c r="NFF557" s="178"/>
      <c r="NFG557" s="178"/>
      <c r="NFH557" s="178"/>
      <c r="NFI557" s="178"/>
      <c r="NFJ557" s="178"/>
      <c r="NFK557" s="178"/>
      <c r="NFL557" s="178"/>
      <c r="NFM557" s="178"/>
      <c r="NFN557" s="178"/>
      <c r="NFO557" s="178"/>
      <c r="NFP557" s="178"/>
      <c r="NFQ557" s="178"/>
      <c r="NFR557" s="178"/>
      <c r="NFS557" s="178"/>
      <c r="NFT557" s="178"/>
      <c r="NFU557" s="178"/>
      <c r="NFV557" s="178"/>
      <c r="NFW557" s="178"/>
      <c r="NFX557" s="178"/>
      <c r="NFY557" s="178"/>
      <c r="NFZ557" s="178"/>
      <c r="NGA557" s="178"/>
      <c r="NGB557" s="178"/>
      <c r="NGC557" s="178"/>
      <c r="NGD557" s="178"/>
      <c r="NGE557" s="178"/>
      <c r="NGF557" s="178"/>
      <c r="NGG557" s="178"/>
      <c r="NGH557" s="178"/>
      <c r="NGI557" s="178"/>
      <c r="NGJ557" s="178"/>
      <c r="NGK557" s="178"/>
      <c r="NGL557" s="178"/>
      <c r="NGM557" s="178"/>
      <c r="NGN557" s="178"/>
      <c r="NGO557" s="178"/>
      <c r="NGP557" s="178"/>
      <c r="NGQ557" s="178"/>
      <c r="NGR557" s="178"/>
      <c r="NGS557" s="178"/>
      <c r="NGT557" s="178"/>
      <c r="NGU557" s="178"/>
      <c r="NGV557" s="178"/>
      <c r="NGW557" s="178"/>
      <c r="NGX557" s="178"/>
      <c r="NGY557" s="178"/>
      <c r="NGZ557" s="178"/>
      <c r="NHA557" s="178"/>
      <c r="NHB557" s="178"/>
      <c r="NHC557" s="178"/>
      <c r="NHD557" s="178"/>
      <c r="NHE557" s="178"/>
      <c r="NHF557" s="178"/>
      <c r="NHG557" s="178"/>
      <c r="NHH557" s="178"/>
      <c r="NHI557" s="178"/>
      <c r="NHJ557" s="178"/>
      <c r="NHK557" s="178"/>
      <c r="NHL557" s="178"/>
      <c r="NHM557" s="178"/>
      <c r="NHN557" s="178"/>
      <c r="NHO557" s="178"/>
      <c r="NHP557" s="178"/>
      <c r="NHQ557" s="178"/>
      <c r="NHR557" s="178"/>
      <c r="NHS557" s="178"/>
      <c r="NHT557" s="178"/>
      <c r="NHU557" s="178"/>
      <c r="NHV557" s="178"/>
      <c r="NHW557" s="178"/>
      <c r="NHX557" s="178"/>
      <c r="NHY557" s="178"/>
      <c r="NHZ557" s="178"/>
      <c r="NIA557" s="178"/>
      <c r="NIB557" s="178"/>
      <c r="NIC557" s="178"/>
      <c r="NID557" s="178"/>
      <c r="NIE557" s="178"/>
      <c r="NIF557" s="178"/>
      <c r="NIG557" s="178"/>
      <c r="NIH557" s="178"/>
      <c r="NII557" s="178"/>
      <c r="NIJ557" s="178"/>
      <c r="NIK557" s="178"/>
      <c r="NIL557" s="178"/>
      <c r="NIM557" s="178"/>
      <c r="NIN557" s="178"/>
      <c r="NIO557" s="178"/>
      <c r="NIP557" s="178"/>
      <c r="NIQ557" s="178"/>
      <c r="NIR557" s="178"/>
      <c r="NIS557" s="178"/>
      <c r="NIT557" s="178"/>
      <c r="NIU557" s="178"/>
      <c r="NIV557" s="178"/>
      <c r="NIW557" s="178"/>
      <c r="NIX557" s="178"/>
      <c r="NIY557" s="178"/>
      <c r="NIZ557" s="178"/>
      <c r="NJA557" s="178"/>
      <c r="NJB557" s="178"/>
      <c r="NJC557" s="178"/>
      <c r="NJD557" s="178"/>
      <c r="NJE557" s="178"/>
      <c r="NJF557" s="178"/>
      <c r="NJG557" s="178"/>
      <c r="NJH557" s="178"/>
      <c r="NJI557" s="178"/>
      <c r="NJJ557" s="178"/>
      <c r="NJK557" s="178"/>
      <c r="NJL557" s="178"/>
      <c r="NJM557" s="178"/>
      <c r="NJN557" s="178"/>
      <c r="NJO557" s="178"/>
      <c r="NJP557" s="178"/>
      <c r="NJQ557" s="178"/>
      <c r="NJR557" s="178"/>
      <c r="NJS557" s="178"/>
      <c r="NJT557" s="178"/>
      <c r="NJU557" s="178"/>
      <c r="NJV557" s="178"/>
      <c r="NJW557" s="178"/>
      <c r="NJX557" s="178"/>
      <c r="NJY557" s="178"/>
      <c r="NJZ557" s="178"/>
      <c r="NKA557" s="178"/>
      <c r="NKB557" s="178"/>
      <c r="NKC557" s="178"/>
      <c r="NKD557" s="178"/>
      <c r="NKE557" s="178"/>
      <c r="NKF557" s="178"/>
      <c r="NKG557" s="178"/>
      <c r="NKH557" s="178"/>
      <c r="NKI557" s="178"/>
      <c r="NKJ557" s="178"/>
      <c r="NKK557" s="178"/>
      <c r="NKL557" s="178"/>
      <c r="NKM557" s="178"/>
      <c r="NKN557" s="178"/>
      <c r="NKO557" s="178"/>
      <c r="NKP557" s="178"/>
      <c r="NKQ557" s="178"/>
      <c r="NKR557" s="178"/>
      <c r="NKS557" s="178"/>
      <c r="NKT557" s="178"/>
      <c r="NKU557" s="178"/>
      <c r="NKV557" s="178"/>
      <c r="NKW557" s="178"/>
      <c r="NKX557" s="178"/>
      <c r="NKY557" s="178"/>
      <c r="NKZ557" s="178"/>
      <c r="NLA557" s="178"/>
      <c r="NLB557" s="178"/>
      <c r="NLC557" s="178"/>
      <c r="NLD557" s="178"/>
      <c r="NLE557" s="178"/>
      <c r="NLF557" s="178"/>
      <c r="NLG557" s="178"/>
      <c r="NLH557" s="178"/>
      <c r="NLI557" s="178"/>
      <c r="NLJ557" s="178"/>
      <c r="NLK557" s="178"/>
      <c r="NLL557" s="178"/>
      <c r="NLM557" s="178"/>
      <c r="NLN557" s="178"/>
      <c r="NLO557" s="178"/>
      <c r="NLP557" s="178"/>
      <c r="NLQ557" s="178"/>
      <c r="NLR557" s="178"/>
      <c r="NLS557" s="178"/>
      <c r="NLT557" s="178"/>
      <c r="NLU557" s="178"/>
      <c r="NLV557" s="178"/>
      <c r="NLW557" s="178"/>
      <c r="NLX557" s="178"/>
      <c r="NLY557" s="178"/>
      <c r="NLZ557" s="178"/>
      <c r="NMA557" s="178"/>
      <c r="NMB557" s="178"/>
      <c r="NMC557" s="178"/>
      <c r="NMD557" s="178"/>
      <c r="NME557" s="178"/>
      <c r="NMF557" s="178"/>
      <c r="NMG557" s="178"/>
      <c r="NMH557" s="178"/>
      <c r="NMI557" s="178"/>
      <c r="NMJ557" s="178"/>
      <c r="NMK557" s="178"/>
      <c r="NML557" s="178"/>
      <c r="NMM557" s="178"/>
      <c r="NMN557" s="178"/>
      <c r="NMO557" s="178"/>
      <c r="NMP557" s="178"/>
      <c r="NMQ557" s="178"/>
      <c r="NMR557" s="178"/>
      <c r="NMS557" s="178"/>
      <c r="NMT557" s="178"/>
      <c r="NMU557" s="178"/>
      <c r="NMV557" s="178"/>
      <c r="NMW557" s="178"/>
      <c r="NMX557" s="178"/>
      <c r="NMY557" s="178"/>
      <c r="NMZ557" s="178"/>
      <c r="NNA557" s="178"/>
      <c r="NNB557" s="178"/>
      <c r="NNC557" s="178"/>
      <c r="NND557" s="178"/>
      <c r="NNE557" s="178"/>
      <c r="NNF557" s="178"/>
      <c r="NNG557" s="178"/>
      <c r="NNH557" s="178"/>
      <c r="NNI557" s="178"/>
      <c r="NNJ557" s="178"/>
      <c r="NNK557" s="178"/>
      <c r="NNL557" s="178"/>
      <c r="NNM557" s="178"/>
      <c r="NNN557" s="178"/>
      <c r="NNO557" s="178"/>
      <c r="NNP557" s="178"/>
      <c r="NNQ557" s="178"/>
      <c r="NNR557" s="178"/>
      <c r="NNS557" s="178"/>
      <c r="NNT557" s="178"/>
      <c r="NNU557" s="178"/>
      <c r="NNV557" s="178"/>
      <c r="NNW557" s="178"/>
      <c r="NNX557" s="178"/>
      <c r="NNY557" s="178"/>
      <c r="NNZ557" s="178"/>
      <c r="NOA557" s="178"/>
      <c r="NOB557" s="178"/>
      <c r="NOC557" s="178"/>
      <c r="NOD557" s="178"/>
      <c r="NOE557" s="178"/>
      <c r="NOF557" s="178"/>
      <c r="NOG557" s="178"/>
      <c r="NOH557" s="178"/>
      <c r="NOI557" s="178"/>
      <c r="NOJ557" s="178"/>
      <c r="NOK557" s="178"/>
      <c r="NOL557" s="178"/>
      <c r="NOM557" s="178"/>
      <c r="NON557" s="178"/>
      <c r="NOO557" s="178"/>
      <c r="NOP557" s="178"/>
      <c r="NOQ557" s="178"/>
      <c r="NOR557" s="178"/>
      <c r="NOS557" s="178"/>
      <c r="NOT557" s="178"/>
      <c r="NOU557" s="178"/>
      <c r="NOV557" s="178"/>
      <c r="NOW557" s="178"/>
      <c r="NOX557" s="178"/>
      <c r="NOY557" s="178"/>
      <c r="NOZ557" s="178"/>
      <c r="NPA557" s="178"/>
      <c r="NPB557" s="178"/>
      <c r="NPC557" s="178"/>
      <c r="NPD557" s="178"/>
      <c r="NPE557" s="178"/>
      <c r="NPF557" s="178"/>
      <c r="NPG557" s="178"/>
      <c r="NPH557" s="178"/>
      <c r="NPI557" s="178"/>
      <c r="NPJ557" s="178"/>
      <c r="NPK557" s="178"/>
      <c r="NPL557" s="178"/>
      <c r="NPM557" s="178"/>
      <c r="NPN557" s="178"/>
      <c r="NPO557" s="178"/>
      <c r="NPP557" s="178"/>
      <c r="NPQ557" s="178"/>
      <c r="NPR557" s="178"/>
      <c r="NPS557" s="178"/>
      <c r="NPT557" s="178"/>
      <c r="NPU557" s="178"/>
      <c r="NPV557" s="178"/>
      <c r="NPW557" s="178"/>
      <c r="NPX557" s="178"/>
      <c r="NPY557" s="178"/>
      <c r="NPZ557" s="178"/>
      <c r="NQA557" s="178"/>
      <c r="NQB557" s="178"/>
      <c r="NQC557" s="178"/>
      <c r="NQD557" s="178"/>
      <c r="NQE557" s="178"/>
      <c r="NQF557" s="178"/>
      <c r="NQG557" s="178"/>
      <c r="NQH557" s="178"/>
      <c r="NQI557" s="178"/>
      <c r="NQJ557" s="178"/>
      <c r="NQK557" s="178"/>
      <c r="NQL557" s="178"/>
      <c r="NQM557" s="178"/>
      <c r="NQN557" s="178"/>
      <c r="NQO557" s="178"/>
      <c r="NQP557" s="178"/>
      <c r="NQQ557" s="178"/>
      <c r="NQR557" s="178"/>
      <c r="NQS557" s="178"/>
      <c r="NQT557" s="178"/>
      <c r="NQU557" s="178"/>
      <c r="NQV557" s="178"/>
      <c r="NQW557" s="178"/>
      <c r="NQX557" s="178"/>
      <c r="NQY557" s="178"/>
      <c r="NQZ557" s="178"/>
      <c r="NRA557" s="178"/>
      <c r="NRB557" s="178"/>
      <c r="NRC557" s="178"/>
      <c r="NRD557" s="178"/>
      <c r="NRE557" s="178"/>
      <c r="NRF557" s="178"/>
      <c r="NRG557" s="178"/>
      <c r="NRH557" s="178"/>
      <c r="NRI557" s="178"/>
      <c r="NRJ557" s="178"/>
      <c r="NRK557" s="178"/>
      <c r="NRL557" s="178"/>
      <c r="NRM557" s="178"/>
      <c r="NRN557" s="178"/>
      <c r="NRO557" s="178"/>
      <c r="NRP557" s="178"/>
      <c r="NRQ557" s="178"/>
      <c r="NRR557" s="178"/>
      <c r="NRS557" s="178"/>
      <c r="NRT557" s="178"/>
      <c r="NRU557" s="178"/>
      <c r="NRV557" s="178"/>
      <c r="NRW557" s="178"/>
      <c r="NRX557" s="178"/>
      <c r="NRY557" s="178"/>
      <c r="NRZ557" s="178"/>
      <c r="NSA557" s="178"/>
      <c r="NSB557" s="178"/>
      <c r="NSC557" s="178"/>
      <c r="NSD557" s="178"/>
      <c r="NSE557" s="178"/>
      <c r="NSF557" s="178"/>
      <c r="NSG557" s="178"/>
      <c r="NSH557" s="178"/>
      <c r="NSI557" s="178"/>
      <c r="NSJ557" s="178"/>
      <c r="NSK557" s="178"/>
      <c r="NSL557" s="178"/>
      <c r="NSM557" s="178"/>
      <c r="NSN557" s="178"/>
      <c r="NSO557" s="178"/>
      <c r="NSP557" s="178"/>
      <c r="NSQ557" s="178"/>
      <c r="NSR557" s="178"/>
      <c r="NSS557" s="178"/>
      <c r="NST557" s="178"/>
      <c r="NSU557" s="178"/>
      <c r="NSV557" s="178"/>
      <c r="NSW557" s="178"/>
      <c r="NSX557" s="178"/>
      <c r="NSY557" s="178"/>
      <c r="NSZ557" s="178"/>
      <c r="NTA557" s="178"/>
      <c r="NTB557" s="178"/>
      <c r="NTC557" s="178"/>
      <c r="NTD557" s="178"/>
      <c r="NTE557" s="178"/>
      <c r="NTF557" s="178"/>
      <c r="NTG557" s="178"/>
      <c r="NTH557" s="178"/>
      <c r="NTI557" s="178"/>
      <c r="NTJ557" s="178"/>
      <c r="NTK557" s="178"/>
      <c r="NTL557" s="178"/>
      <c r="NTM557" s="178"/>
      <c r="NTN557" s="178"/>
      <c r="NTO557" s="178"/>
      <c r="NTP557" s="178"/>
      <c r="NTQ557" s="178"/>
      <c r="NTR557" s="178"/>
      <c r="NTS557" s="178"/>
      <c r="NTT557" s="178"/>
      <c r="NTU557" s="178"/>
      <c r="NTV557" s="178"/>
      <c r="NTW557" s="178"/>
      <c r="NTX557" s="178"/>
      <c r="NTY557" s="178"/>
      <c r="NTZ557" s="178"/>
      <c r="NUA557" s="178"/>
      <c r="NUB557" s="178"/>
      <c r="NUC557" s="178"/>
      <c r="NUD557" s="178"/>
      <c r="NUE557" s="178"/>
      <c r="NUF557" s="178"/>
      <c r="NUG557" s="178"/>
      <c r="NUH557" s="178"/>
      <c r="NUI557" s="178"/>
      <c r="NUJ557" s="178"/>
      <c r="NUK557" s="178"/>
      <c r="NUL557" s="178"/>
      <c r="NUM557" s="178"/>
      <c r="NUN557" s="178"/>
      <c r="NUO557" s="178"/>
      <c r="NUP557" s="178"/>
      <c r="NUQ557" s="178"/>
      <c r="NUR557" s="178"/>
      <c r="NUS557" s="178"/>
      <c r="NUT557" s="178"/>
      <c r="NUU557" s="178"/>
      <c r="NUV557" s="178"/>
      <c r="NUW557" s="178"/>
      <c r="NUX557" s="178"/>
      <c r="NUY557" s="178"/>
      <c r="NUZ557" s="178"/>
      <c r="NVA557" s="178"/>
      <c r="NVB557" s="178"/>
      <c r="NVC557" s="178"/>
      <c r="NVD557" s="178"/>
      <c r="NVE557" s="178"/>
      <c r="NVF557" s="178"/>
      <c r="NVG557" s="178"/>
      <c r="NVH557" s="178"/>
      <c r="NVI557" s="178"/>
      <c r="NVJ557" s="178"/>
      <c r="NVK557" s="178"/>
      <c r="NVL557" s="178"/>
      <c r="NVM557" s="178"/>
      <c r="NVN557" s="178"/>
      <c r="NVO557" s="178"/>
      <c r="NVP557" s="178"/>
      <c r="NVQ557" s="178"/>
      <c r="NVR557" s="178"/>
      <c r="NVS557" s="178"/>
      <c r="NVT557" s="178"/>
      <c r="NVU557" s="178"/>
      <c r="NVV557" s="178"/>
      <c r="NVW557" s="178"/>
      <c r="NVX557" s="178"/>
      <c r="NVY557" s="178"/>
      <c r="NVZ557" s="178"/>
      <c r="NWA557" s="178"/>
      <c r="NWB557" s="178"/>
      <c r="NWC557" s="178"/>
      <c r="NWD557" s="178"/>
      <c r="NWE557" s="178"/>
      <c r="NWF557" s="178"/>
      <c r="NWG557" s="178"/>
      <c r="NWH557" s="178"/>
      <c r="NWI557" s="178"/>
      <c r="NWJ557" s="178"/>
      <c r="NWK557" s="178"/>
      <c r="NWL557" s="178"/>
      <c r="NWM557" s="178"/>
      <c r="NWN557" s="178"/>
      <c r="NWO557" s="178"/>
      <c r="NWP557" s="178"/>
      <c r="NWQ557" s="178"/>
      <c r="NWR557" s="178"/>
      <c r="NWS557" s="178"/>
      <c r="NWT557" s="178"/>
      <c r="NWU557" s="178"/>
      <c r="NWV557" s="178"/>
      <c r="NWW557" s="178"/>
      <c r="NWX557" s="178"/>
      <c r="NWY557" s="178"/>
      <c r="NWZ557" s="178"/>
      <c r="NXA557" s="178"/>
      <c r="NXB557" s="178"/>
      <c r="NXC557" s="178"/>
      <c r="NXD557" s="178"/>
      <c r="NXE557" s="178"/>
      <c r="NXF557" s="178"/>
      <c r="NXG557" s="178"/>
      <c r="NXH557" s="178"/>
      <c r="NXI557" s="178"/>
      <c r="NXJ557" s="178"/>
      <c r="NXK557" s="178"/>
      <c r="NXL557" s="178"/>
      <c r="NXM557" s="178"/>
      <c r="NXN557" s="178"/>
      <c r="NXO557" s="178"/>
      <c r="NXP557" s="178"/>
      <c r="NXQ557" s="178"/>
      <c r="NXR557" s="178"/>
      <c r="NXS557" s="178"/>
      <c r="NXT557" s="178"/>
      <c r="NXU557" s="178"/>
      <c r="NXV557" s="178"/>
      <c r="NXW557" s="178"/>
      <c r="NXX557" s="178"/>
      <c r="NXY557" s="178"/>
      <c r="NXZ557" s="178"/>
      <c r="NYA557" s="178"/>
      <c r="NYB557" s="178"/>
      <c r="NYC557" s="178"/>
      <c r="NYD557" s="178"/>
      <c r="NYE557" s="178"/>
      <c r="NYF557" s="178"/>
      <c r="NYG557" s="178"/>
      <c r="NYH557" s="178"/>
      <c r="NYI557" s="178"/>
      <c r="NYJ557" s="178"/>
      <c r="NYK557" s="178"/>
      <c r="NYL557" s="178"/>
      <c r="NYM557" s="178"/>
      <c r="NYN557" s="178"/>
      <c r="NYO557" s="178"/>
      <c r="NYP557" s="178"/>
      <c r="NYQ557" s="178"/>
      <c r="NYR557" s="178"/>
      <c r="NYS557" s="178"/>
      <c r="NYT557" s="178"/>
      <c r="NYU557" s="178"/>
      <c r="NYV557" s="178"/>
      <c r="NYW557" s="178"/>
      <c r="NYX557" s="178"/>
      <c r="NYY557" s="178"/>
      <c r="NYZ557" s="178"/>
      <c r="NZA557" s="178"/>
      <c r="NZB557" s="178"/>
      <c r="NZC557" s="178"/>
      <c r="NZD557" s="178"/>
      <c r="NZE557" s="178"/>
      <c r="NZF557" s="178"/>
      <c r="NZG557" s="178"/>
      <c r="NZH557" s="178"/>
      <c r="NZI557" s="178"/>
      <c r="NZJ557" s="178"/>
      <c r="NZK557" s="178"/>
      <c r="NZL557" s="178"/>
      <c r="NZM557" s="178"/>
      <c r="NZN557" s="178"/>
      <c r="NZO557" s="178"/>
      <c r="NZP557" s="178"/>
      <c r="NZQ557" s="178"/>
      <c r="NZR557" s="178"/>
      <c r="NZS557" s="178"/>
      <c r="NZT557" s="178"/>
      <c r="NZU557" s="178"/>
      <c r="NZV557" s="178"/>
      <c r="NZW557" s="178"/>
      <c r="NZX557" s="178"/>
      <c r="NZY557" s="178"/>
      <c r="NZZ557" s="178"/>
      <c r="OAA557" s="178"/>
      <c r="OAB557" s="178"/>
      <c r="OAC557" s="178"/>
      <c r="OAD557" s="178"/>
      <c r="OAE557" s="178"/>
      <c r="OAF557" s="178"/>
      <c r="OAG557" s="178"/>
      <c r="OAH557" s="178"/>
      <c r="OAI557" s="178"/>
      <c r="OAJ557" s="178"/>
      <c r="OAK557" s="178"/>
      <c r="OAL557" s="178"/>
      <c r="OAM557" s="178"/>
      <c r="OAN557" s="178"/>
      <c r="OAO557" s="178"/>
      <c r="OAP557" s="178"/>
      <c r="OAQ557" s="178"/>
      <c r="OAR557" s="178"/>
      <c r="OAS557" s="178"/>
      <c r="OAT557" s="178"/>
      <c r="OAU557" s="178"/>
      <c r="OAV557" s="178"/>
      <c r="OAW557" s="178"/>
      <c r="OAX557" s="178"/>
      <c r="OAY557" s="178"/>
      <c r="OAZ557" s="178"/>
      <c r="OBA557" s="178"/>
      <c r="OBB557" s="178"/>
      <c r="OBC557" s="178"/>
      <c r="OBD557" s="178"/>
      <c r="OBE557" s="178"/>
      <c r="OBF557" s="178"/>
      <c r="OBG557" s="178"/>
      <c r="OBH557" s="178"/>
      <c r="OBI557" s="178"/>
      <c r="OBJ557" s="178"/>
      <c r="OBK557" s="178"/>
      <c r="OBL557" s="178"/>
      <c r="OBM557" s="178"/>
      <c r="OBN557" s="178"/>
      <c r="OBO557" s="178"/>
      <c r="OBP557" s="178"/>
      <c r="OBQ557" s="178"/>
      <c r="OBR557" s="178"/>
      <c r="OBS557" s="178"/>
      <c r="OBT557" s="178"/>
      <c r="OBU557" s="178"/>
      <c r="OBV557" s="178"/>
      <c r="OBW557" s="178"/>
      <c r="OBX557" s="178"/>
      <c r="OBY557" s="178"/>
      <c r="OBZ557" s="178"/>
      <c r="OCA557" s="178"/>
      <c r="OCB557" s="178"/>
      <c r="OCC557" s="178"/>
      <c r="OCD557" s="178"/>
      <c r="OCE557" s="178"/>
      <c r="OCF557" s="178"/>
      <c r="OCG557" s="178"/>
      <c r="OCH557" s="178"/>
      <c r="OCI557" s="178"/>
      <c r="OCJ557" s="178"/>
      <c r="OCK557" s="178"/>
      <c r="OCL557" s="178"/>
      <c r="OCM557" s="178"/>
      <c r="OCN557" s="178"/>
      <c r="OCO557" s="178"/>
      <c r="OCP557" s="178"/>
      <c r="OCQ557" s="178"/>
      <c r="OCR557" s="178"/>
      <c r="OCS557" s="178"/>
      <c r="OCT557" s="178"/>
      <c r="OCU557" s="178"/>
      <c r="OCV557" s="178"/>
      <c r="OCW557" s="178"/>
      <c r="OCX557" s="178"/>
      <c r="OCY557" s="178"/>
      <c r="OCZ557" s="178"/>
      <c r="ODA557" s="178"/>
      <c r="ODB557" s="178"/>
      <c r="ODC557" s="178"/>
      <c r="ODD557" s="178"/>
      <c r="ODE557" s="178"/>
      <c r="ODF557" s="178"/>
      <c r="ODG557" s="178"/>
      <c r="ODH557" s="178"/>
      <c r="ODI557" s="178"/>
      <c r="ODJ557" s="178"/>
      <c r="ODK557" s="178"/>
      <c r="ODL557" s="178"/>
      <c r="ODM557" s="178"/>
      <c r="ODN557" s="178"/>
      <c r="ODO557" s="178"/>
      <c r="ODP557" s="178"/>
      <c r="ODQ557" s="178"/>
      <c r="ODR557" s="178"/>
      <c r="ODS557" s="178"/>
      <c r="ODT557" s="178"/>
      <c r="ODU557" s="178"/>
      <c r="ODV557" s="178"/>
      <c r="ODW557" s="178"/>
      <c r="ODX557" s="178"/>
      <c r="ODY557" s="178"/>
      <c r="ODZ557" s="178"/>
      <c r="OEA557" s="178"/>
      <c r="OEB557" s="178"/>
      <c r="OEC557" s="178"/>
      <c r="OED557" s="178"/>
      <c r="OEE557" s="178"/>
      <c r="OEF557" s="178"/>
      <c r="OEG557" s="178"/>
      <c r="OEH557" s="178"/>
      <c r="OEI557" s="178"/>
      <c r="OEJ557" s="178"/>
      <c r="OEK557" s="178"/>
      <c r="OEL557" s="178"/>
      <c r="OEM557" s="178"/>
      <c r="OEN557" s="178"/>
      <c r="OEO557" s="178"/>
      <c r="OEP557" s="178"/>
      <c r="OEQ557" s="178"/>
      <c r="OER557" s="178"/>
      <c r="OES557" s="178"/>
      <c r="OET557" s="178"/>
      <c r="OEU557" s="178"/>
      <c r="OEV557" s="178"/>
      <c r="OEW557" s="178"/>
      <c r="OEX557" s="178"/>
      <c r="OEY557" s="178"/>
      <c r="OEZ557" s="178"/>
      <c r="OFA557" s="178"/>
      <c r="OFB557" s="178"/>
      <c r="OFC557" s="178"/>
      <c r="OFD557" s="178"/>
      <c r="OFE557" s="178"/>
      <c r="OFF557" s="178"/>
      <c r="OFG557" s="178"/>
      <c r="OFH557" s="178"/>
      <c r="OFI557" s="178"/>
      <c r="OFJ557" s="178"/>
      <c r="OFK557" s="178"/>
      <c r="OFL557" s="178"/>
      <c r="OFM557" s="178"/>
      <c r="OFN557" s="178"/>
      <c r="OFO557" s="178"/>
      <c r="OFP557" s="178"/>
      <c r="OFQ557" s="178"/>
      <c r="OFR557" s="178"/>
      <c r="OFS557" s="178"/>
      <c r="OFT557" s="178"/>
      <c r="OFU557" s="178"/>
      <c r="OFV557" s="178"/>
      <c r="OFW557" s="178"/>
      <c r="OFX557" s="178"/>
      <c r="OFY557" s="178"/>
      <c r="OFZ557" s="178"/>
      <c r="OGA557" s="178"/>
      <c r="OGB557" s="178"/>
      <c r="OGC557" s="178"/>
      <c r="OGD557" s="178"/>
      <c r="OGE557" s="178"/>
      <c r="OGF557" s="178"/>
      <c r="OGG557" s="178"/>
      <c r="OGH557" s="178"/>
      <c r="OGI557" s="178"/>
      <c r="OGJ557" s="178"/>
      <c r="OGK557" s="178"/>
      <c r="OGL557" s="178"/>
      <c r="OGM557" s="178"/>
      <c r="OGN557" s="178"/>
      <c r="OGO557" s="178"/>
      <c r="OGP557" s="178"/>
      <c r="OGQ557" s="178"/>
      <c r="OGR557" s="178"/>
      <c r="OGS557" s="178"/>
      <c r="OGT557" s="178"/>
      <c r="OGU557" s="178"/>
      <c r="OGV557" s="178"/>
      <c r="OGW557" s="178"/>
      <c r="OGX557" s="178"/>
      <c r="OGY557" s="178"/>
      <c r="OGZ557" s="178"/>
      <c r="OHA557" s="178"/>
      <c r="OHB557" s="178"/>
      <c r="OHC557" s="178"/>
      <c r="OHD557" s="178"/>
      <c r="OHE557" s="178"/>
      <c r="OHF557" s="178"/>
      <c r="OHG557" s="178"/>
      <c r="OHH557" s="178"/>
      <c r="OHI557" s="178"/>
      <c r="OHJ557" s="178"/>
      <c r="OHK557" s="178"/>
      <c r="OHL557" s="178"/>
      <c r="OHM557" s="178"/>
      <c r="OHN557" s="178"/>
      <c r="OHO557" s="178"/>
      <c r="OHP557" s="178"/>
      <c r="OHQ557" s="178"/>
      <c r="OHR557" s="178"/>
      <c r="OHS557" s="178"/>
      <c r="OHT557" s="178"/>
      <c r="OHU557" s="178"/>
      <c r="OHV557" s="178"/>
      <c r="OHW557" s="178"/>
      <c r="OHX557" s="178"/>
      <c r="OHY557" s="178"/>
      <c r="OHZ557" s="178"/>
      <c r="OIA557" s="178"/>
      <c r="OIB557" s="178"/>
      <c r="OIC557" s="178"/>
      <c r="OID557" s="178"/>
      <c r="OIE557" s="178"/>
      <c r="OIF557" s="178"/>
      <c r="OIG557" s="178"/>
      <c r="OIH557" s="178"/>
      <c r="OII557" s="178"/>
      <c r="OIJ557" s="178"/>
      <c r="OIK557" s="178"/>
      <c r="OIL557" s="178"/>
      <c r="OIM557" s="178"/>
      <c r="OIN557" s="178"/>
      <c r="OIO557" s="178"/>
      <c r="OIP557" s="178"/>
      <c r="OIQ557" s="178"/>
      <c r="OIR557" s="178"/>
      <c r="OIS557" s="178"/>
      <c r="OIT557" s="178"/>
      <c r="OIU557" s="178"/>
      <c r="OIV557" s="178"/>
      <c r="OIW557" s="178"/>
      <c r="OIX557" s="178"/>
      <c r="OIY557" s="178"/>
      <c r="OIZ557" s="178"/>
      <c r="OJA557" s="178"/>
      <c r="OJB557" s="178"/>
      <c r="OJC557" s="178"/>
      <c r="OJD557" s="178"/>
      <c r="OJE557" s="178"/>
      <c r="OJF557" s="178"/>
      <c r="OJG557" s="178"/>
      <c r="OJH557" s="178"/>
      <c r="OJI557" s="178"/>
      <c r="OJJ557" s="178"/>
      <c r="OJK557" s="178"/>
      <c r="OJL557" s="178"/>
      <c r="OJM557" s="178"/>
      <c r="OJN557" s="178"/>
      <c r="OJO557" s="178"/>
      <c r="OJP557" s="178"/>
      <c r="OJQ557" s="178"/>
      <c r="OJR557" s="178"/>
      <c r="OJS557" s="178"/>
      <c r="OJT557" s="178"/>
      <c r="OJU557" s="178"/>
      <c r="OJV557" s="178"/>
      <c r="OJW557" s="178"/>
      <c r="OJX557" s="178"/>
      <c r="OJY557" s="178"/>
      <c r="OJZ557" s="178"/>
      <c r="OKA557" s="178"/>
      <c r="OKB557" s="178"/>
      <c r="OKC557" s="178"/>
      <c r="OKD557" s="178"/>
      <c r="OKE557" s="178"/>
      <c r="OKF557" s="178"/>
      <c r="OKG557" s="178"/>
      <c r="OKH557" s="178"/>
      <c r="OKI557" s="178"/>
      <c r="OKJ557" s="178"/>
      <c r="OKK557" s="178"/>
      <c r="OKL557" s="178"/>
      <c r="OKM557" s="178"/>
      <c r="OKN557" s="178"/>
      <c r="OKO557" s="178"/>
      <c r="OKP557" s="178"/>
      <c r="OKQ557" s="178"/>
      <c r="OKR557" s="178"/>
      <c r="OKS557" s="178"/>
      <c r="OKT557" s="178"/>
      <c r="OKU557" s="178"/>
      <c r="OKV557" s="178"/>
      <c r="OKW557" s="178"/>
      <c r="OKX557" s="178"/>
      <c r="OKY557" s="178"/>
      <c r="OKZ557" s="178"/>
      <c r="OLA557" s="178"/>
      <c r="OLB557" s="178"/>
      <c r="OLC557" s="178"/>
      <c r="OLD557" s="178"/>
      <c r="OLE557" s="178"/>
      <c r="OLF557" s="178"/>
      <c r="OLG557" s="178"/>
      <c r="OLH557" s="178"/>
      <c r="OLI557" s="178"/>
      <c r="OLJ557" s="178"/>
      <c r="OLK557" s="178"/>
      <c r="OLL557" s="178"/>
      <c r="OLM557" s="178"/>
      <c r="OLN557" s="178"/>
      <c r="OLO557" s="178"/>
      <c r="OLP557" s="178"/>
      <c r="OLQ557" s="178"/>
      <c r="OLR557" s="178"/>
      <c r="OLS557" s="178"/>
      <c r="OLT557" s="178"/>
      <c r="OLU557" s="178"/>
      <c r="OLV557" s="178"/>
      <c r="OLW557" s="178"/>
      <c r="OLX557" s="178"/>
      <c r="OLY557" s="178"/>
      <c r="OLZ557" s="178"/>
      <c r="OMA557" s="178"/>
      <c r="OMB557" s="178"/>
      <c r="OMC557" s="178"/>
      <c r="OMD557" s="178"/>
      <c r="OME557" s="178"/>
      <c r="OMF557" s="178"/>
      <c r="OMG557" s="178"/>
      <c r="OMH557" s="178"/>
      <c r="OMI557" s="178"/>
      <c r="OMJ557" s="178"/>
      <c r="OMK557" s="178"/>
      <c r="OML557" s="178"/>
      <c r="OMM557" s="178"/>
      <c r="OMN557" s="178"/>
      <c r="OMO557" s="178"/>
      <c r="OMP557" s="178"/>
      <c r="OMQ557" s="178"/>
      <c r="OMR557" s="178"/>
      <c r="OMS557" s="178"/>
      <c r="OMT557" s="178"/>
      <c r="OMU557" s="178"/>
      <c r="OMV557" s="178"/>
      <c r="OMW557" s="178"/>
      <c r="OMX557" s="178"/>
      <c r="OMY557" s="178"/>
      <c r="OMZ557" s="178"/>
      <c r="ONA557" s="178"/>
      <c r="ONB557" s="178"/>
      <c r="ONC557" s="178"/>
      <c r="OND557" s="178"/>
      <c r="ONE557" s="178"/>
      <c r="ONF557" s="178"/>
      <c r="ONG557" s="178"/>
      <c r="ONH557" s="178"/>
      <c r="ONI557" s="178"/>
      <c r="ONJ557" s="178"/>
      <c r="ONK557" s="178"/>
      <c r="ONL557" s="178"/>
      <c r="ONM557" s="178"/>
      <c r="ONN557" s="178"/>
      <c r="ONO557" s="178"/>
      <c r="ONP557" s="178"/>
      <c r="ONQ557" s="178"/>
      <c r="ONR557" s="178"/>
      <c r="ONS557" s="178"/>
      <c r="ONT557" s="178"/>
      <c r="ONU557" s="178"/>
      <c r="ONV557" s="178"/>
      <c r="ONW557" s="178"/>
      <c r="ONX557" s="178"/>
      <c r="ONY557" s="178"/>
      <c r="ONZ557" s="178"/>
      <c r="OOA557" s="178"/>
      <c r="OOB557" s="178"/>
      <c r="OOC557" s="178"/>
      <c r="OOD557" s="178"/>
      <c r="OOE557" s="178"/>
      <c r="OOF557" s="178"/>
      <c r="OOG557" s="178"/>
      <c r="OOH557" s="178"/>
      <c r="OOI557" s="178"/>
      <c r="OOJ557" s="178"/>
      <c r="OOK557" s="178"/>
      <c r="OOL557" s="178"/>
      <c r="OOM557" s="178"/>
      <c r="OON557" s="178"/>
      <c r="OOO557" s="178"/>
      <c r="OOP557" s="178"/>
      <c r="OOQ557" s="178"/>
      <c r="OOR557" s="178"/>
      <c r="OOS557" s="178"/>
      <c r="OOT557" s="178"/>
      <c r="OOU557" s="178"/>
      <c r="OOV557" s="178"/>
      <c r="OOW557" s="178"/>
      <c r="OOX557" s="178"/>
      <c r="OOY557" s="178"/>
      <c r="OOZ557" s="178"/>
      <c r="OPA557" s="178"/>
      <c r="OPB557" s="178"/>
      <c r="OPC557" s="178"/>
      <c r="OPD557" s="178"/>
      <c r="OPE557" s="178"/>
      <c r="OPF557" s="178"/>
      <c r="OPG557" s="178"/>
      <c r="OPH557" s="178"/>
      <c r="OPI557" s="178"/>
      <c r="OPJ557" s="178"/>
      <c r="OPK557" s="178"/>
      <c r="OPL557" s="178"/>
      <c r="OPM557" s="178"/>
      <c r="OPN557" s="178"/>
      <c r="OPO557" s="178"/>
      <c r="OPP557" s="178"/>
      <c r="OPQ557" s="178"/>
      <c r="OPR557" s="178"/>
      <c r="OPS557" s="178"/>
      <c r="OPT557" s="178"/>
      <c r="OPU557" s="178"/>
      <c r="OPV557" s="178"/>
      <c r="OPW557" s="178"/>
      <c r="OPX557" s="178"/>
      <c r="OPY557" s="178"/>
      <c r="OPZ557" s="178"/>
      <c r="OQA557" s="178"/>
      <c r="OQB557" s="178"/>
      <c r="OQC557" s="178"/>
      <c r="OQD557" s="178"/>
      <c r="OQE557" s="178"/>
      <c r="OQF557" s="178"/>
      <c r="OQG557" s="178"/>
      <c r="OQH557" s="178"/>
      <c r="OQI557" s="178"/>
      <c r="OQJ557" s="178"/>
      <c r="OQK557" s="178"/>
      <c r="OQL557" s="178"/>
      <c r="OQM557" s="178"/>
      <c r="OQN557" s="178"/>
      <c r="OQO557" s="178"/>
      <c r="OQP557" s="178"/>
      <c r="OQQ557" s="178"/>
      <c r="OQR557" s="178"/>
      <c r="OQS557" s="178"/>
      <c r="OQT557" s="178"/>
      <c r="OQU557" s="178"/>
      <c r="OQV557" s="178"/>
      <c r="OQW557" s="178"/>
      <c r="OQX557" s="178"/>
      <c r="OQY557" s="178"/>
      <c r="OQZ557" s="178"/>
      <c r="ORA557" s="178"/>
      <c r="ORB557" s="178"/>
      <c r="ORC557" s="178"/>
      <c r="ORD557" s="178"/>
      <c r="ORE557" s="178"/>
      <c r="ORF557" s="178"/>
      <c r="ORG557" s="178"/>
      <c r="ORH557" s="178"/>
      <c r="ORI557" s="178"/>
      <c r="ORJ557" s="178"/>
      <c r="ORK557" s="178"/>
      <c r="ORL557" s="178"/>
      <c r="ORM557" s="178"/>
      <c r="ORN557" s="178"/>
      <c r="ORO557" s="178"/>
      <c r="ORP557" s="178"/>
      <c r="ORQ557" s="178"/>
      <c r="ORR557" s="178"/>
      <c r="ORS557" s="178"/>
      <c r="ORT557" s="178"/>
      <c r="ORU557" s="178"/>
      <c r="ORV557" s="178"/>
      <c r="ORW557" s="178"/>
      <c r="ORX557" s="178"/>
      <c r="ORY557" s="178"/>
      <c r="ORZ557" s="178"/>
      <c r="OSA557" s="178"/>
      <c r="OSB557" s="178"/>
      <c r="OSC557" s="178"/>
      <c r="OSD557" s="178"/>
      <c r="OSE557" s="178"/>
      <c r="OSF557" s="178"/>
      <c r="OSG557" s="178"/>
      <c r="OSH557" s="178"/>
      <c r="OSI557" s="178"/>
      <c r="OSJ557" s="178"/>
      <c r="OSK557" s="178"/>
      <c r="OSL557" s="178"/>
      <c r="OSM557" s="178"/>
      <c r="OSN557" s="178"/>
      <c r="OSO557" s="178"/>
      <c r="OSP557" s="178"/>
      <c r="OSQ557" s="178"/>
      <c r="OSR557" s="178"/>
      <c r="OSS557" s="178"/>
      <c r="OST557" s="178"/>
      <c r="OSU557" s="178"/>
      <c r="OSV557" s="178"/>
      <c r="OSW557" s="178"/>
      <c r="OSX557" s="178"/>
      <c r="OSY557" s="178"/>
      <c r="OSZ557" s="178"/>
      <c r="OTA557" s="178"/>
      <c r="OTB557" s="178"/>
      <c r="OTC557" s="178"/>
      <c r="OTD557" s="178"/>
      <c r="OTE557" s="178"/>
      <c r="OTF557" s="178"/>
      <c r="OTG557" s="178"/>
      <c r="OTH557" s="178"/>
      <c r="OTI557" s="178"/>
      <c r="OTJ557" s="178"/>
      <c r="OTK557" s="178"/>
      <c r="OTL557" s="178"/>
      <c r="OTM557" s="178"/>
      <c r="OTN557" s="178"/>
      <c r="OTO557" s="178"/>
      <c r="OTP557" s="178"/>
      <c r="OTQ557" s="178"/>
      <c r="OTR557" s="178"/>
      <c r="OTS557" s="178"/>
      <c r="OTT557" s="178"/>
      <c r="OTU557" s="178"/>
      <c r="OTV557" s="178"/>
      <c r="OTW557" s="178"/>
      <c r="OTX557" s="178"/>
      <c r="OTY557" s="178"/>
      <c r="OTZ557" s="178"/>
      <c r="OUA557" s="178"/>
      <c r="OUB557" s="178"/>
      <c r="OUC557" s="178"/>
      <c r="OUD557" s="178"/>
      <c r="OUE557" s="178"/>
      <c r="OUF557" s="178"/>
      <c r="OUG557" s="178"/>
      <c r="OUH557" s="178"/>
      <c r="OUI557" s="178"/>
      <c r="OUJ557" s="178"/>
      <c r="OUK557" s="178"/>
      <c r="OUL557" s="178"/>
      <c r="OUM557" s="178"/>
      <c r="OUN557" s="178"/>
      <c r="OUO557" s="178"/>
      <c r="OUP557" s="178"/>
      <c r="OUQ557" s="178"/>
      <c r="OUR557" s="178"/>
      <c r="OUS557" s="178"/>
      <c r="OUT557" s="178"/>
      <c r="OUU557" s="178"/>
      <c r="OUV557" s="178"/>
      <c r="OUW557" s="178"/>
      <c r="OUX557" s="178"/>
      <c r="OUY557" s="178"/>
      <c r="OUZ557" s="178"/>
      <c r="OVA557" s="178"/>
      <c r="OVB557" s="178"/>
      <c r="OVC557" s="178"/>
      <c r="OVD557" s="178"/>
      <c r="OVE557" s="178"/>
      <c r="OVF557" s="178"/>
      <c r="OVG557" s="178"/>
      <c r="OVH557" s="178"/>
      <c r="OVI557" s="178"/>
      <c r="OVJ557" s="178"/>
      <c r="OVK557" s="178"/>
      <c r="OVL557" s="178"/>
      <c r="OVM557" s="178"/>
      <c r="OVN557" s="178"/>
      <c r="OVO557" s="178"/>
      <c r="OVP557" s="178"/>
      <c r="OVQ557" s="178"/>
      <c r="OVR557" s="178"/>
      <c r="OVS557" s="178"/>
      <c r="OVT557" s="178"/>
      <c r="OVU557" s="178"/>
      <c r="OVV557" s="178"/>
      <c r="OVW557" s="178"/>
      <c r="OVX557" s="178"/>
      <c r="OVY557" s="178"/>
      <c r="OVZ557" s="178"/>
      <c r="OWA557" s="178"/>
      <c r="OWB557" s="178"/>
      <c r="OWC557" s="178"/>
      <c r="OWD557" s="178"/>
      <c r="OWE557" s="178"/>
      <c r="OWF557" s="178"/>
      <c r="OWG557" s="178"/>
      <c r="OWH557" s="178"/>
      <c r="OWI557" s="178"/>
      <c r="OWJ557" s="178"/>
      <c r="OWK557" s="178"/>
      <c r="OWL557" s="178"/>
      <c r="OWM557" s="178"/>
      <c r="OWN557" s="178"/>
      <c r="OWO557" s="178"/>
      <c r="OWP557" s="178"/>
      <c r="OWQ557" s="178"/>
      <c r="OWR557" s="178"/>
      <c r="OWS557" s="178"/>
      <c r="OWT557" s="178"/>
      <c r="OWU557" s="178"/>
      <c r="OWV557" s="178"/>
      <c r="OWW557" s="178"/>
      <c r="OWX557" s="178"/>
      <c r="OWY557" s="178"/>
      <c r="OWZ557" s="178"/>
      <c r="OXA557" s="178"/>
      <c r="OXB557" s="178"/>
      <c r="OXC557" s="178"/>
      <c r="OXD557" s="178"/>
      <c r="OXE557" s="178"/>
      <c r="OXF557" s="178"/>
      <c r="OXG557" s="178"/>
      <c r="OXH557" s="178"/>
      <c r="OXI557" s="178"/>
      <c r="OXJ557" s="178"/>
      <c r="OXK557" s="178"/>
      <c r="OXL557" s="178"/>
      <c r="OXM557" s="178"/>
      <c r="OXN557" s="178"/>
      <c r="OXO557" s="178"/>
      <c r="OXP557" s="178"/>
      <c r="OXQ557" s="178"/>
      <c r="OXR557" s="178"/>
      <c r="OXS557" s="178"/>
      <c r="OXT557" s="178"/>
      <c r="OXU557" s="178"/>
      <c r="OXV557" s="178"/>
      <c r="OXW557" s="178"/>
      <c r="OXX557" s="178"/>
      <c r="OXY557" s="178"/>
      <c r="OXZ557" s="178"/>
      <c r="OYA557" s="178"/>
      <c r="OYB557" s="178"/>
      <c r="OYC557" s="178"/>
      <c r="OYD557" s="178"/>
      <c r="OYE557" s="178"/>
      <c r="OYF557" s="178"/>
      <c r="OYG557" s="178"/>
      <c r="OYH557" s="178"/>
      <c r="OYI557" s="178"/>
      <c r="OYJ557" s="178"/>
      <c r="OYK557" s="178"/>
      <c r="OYL557" s="178"/>
      <c r="OYM557" s="178"/>
      <c r="OYN557" s="178"/>
      <c r="OYO557" s="178"/>
      <c r="OYP557" s="178"/>
      <c r="OYQ557" s="178"/>
      <c r="OYR557" s="178"/>
      <c r="OYS557" s="178"/>
      <c r="OYT557" s="178"/>
      <c r="OYU557" s="178"/>
      <c r="OYV557" s="178"/>
      <c r="OYW557" s="178"/>
      <c r="OYX557" s="178"/>
      <c r="OYY557" s="178"/>
      <c r="OYZ557" s="178"/>
      <c r="OZA557" s="178"/>
      <c r="OZB557" s="178"/>
      <c r="OZC557" s="178"/>
      <c r="OZD557" s="178"/>
      <c r="OZE557" s="178"/>
      <c r="OZF557" s="178"/>
      <c r="OZG557" s="178"/>
      <c r="OZH557" s="178"/>
      <c r="OZI557" s="178"/>
      <c r="OZJ557" s="178"/>
      <c r="OZK557" s="178"/>
      <c r="OZL557" s="178"/>
      <c r="OZM557" s="178"/>
      <c r="OZN557" s="178"/>
      <c r="OZO557" s="178"/>
      <c r="OZP557" s="178"/>
      <c r="OZQ557" s="178"/>
      <c r="OZR557" s="178"/>
      <c r="OZS557" s="178"/>
      <c r="OZT557" s="178"/>
      <c r="OZU557" s="178"/>
      <c r="OZV557" s="178"/>
      <c r="OZW557" s="178"/>
      <c r="OZX557" s="178"/>
      <c r="OZY557" s="178"/>
      <c r="OZZ557" s="178"/>
      <c r="PAA557" s="178"/>
      <c r="PAB557" s="178"/>
      <c r="PAC557" s="178"/>
      <c r="PAD557" s="178"/>
      <c r="PAE557" s="178"/>
      <c r="PAF557" s="178"/>
      <c r="PAG557" s="178"/>
      <c r="PAH557" s="178"/>
      <c r="PAI557" s="178"/>
      <c r="PAJ557" s="178"/>
      <c r="PAK557" s="178"/>
      <c r="PAL557" s="178"/>
      <c r="PAM557" s="178"/>
      <c r="PAN557" s="178"/>
      <c r="PAO557" s="178"/>
      <c r="PAP557" s="178"/>
      <c r="PAQ557" s="178"/>
      <c r="PAR557" s="178"/>
      <c r="PAS557" s="178"/>
      <c r="PAT557" s="178"/>
      <c r="PAU557" s="178"/>
      <c r="PAV557" s="178"/>
      <c r="PAW557" s="178"/>
      <c r="PAX557" s="178"/>
      <c r="PAY557" s="178"/>
      <c r="PAZ557" s="178"/>
      <c r="PBA557" s="178"/>
      <c r="PBB557" s="178"/>
      <c r="PBC557" s="178"/>
      <c r="PBD557" s="178"/>
      <c r="PBE557" s="178"/>
      <c r="PBF557" s="178"/>
      <c r="PBG557" s="178"/>
      <c r="PBH557" s="178"/>
      <c r="PBI557" s="178"/>
      <c r="PBJ557" s="178"/>
      <c r="PBK557" s="178"/>
      <c r="PBL557" s="178"/>
      <c r="PBM557" s="178"/>
      <c r="PBN557" s="178"/>
      <c r="PBO557" s="178"/>
      <c r="PBP557" s="178"/>
      <c r="PBQ557" s="178"/>
      <c r="PBR557" s="178"/>
      <c r="PBS557" s="178"/>
      <c r="PBT557" s="178"/>
      <c r="PBU557" s="178"/>
      <c r="PBV557" s="178"/>
      <c r="PBW557" s="178"/>
      <c r="PBX557" s="178"/>
      <c r="PBY557" s="178"/>
      <c r="PBZ557" s="178"/>
      <c r="PCA557" s="178"/>
      <c r="PCB557" s="178"/>
      <c r="PCC557" s="178"/>
      <c r="PCD557" s="178"/>
      <c r="PCE557" s="178"/>
      <c r="PCF557" s="178"/>
      <c r="PCG557" s="178"/>
      <c r="PCH557" s="178"/>
      <c r="PCI557" s="178"/>
      <c r="PCJ557" s="178"/>
      <c r="PCK557" s="178"/>
      <c r="PCL557" s="178"/>
      <c r="PCM557" s="178"/>
      <c r="PCN557" s="178"/>
      <c r="PCO557" s="178"/>
      <c r="PCP557" s="178"/>
      <c r="PCQ557" s="178"/>
      <c r="PCR557" s="178"/>
      <c r="PCS557" s="178"/>
      <c r="PCT557" s="178"/>
      <c r="PCU557" s="178"/>
      <c r="PCV557" s="178"/>
      <c r="PCW557" s="178"/>
      <c r="PCX557" s="178"/>
      <c r="PCY557" s="178"/>
      <c r="PCZ557" s="178"/>
      <c r="PDA557" s="178"/>
      <c r="PDB557" s="178"/>
      <c r="PDC557" s="178"/>
      <c r="PDD557" s="178"/>
      <c r="PDE557" s="178"/>
      <c r="PDF557" s="178"/>
      <c r="PDG557" s="178"/>
      <c r="PDH557" s="178"/>
      <c r="PDI557" s="178"/>
      <c r="PDJ557" s="178"/>
      <c r="PDK557" s="178"/>
      <c r="PDL557" s="178"/>
      <c r="PDM557" s="178"/>
      <c r="PDN557" s="178"/>
      <c r="PDO557" s="178"/>
      <c r="PDP557" s="178"/>
      <c r="PDQ557" s="178"/>
      <c r="PDR557" s="178"/>
      <c r="PDS557" s="178"/>
      <c r="PDT557" s="178"/>
      <c r="PDU557" s="178"/>
      <c r="PDV557" s="178"/>
      <c r="PDW557" s="178"/>
      <c r="PDX557" s="178"/>
      <c r="PDY557" s="178"/>
      <c r="PDZ557" s="178"/>
      <c r="PEA557" s="178"/>
      <c r="PEB557" s="178"/>
      <c r="PEC557" s="178"/>
      <c r="PED557" s="178"/>
      <c r="PEE557" s="178"/>
      <c r="PEF557" s="178"/>
      <c r="PEG557" s="178"/>
      <c r="PEH557" s="178"/>
      <c r="PEI557" s="178"/>
      <c r="PEJ557" s="178"/>
      <c r="PEK557" s="178"/>
      <c r="PEL557" s="178"/>
      <c r="PEM557" s="178"/>
      <c r="PEN557" s="178"/>
      <c r="PEO557" s="178"/>
      <c r="PEP557" s="178"/>
      <c r="PEQ557" s="178"/>
      <c r="PER557" s="178"/>
      <c r="PES557" s="178"/>
      <c r="PET557" s="178"/>
      <c r="PEU557" s="178"/>
      <c r="PEV557" s="178"/>
      <c r="PEW557" s="178"/>
      <c r="PEX557" s="178"/>
      <c r="PEY557" s="178"/>
      <c r="PEZ557" s="178"/>
      <c r="PFA557" s="178"/>
      <c r="PFB557" s="178"/>
      <c r="PFC557" s="178"/>
      <c r="PFD557" s="178"/>
      <c r="PFE557" s="178"/>
      <c r="PFF557" s="178"/>
      <c r="PFG557" s="178"/>
      <c r="PFH557" s="178"/>
      <c r="PFI557" s="178"/>
      <c r="PFJ557" s="178"/>
      <c r="PFK557" s="178"/>
      <c r="PFL557" s="178"/>
      <c r="PFM557" s="178"/>
      <c r="PFN557" s="178"/>
      <c r="PFO557" s="178"/>
      <c r="PFP557" s="178"/>
      <c r="PFQ557" s="178"/>
      <c r="PFR557" s="178"/>
      <c r="PFS557" s="178"/>
      <c r="PFT557" s="178"/>
      <c r="PFU557" s="178"/>
      <c r="PFV557" s="178"/>
      <c r="PFW557" s="178"/>
      <c r="PFX557" s="178"/>
      <c r="PFY557" s="178"/>
      <c r="PFZ557" s="178"/>
      <c r="PGA557" s="178"/>
      <c r="PGB557" s="178"/>
      <c r="PGC557" s="178"/>
      <c r="PGD557" s="178"/>
      <c r="PGE557" s="178"/>
      <c r="PGF557" s="178"/>
      <c r="PGG557" s="178"/>
      <c r="PGH557" s="178"/>
      <c r="PGI557" s="178"/>
      <c r="PGJ557" s="178"/>
      <c r="PGK557" s="178"/>
      <c r="PGL557" s="178"/>
      <c r="PGM557" s="178"/>
      <c r="PGN557" s="178"/>
      <c r="PGO557" s="178"/>
      <c r="PGP557" s="178"/>
      <c r="PGQ557" s="178"/>
      <c r="PGR557" s="178"/>
      <c r="PGS557" s="178"/>
      <c r="PGT557" s="178"/>
      <c r="PGU557" s="178"/>
      <c r="PGV557" s="178"/>
      <c r="PGW557" s="178"/>
      <c r="PGX557" s="178"/>
      <c r="PGY557" s="178"/>
      <c r="PGZ557" s="178"/>
      <c r="PHA557" s="178"/>
      <c r="PHB557" s="178"/>
      <c r="PHC557" s="178"/>
      <c r="PHD557" s="178"/>
      <c r="PHE557" s="178"/>
      <c r="PHF557" s="178"/>
      <c r="PHG557" s="178"/>
      <c r="PHH557" s="178"/>
      <c r="PHI557" s="178"/>
      <c r="PHJ557" s="178"/>
      <c r="PHK557" s="178"/>
      <c r="PHL557" s="178"/>
      <c r="PHM557" s="178"/>
      <c r="PHN557" s="178"/>
      <c r="PHO557" s="178"/>
      <c r="PHP557" s="178"/>
      <c r="PHQ557" s="178"/>
      <c r="PHR557" s="178"/>
      <c r="PHS557" s="178"/>
      <c r="PHT557" s="178"/>
      <c r="PHU557" s="178"/>
      <c r="PHV557" s="178"/>
      <c r="PHW557" s="178"/>
      <c r="PHX557" s="178"/>
      <c r="PHY557" s="178"/>
      <c r="PHZ557" s="178"/>
      <c r="PIA557" s="178"/>
      <c r="PIB557" s="178"/>
      <c r="PIC557" s="178"/>
      <c r="PID557" s="178"/>
      <c r="PIE557" s="178"/>
      <c r="PIF557" s="178"/>
      <c r="PIG557" s="178"/>
      <c r="PIH557" s="178"/>
      <c r="PII557" s="178"/>
      <c r="PIJ557" s="178"/>
      <c r="PIK557" s="178"/>
      <c r="PIL557" s="178"/>
      <c r="PIM557" s="178"/>
      <c r="PIN557" s="178"/>
      <c r="PIO557" s="178"/>
      <c r="PIP557" s="178"/>
      <c r="PIQ557" s="178"/>
      <c r="PIR557" s="178"/>
      <c r="PIS557" s="178"/>
      <c r="PIT557" s="178"/>
      <c r="PIU557" s="178"/>
      <c r="PIV557" s="178"/>
      <c r="PIW557" s="178"/>
      <c r="PIX557" s="178"/>
      <c r="PIY557" s="178"/>
      <c r="PIZ557" s="178"/>
      <c r="PJA557" s="178"/>
      <c r="PJB557" s="178"/>
      <c r="PJC557" s="178"/>
      <c r="PJD557" s="178"/>
      <c r="PJE557" s="178"/>
      <c r="PJF557" s="178"/>
      <c r="PJG557" s="178"/>
      <c r="PJH557" s="178"/>
      <c r="PJI557" s="178"/>
      <c r="PJJ557" s="178"/>
      <c r="PJK557" s="178"/>
      <c r="PJL557" s="178"/>
      <c r="PJM557" s="178"/>
      <c r="PJN557" s="178"/>
      <c r="PJO557" s="178"/>
      <c r="PJP557" s="178"/>
      <c r="PJQ557" s="178"/>
      <c r="PJR557" s="178"/>
      <c r="PJS557" s="178"/>
      <c r="PJT557" s="178"/>
      <c r="PJU557" s="178"/>
      <c r="PJV557" s="178"/>
      <c r="PJW557" s="178"/>
      <c r="PJX557" s="178"/>
      <c r="PJY557" s="178"/>
      <c r="PJZ557" s="178"/>
      <c r="PKA557" s="178"/>
      <c r="PKB557" s="178"/>
      <c r="PKC557" s="178"/>
      <c r="PKD557" s="178"/>
      <c r="PKE557" s="178"/>
      <c r="PKF557" s="178"/>
      <c r="PKG557" s="178"/>
      <c r="PKH557" s="178"/>
      <c r="PKI557" s="178"/>
      <c r="PKJ557" s="178"/>
      <c r="PKK557" s="178"/>
      <c r="PKL557" s="178"/>
      <c r="PKM557" s="178"/>
      <c r="PKN557" s="178"/>
      <c r="PKO557" s="178"/>
      <c r="PKP557" s="178"/>
      <c r="PKQ557" s="178"/>
      <c r="PKR557" s="178"/>
      <c r="PKS557" s="178"/>
      <c r="PKT557" s="178"/>
      <c r="PKU557" s="178"/>
      <c r="PKV557" s="178"/>
      <c r="PKW557" s="178"/>
      <c r="PKX557" s="178"/>
      <c r="PKY557" s="178"/>
      <c r="PKZ557" s="178"/>
      <c r="PLA557" s="178"/>
      <c r="PLB557" s="178"/>
      <c r="PLC557" s="178"/>
      <c r="PLD557" s="178"/>
      <c r="PLE557" s="178"/>
      <c r="PLF557" s="178"/>
      <c r="PLG557" s="178"/>
      <c r="PLH557" s="178"/>
      <c r="PLI557" s="178"/>
      <c r="PLJ557" s="178"/>
      <c r="PLK557" s="178"/>
      <c r="PLL557" s="178"/>
      <c r="PLM557" s="178"/>
      <c r="PLN557" s="178"/>
      <c r="PLO557" s="178"/>
      <c r="PLP557" s="178"/>
      <c r="PLQ557" s="178"/>
      <c r="PLR557" s="178"/>
      <c r="PLS557" s="178"/>
      <c r="PLT557" s="178"/>
      <c r="PLU557" s="178"/>
      <c r="PLV557" s="178"/>
      <c r="PLW557" s="178"/>
      <c r="PLX557" s="178"/>
      <c r="PLY557" s="178"/>
      <c r="PLZ557" s="178"/>
      <c r="PMA557" s="178"/>
      <c r="PMB557" s="178"/>
      <c r="PMC557" s="178"/>
      <c r="PMD557" s="178"/>
      <c r="PME557" s="178"/>
      <c r="PMF557" s="178"/>
      <c r="PMG557" s="178"/>
      <c r="PMH557" s="178"/>
      <c r="PMI557" s="178"/>
      <c r="PMJ557" s="178"/>
      <c r="PMK557" s="178"/>
      <c r="PML557" s="178"/>
      <c r="PMM557" s="178"/>
      <c r="PMN557" s="178"/>
      <c r="PMO557" s="178"/>
      <c r="PMP557" s="178"/>
      <c r="PMQ557" s="178"/>
      <c r="PMR557" s="178"/>
      <c r="PMS557" s="178"/>
      <c r="PMT557" s="178"/>
      <c r="PMU557" s="178"/>
      <c r="PMV557" s="178"/>
      <c r="PMW557" s="178"/>
      <c r="PMX557" s="178"/>
      <c r="PMY557" s="178"/>
      <c r="PMZ557" s="178"/>
      <c r="PNA557" s="178"/>
      <c r="PNB557" s="178"/>
      <c r="PNC557" s="178"/>
      <c r="PND557" s="178"/>
      <c r="PNE557" s="178"/>
      <c r="PNF557" s="178"/>
      <c r="PNG557" s="178"/>
      <c r="PNH557" s="178"/>
      <c r="PNI557" s="178"/>
      <c r="PNJ557" s="178"/>
      <c r="PNK557" s="178"/>
      <c r="PNL557" s="178"/>
      <c r="PNM557" s="178"/>
      <c r="PNN557" s="178"/>
      <c r="PNO557" s="178"/>
      <c r="PNP557" s="178"/>
      <c r="PNQ557" s="178"/>
      <c r="PNR557" s="178"/>
      <c r="PNS557" s="178"/>
      <c r="PNT557" s="178"/>
      <c r="PNU557" s="178"/>
      <c r="PNV557" s="178"/>
      <c r="PNW557" s="178"/>
      <c r="PNX557" s="178"/>
      <c r="PNY557" s="178"/>
      <c r="PNZ557" s="178"/>
      <c r="POA557" s="178"/>
      <c r="POB557" s="178"/>
      <c r="POC557" s="178"/>
      <c r="POD557" s="178"/>
      <c r="POE557" s="178"/>
      <c r="POF557" s="178"/>
      <c r="POG557" s="178"/>
      <c r="POH557" s="178"/>
      <c r="POI557" s="178"/>
      <c r="POJ557" s="178"/>
      <c r="POK557" s="178"/>
      <c r="POL557" s="178"/>
      <c r="POM557" s="178"/>
      <c r="PON557" s="178"/>
      <c r="POO557" s="178"/>
      <c r="POP557" s="178"/>
      <c r="POQ557" s="178"/>
      <c r="POR557" s="178"/>
      <c r="POS557" s="178"/>
      <c r="POT557" s="178"/>
      <c r="POU557" s="178"/>
      <c r="POV557" s="178"/>
      <c r="POW557" s="178"/>
      <c r="POX557" s="178"/>
      <c r="POY557" s="178"/>
      <c r="POZ557" s="178"/>
      <c r="PPA557" s="178"/>
      <c r="PPB557" s="178"/>
      <c r="PPC557" s="178"/>
      <c r="PPD557" s="178"/>
      <c r="PPE557" s="178"/>
      <c r="PPF557" s="178"/>
      <c r="PPG557" s="178"/>
      <c r="PPH557" s="178"/>
      <c r="PPI557" s="178"/>
      <c r="PPJ557" s="178"/>
      <c r="PPK557" s="178"/>
      <c r="PPL557" s="178"/>
      <c r="PPM557" s="178"/>
      <c r="PPN557" s="178"/>
      <c r="PPO557" s="178"/>
      <c r="PPP557" s="178"/>
      <c r="PPQ557" s="178"/>
      <c r="PPR557" s="178"/>
      <c r="PPS557" s="178"/>
      <c r="PPT557" s="178"/>
      <c r="PPU557" s="178"/>
      <c r="PPV557" s="178"/>
      <c r="PPW557" s="178"/>
      <c r="PPX557" s="178"/>
      <c r="PPY557" s="178"/>
      <c r="PPZ557" s="178"/>
      <c r="PQA557" s="178"/>
      <c r="PQB557" s="178"/>
      <c r="PQC557" s="178"/>
      <c r="PQD557" s="178"/>
      <c r="PQE557" s="178"/>
      <c r="PQF557" s="178"/>
      <c r="PQG557" s="178"/>
      <c r="PQH557" s="178"/>
      <c r="PQI557" s="178"/>
      <c r="PQJ557" s="178"/>
      <c r="PQK557" s="178"/>
      <c r="PQL557" s="178"/>
      <c r="PQM557" s="178"/>
      <c r="PQN557" s="178"/>
      <c r="PQO557" s="178"/>
      <c r="PQP557" s="178"/>
      <c r="PQQ557" s="178"/>
      <c r="PQR557" s="178"/>
      <c r="PQS557" s="178"/>
      <c r="PQT557" s="178"/>
      <c r="PQU557" s="178"/>
      <c r="PQV557" s="178"/>
      <c r="PQW557" s="178"/>
      <c r="PQX557" s="178"/>
      <c r="PQY557" s="178"/>
      <c r="PQZ557" s="178"/>
      <c r="PRA557" s="178"/>
      <c r="PRB557" s="178"/>
      <c r="PRC557" s="178"/>
      <c r="PRD557" s="178"/>
      <c r="PRE557" s="178"/>
      <c r="PRF557" s="178"/>
      <c r="PRG557" s="178"/>
      <c r="PRH557" s="178"/>
      <c r="PRI557" s="178"/>
      <c r="PRJ557" s="178"/>
      <c r="PRK557" s="178"/>
      <c r="PRL557" s="178"/>
      <c r="PRM557" s="178"/>
      <c r="PRN557" s="178"/>
      <c r="PRO557" s="178"/>
      <c r="PRP557" s="178"/>
      <c r="PRQ557" s="178"/>
      <c r="PRR557" s="178"/>
      <c r="PRS557" s="178"/>
      <c r="PRT557" s="178"/>
      <c r="PRU557" s="178"/>
      <c r="PRV557" s="178"/>
      <c r="PRW557" s="178"/>
      <c r="PRX557" s="178"/>
      <c r="PRY557" s="178"/>
      <c r="PRZ557" s="178"/>
      <c r="PSA557" s="178"/>
      <c r="PSB557" s="178"/>
      <c r="PSC557" s="178"/>
      <c r="PSD557" s="178"/>
      <c r="PSE557" s="178"/>
      <c r="PSF557" s="178"/>
      <c r="PSG557" s="178"/>
      <c r="PSH557" s="178"/>
      <c r="PSI557" s="178"/>
      <c r="PSJ557" s="178"/>
      <c r="PSK557" s="178"/>
      <c r="PSL557" s="178"/>
      <c r="PSM557" s="178"/>
      <c r="PSN557" s="178"/>
      <c r="PSO557" s="178"/>
      <c r="PSP557" s="178"/>
      <c r="PSQ557" s="178"/>
      <c r="PSR557" s="178"/>
      <c r="PSS557" s="178"/>
      <c r="PST557" s="178"/>
      <c r="PSU557" s="178"/>
      <c r="PSV557" s="178"/>
      <c r="PSW557" s="178"/>
      <c r="PSX557" s="178"/>
      <c r="PSY557" s="178"/>
      <c r="PSZ557" s="178"/>
      <c r="PTA557" s="178"/>
      <c r="PTB557" s="178"/>
      <c r="PTC557" s="178"/>
      <c r="PTD557" s="178"/>
      <c r="PTE557" s="178"/>
      <c r="PTF557" s="178"/>
      <c r="PTG557" s="178"/>
      <c r="PTH557" s="178"/>
      <c r="PTI557" s="178"/>
      <c r="PTJ557" s="178"/>
      <c r="PTK557" s="178"/>
      <c r="PTL557" s="178"/>
      <c r="PTM557" s="178"/>
      <c r="PTN557" s="178"/>
      <c r="PTO557" s="178"/>
      <c r="PTP557" s="178"/>
      <c r="PTQ557" s="178"/>
      <c r="PTR557" s="178"/>
      <c r="PTS557" s="178"/>
      <c r="PTT557" s="178"/>
      <c r="PTU557" s="178"/>
      <c r="PTV557" s="178"/>
      <c r="PTW557" s="178"/>
      <c r="PTX557" s="178"/>
      <c r="PTY557" s="178"/>
      <c r="PTZ557" s="178"/>
      <c r="PUA557" s="178"/>
      <c r="PUB557" s="178"/>
      <c r="PUC557" s="178"/>
      <c r="PUD557" s="178"/>
      <c r="PUE557" s="178"/>
      <c r="PUF557" s="178"/>
      <c r="PUG557" s="178"/>
      <c r="PUH557" s="178"/>
      <c r="PUI557" s="178"/>
      <c r="PUJ557" s="178"/>
      <c r="PUK557" s="178"/>
      <c r="PUL557" s="178"/>
      <c r="PUM557" s="178"/>
      <c r="PUN557" s="178"/>
      <c r="PUO557" s="178"/>
      <c r="PUP557" s="178"/>
      <c r="PUQ557" s="178"/>
      <c r="PUR557" s="178"/>
      <c r="PUS557" s="178"/>
      <c r="PUT557" s="178"/>
      <c r="PUU557" s="178"/>
      <c r="PUV557" s="178"/>
      <c r="PUW557" s="178"/>
      <c r="PUX557" s="178"/>
      <c r="PUY557" s="178"/>
      <c r="PUZ557" s="178"/>
      <c r="PVA557" s="178"/>
      <c r="PVB557" s="178"/>
      <c r="PVC557" s="178"/>
      <c r="PVD557" s="178"/>
      <c r="PVE557" s="178"/>
      <c r="PVF557" s="178"/>
      <c r="PVG557" s="178"/>
      <c r="PVH557" s="178"/>
      <c r="PVI557" s="178"/>
      <c r="PVJ557" s="178"/>
      <c r="PVK557" s="178"/>
      <c r="PVL557" s="178"/>
      <c r="PVM557" s="178"/>
      <c r="PVN557" s="178"/>
      <c r="PVO557" s="178"/>
      <c r="PVP557" s="178"/>
      <c r="PVQ557" s="178"/>
      <c r="PVR557" s="178"/>
      <c r="PVS557" s="178"/>
      <c r="PVT557" s="178"/>
      <c r="PVU557" s="178"/>
      <c r="PVV557" s="178"/>
      <c r="PVW557" s="178"/>
      <c r="PVX557" s="178"/>
      <c r="PVY557" s="178"/>
      <c r="PVZ557" s="178"/>
      <c r="PWA557" s="178"/>
      <c r="PWB557" s="178"/>
      <c r="PWC557" s="178"/>
      <c r="PWD557" s="178"/>
      <c r="PWE557" s="178"/>
      <c r="PWF557" s="178"/>
      <c r="PWG557" s="178"/>
      <c r="PWH557" s="178"/>
      <c r="PWI557" s="178"/>
      <c r="PWJ557" s="178"/>
      <c r="PWK557" s="178"/>
      <c r="PWL557" s="178"/>
      <c r="PWM557" s="178"/>
      <c r="PWN557" s="178"/>
      <c r="PWO557" s="178"/>
      <c r="PWP557" s="178"/>
      <c r="PWQ557" s="178"/>
      <c r="PWR557" s="178"/>
      <c r="PWS557" s="178"/>
      <c r="PWT557" s="178"/>
      <c r="PWU557" s="178"/>
      <c r="PWV557" s="178"/>
      <c r="PWW557" s="178"/>
      <c r="PWX557" s="178"/>
      <c r="PWY557" s="178"/>
      <c r="PWZ557" s="178"/>
      <c r="PXA557" s="178"/>
      <c r="PXB557" s="178"/>
      <c r="PXC557" s="178"/>
      <c r="PXD557" s="178"/>
      <c r="PXE557" s="178"/>
      <c r="PXF557" s="178"/>
      <c r="PXG557" s="178"/>
      <c r="PXH557" s="178"/>
      <c r="PXI557" s="178"/>
      <c r="PXJ557" s="178"/>
      <c r="PXK557" s="178"/>
      <c r="PXL557" s="178"/>
      <c r="PXM557" s="178"/>
      <c r="PXN557" s="178"/>
      <c r="PXO557" s="178"/>
      <c r="PXP557" s="178"/>
      <c r="PXQ557" s="178"/>
      <c r="PXR557" s="178"/>
      <c r="PXS557" s="178"/>
      <c r="PXT557" s="178"/>
      <c r="PXU557" s="178"/>
      <c r="PXV557" s="178"/>
      <c r="PXW557" s="178"/>
      <c r="PXX557" s="178"/>
      <c r="PXY557" s="178"/>
      <c r="PXZ557" s="178"/>
      <c r="PYA557" s="178"/>
      <c r="PYB557" s="178"/>
      <c r="PYC557" s="178"/>
      <c r="PYD557" s="178"/>
      <c r="PYE557" s="178"/>
      <c r="PYF557" s="178"/>
      <c r="PYG557" s="178"/>
      <c r="PYH557" s="178"/>
      <c r="PYI557" s="178"/>
      <c r="PYJ557" s="178"/>
      <c r="PYK557" s="178"/>
      <c r="PYL557" s="178"/>
      <c r="PYM557" s="178"/>
      <c r="PYN557" s="178"/>
      <c r="PYO557" s="178"/>
      <c r="PYP557" s="178"/>
      <c r="PYQ557" s="178"/>
      <c r="PYR557" s="178"/>
      <c r="PYS557" s="178"/>
      <c r="PYT557" s="178"/>
      <c r="PYU557" s="178"/>
      <c r="PYV557" s="178"/>
      <c r="PYW557" s="178"/>
      <c r="PYX557" s="178"/>
      <c r="PYY557" s="178"/>
      <c r="PYZ557" s="178"/>
      <c r="PZA557" s="178"/>
      <c r="PZB557" s="178"/>
      <c r="PZC557" s="178"/>
      <c r="PZD557" s="178"/>
      <c r="PZE557" s="178"/>
      <c r="PZF557" s="178"/>
      <c r="PZG557" s="178"/>
      <c r="PZH557" s="178"/>
      <c r="PZI557" s="178"/>
      <c r="PZJ557" s="178"/>
      <c r="PZK557" s="178"/>
      <c r="PZL557" s="178"/>
      <c r="PZM557" s="178"/>
      <c r="PZN557" s="178"/>
      <c r="PZO557" s="178"/>
      <c r="PZP557" s="178"/>
      <c r="PZQ557" s="178"/>
      <c r="PZR557" s="178"/>
      <c r="PZS557" s="178"/>
      <c r="PZT557" s="178"/>
      <c r="PZU557" s="178"/>
      <c r="PZV557" s="178"/>
      <c r="PZW557" s="178"/>
      <c r="PZX557" s="178"/>
      <c r="PZY557" s="178"/>
      <c r="PZZ557" s="178"/>
      <c r="QAA557" s="178"/>
      <c r="QAB557" s="178"/>
      <c r="QAC557" s="178"/>
      <c r="QAD557" s="178"/>
      <c r="QAE557" s="178"/>
      <c r="QAF557" s="178"/>
      <c r="QAG557" s="178"/>
      <c r="QAH557" s="178"/>
      <c r="QAI557" s="178"/>
      <c r="QAJ557" s="178"/>
      <c r="QAK557" s="178"/>
      <c r="QAL557" s="178"/>
      <c r="QAM557" s="178"/>
      <c r="QAN557" s="178"/>
      <c r="QAO557" s="178"/>
      <c r="QAP557" s="178"/>
      <c r="QAQ557" s="178"/>
      <c r="QAR557" s="178"/>
      <c r="QAS557" s="178"/>
      <c r="QAT557" s="178"/>
      <c r="QAU557" s="178"/>
      <c r="QAV557" s="178"/>
      <c r="QAW557" s="178"/>
      <c r="QAX557" s="178"/>
      <c r="QAY557" s="178"/>
      <c r="QAZ557" s="178"/>
      <c r="QBA557" s="178"/>
      <c r="QBB557" s="178"/>
      <c r="QBC557" s="178"/>
      <c r="QBD557" s="178"/>
      <c r="QBE557" s="178"/>
      <c r="QBF557" s="178"/>
      <c r="QBG557" s="178"/>
      <c r="QBH557" s="178"/>
      <c r="QBI557" s="178"/>
      <c r="QBJ557" s="178"/>
      <c r="QBK557" s="178"/>
      <c r="QBL557" s="178"/>
      <c r="QBM557" s="178"/>
      <c r="QBN557" s="178"/>
      <c r="QBO557" s="178"/>
      <c r="QBP557" s="178"/>
      <c r="QBQ557" s="178"/>
      <c r="QBR557" s="178"/>
      <c r="QBS557" s="178"/>
      <c r="QBT557" s="178"/>
      <c r="QBU557" s="178"/>
      <c r="QBV557" s="178"/>
      <c r="QBW557" s="178"/>
      <c r="QBX557" s="178"/>
      <c r="QBY557" s="178"/>
      <c r="QBZ557" s="178"/>
      <c r="QCA557" s="178"/>
      <c r="QCB557" s="178"/>
      <c r="QCC557" s="178"/>
      <c r="QCD557" s="178"/>
      <c r="QCE557" s="178"/>
      <c r="QCF557" s="178"/>
      <c r="QCG557" s="178"/>
      <c r="QCH557" s="178"/>
      <c r="QCI557" s="178"/>
      <c r="QCJ557" s="178"/>
      <c r="QCK557" s="178"/>
      <c r="QCL557" s="178"/>
      <c r="QCM557" s="178"/>
      <c r="QCN557" s="178"/>
      <c r="QCO557" s="178"/>
      <c r="QCP557" s="178"/>
      <c r="QCQ557" s="178"/>
      <c r="QCR557" s="178"/>
      <c r="QCS557" s="178"/>
      <c r="QCT557" s="178"/>
      <c r="QCU557" s="178"/>
      <c r="QCV557" s="178"/>
      <c r="QCW557" s="178"/>
      <c r="QCX557" s="178"/>
      <c r="QCY557" s="178"/>
      <c r="QCZ557" s="178"/>
      <c r="QDA557" s="178"/>
      <c r="QDB557" s="178"/>
      <c r="QDC557" s="178"/>
      <c r="QDD557" s="178"/>
      <c r="QDE557" s="178"/>
      <c r="QDF557" s="178"/>
      <c r="QDG557" s="178"/>
      <c r="QDH557" s="178"/>
      <c r="QDI557" s="178"/>
      <c r="QDJ557" s="178"/>
      <c r="QDK557" s="178"/>
      <c r="QDL557" s="178"/>
      <c r="QDM557" s="178"/>
      <c r="QDN557" s="178"/>
      <c r="QDO557" s="178"/>
      <c r="QDP557" s="178"/>
      <c r="QDQ557" s="178"/>
      <c r="QDR557" s="178"/>
      <c r="QDS557" s="178"/>
      <c r="QDT557" s="178"/>
      <c r="QDU557" s="178"/>
      <c r="QDV557" s="178"/>
      <c r="QDW557" s="178"/>
      <c r="QDX557" s="178"/>
      <c r="QDY557" s="178"/>
      <c r="QDZ557" s="178"/>
      <c r="QEA557" s="178"/>
      <c r="QEB557" s="178"/>
      <c r="QEC557" s="178"/>
      <c r="QED557" s="178"/>
      <c r="QEE557" s="178"/>
      <c r="QEF557" s="178"/>
      <c r="QEG557" s="178"/>
      <c r="QEH557" s="178"/>
      <c r="QEI557" s="178"/>
      <c r="QEJ557" s="178"/>
      <c r="QEK557" s="178"/>
      <c r="QEL557" s="178"/>
      <c r="QEM557" s="178"/>
      <c r="QEN557" s="178"/>
      <c r="QEO557" s="178"/>
      <c r="QEP557" s="178"/>
      <c r="QEQ557" s="178"/>
      <c r="QER557" s="178"/>
      <c r="QES557" s="178"/>
      <c r="QET557" s="178"/>
      <c r="QEU557" s="178"/>
      <c r="QEV557" s="178"/>
      <c r="QEW557" s="178"/>
      <c r="QEX557" s="178"/>
      <c r="QEY557" s="178"/>
      <c r="QEZ557" s="178"/>
      <c r="QFA557" s="178"/>
      <c r="QFB557" s="178"/>
      <c r="QFC557" s="178"/>
      <c r="QFD557" s="178"/>
      <c r="QFE557" s="178"/>
      <c r="QFF557" s="178"/>
      <c r="QFG557" s="178"/>
      <c r="QFH557" s="178"/>
      <c r="QFI557" s="178"/>
      <c r="QFJ557" s="178"/>
      <c r="QFK557" s="178"/>
      <c r="QFL557" s="178"/>
      <c r="QFM557" s="178"/>
      <c r="QFN557" s="178"/>
      <c r="QFO557" s="178"/>
      <c r="QFP557" s="178"/>
      <c r="QFQ557" s="178"/>
      <c r="QFR557" s="178"/>
      <c r="QFS557" s="178"/>
      <c r="QFT557" s="178"/>
      <c r="QFU557" s="178"/>
      <c r="QFV557" s="178"/>
      <c r="QFW557" s="178"/>
      <c r="QFX557" s="178"/>
      <c r="QFY557" s="178"/>
      <c r="QFZ557" s="178"/>
      <c r="QGA557" s="178"/>
      <c r="QGB557" s="178"/>
      <c r="QGC557" s="178"/>
      <c r="QGD557" s="178"/>
      <c r="QGE557" s="178"/>
      <c r="QGF557" s="178"/>
      <c r="QGG557" s="178"/>
      <c r="QGH557" s="178"/>
      <c r="QGI557" s="178"/>
      <c r="QGJ557" s="178"/>
      <c r="QGK557" s="178"/>
      <c r="QGL557" s="178"/>
      <c r="QGM557" s="178"/>
      <c r="QGN557" s="178"/>
      <c r="QGO557" s="178"/>
      <c r="QGP557" s="178"/>
      <c r="QGQ557" s="178"/>
      <c r="QGR557" s="178"/>
      <c r="QGS557" s="178"/>
      <c r="QGT557" s="178"/>
      <c r="QGU557" s="178"/>
      <c r="QGV557" s="178"/>
      <c r="QGW557" s="178"/>
      <c r="QGX557" s="178"/>
      <c r="QGY557" s="178"/>
      <c r="QGZ557" s="178"/>
      <c r="QHA557" s="178"/>
      <c r="QHB557" s="178"/>
      <c r="QHC557" s="178"/>
      <c r="QHD557" s="178"/>
      <c r="QHE557" s="178"/>
      <c r="QHF557" s="178"/>
      <c r="QHG557" s="178"/>
      <c r="QHH557" s="178"/>
      <c r="QHI557" s="178"/>
      <c r="QHJ557" s="178"/>
      <c r="QHK557" s="178"/>
      <c r="QHL557" s="178"/>
      <c r="QHM557" s="178"/>
      <c r="QHN557" s="178"/>
      <c r="QHO557" s="178"/>
      <c r="QHP557" s="178"/>
      <c r="QHQ557" s="178"/>
      <c r="QHR557" s="178"/>
      <c r="QHS557" s="178"/>
      <c r="QHT557" s="178"/>
      <c r="QHU557" s="178"/>
      <c r="QHV557" s="178"/>
      <c r="QHW557" s="178"/>
      <c r="QHX557" s="178"/>
      <c r="QHY557" s="178"/>
      <c r="QHZ557" s="178"/>
      <c r="QIA557" s="178"/>
      <c r="QIB557" s="178"/>
      <c r="QIC557" s="178"/>
      <c r="QID557" s="178"/>
      <c r="QIE557" s="178"/>
      <c r="QIF557" s="178"/>
      <c r="QIG557" s="178"/>
      <c r="QIH557" s="178"/>
      <c r="QII557" s="178"/>
      <c r="QIJ557" s="178"/>
      <c r="QIK557" s="178"/>
      <c r="QIL557" s="178"/>
      <c r="QIM557" s="178"/>
      <c r="QIN557" s="178"/>
      <c r="QIO557" s="178"/>
      <c r="QIP557" s="178"/>
      <c r="QIQ557" s="178"/>
      <c r="QIR557" s="178"/>
      <c r="QIS557" s="178"/>
      <c r="QIT557" s="178"/>
      <c r="QIU557" s="178"/>
      <c r="QIV557" s="178"/>
      <c r="QIW557" s="178"/>
      <c r="QIX557" s="178"/>
      <c r="QIY557" s="178"/>
      <c r="QIZ557" s="178"/>
      <c r="QJA557" s="178"/>
      <c r="QJB557" s="178"/>
      <c r="QJC557" s="178"/>
      <c r="QJD557" s="178"/>
      <c r="QJE557" s="178"/>
      <c r="QJF557" s="178"/>
      <c r="QJG557" s="178"/>
      <c r="QJH557" s="178"/>
      <c r="QJI557" s="178"/>
      <c r="QJJ557" s="178"/>
      <c r="QJK557" s="178"/>
      <c r="QJL557" s="178"/>
      <c r="QJM557" s="178"/>
      <c r="QJN557" s="178"/>
      <c r="QJO557" s="178"/>
      <c r="QJP557" s="178"/>
      <c r="QJQ557" s="178"/>
      <c r="QJR557" s="178"/>
      <c r="QJS557" s="178"/>
      <c r="QJT557" s="178"/>
      <c r="QJU557" s="178"/>
      <c r="QJV557" s="178"/>
      <c r="QJW557" s="178"/>
      <c r="QJX557" s="178"/>
      <c r="QJY557" s="178"/>
      <c r="QJZ557" s="178"/>
      <c r="QKA557" s="178"/>
      <c r="QKB557" s="178"/>
      <c r="QKC557" s="178"/>
      <c r="QKD557" s="178"/>
      <c r="QKE557" s="178"/>
      <c r="QKF557" s="178"/>
      <c r="QKG557" s="178"/>
      <c r="QKH557" s="178"/>
      <c r="QKI557" s="178"/>
      <c r="QKJ557" s="178"/>
      <c r="QKK557" s="178"/>
      <c r="QKL557" s="178"/>
      <c r="QKM557" s="178"/>
      <c r="QKN557" s="178"/>
      <c r="QKO557" s="178"/>
      <c r="QKP557" s="178"/>
      <c r="QKQ557" s="178"/>
      <c r="QKR557" s="178"/>
      <c r="QKS557" s="178"/>
      <c r="QKT557" s="178"/>
      <c r="QKU557" s="178"/>
      <c r="QKV557" s="178"/>
      <c r="QKW557" s="178"/>
      <c r="QKX557" s="178"/>
      <c r="QKY557" s="178"/>
      <c r="QKZ557" s="178"/>
      <c r="QLA557" s="178"/>
      <c r="QLB557" s="178"/>
      <c r="QLC557" s="178"/>
      <c r="QLD557" s="178"/>
      <c r="QLE557" s="178"/>
      <c r="QLF557" s="178"/>
      <c r="QLG557" s="178"/>
      <c r="QLH557" s="178"/>
      <c r="QLI557" s="178"/>
      <c r="QLJ557" s="178"/>
      <c r="QLK557" s="178"/>
      <c r="QLL557" s="178"/>
      <c r="QLM557" s="178"/>
      <c r="QLN557" s="178"/>
      <c r="QLO557" s="178"/>
      <c r="QLP557" s="178"/>
      <c r="QLQ557" s="178"/>
      <c r="QLR557" s="178"/>
      <c r="QLS557" s="178"/>
      <c r="QLT557" s="178"/>
      <c r="QLU557" s="178"/>
      <c r="QLV557" s="178"/>
      <c r="QLW557" s="178"/>
      <c r="QLX557" s="178"/>
      <c r="QLY557" s="178"/>
      <c r="QLZ557" s="178"/>
      <c r="QMA557" s="178"/>
      <c r="QMB557" s="178"/>
      <c r="QMC557" s="178"/>
      <c r="QMD557" s="178"/>
      <c r="QME557" s="178"/>
      <c r="QMF557" s="178"/>
      <c r="QMG557" s="178"/>
      <c r="QMH557" s="178"/>
      <c r="QMI557" s="178"/>
      <c r="QMJ557" s="178"/>
      <c r="QMK557" s="178"/>
      <c r="QML557" s="178"/>
      <c r="QMM557" s="178"/>
      <c r="QMN557" s="178"/>
      <c r="QMO557" s="178"/>
      <c r="QMP557" s="178"/>
      <c r="QMQ557" s="178"/>
      <c r="QMR557" s="178"/>
      <c r="QMS557" s="178"/>
      <c r="QMT557" s="178"/>
      <c r="QMU557" s="178"/>
      <c r="QMV557" s="178"/>
      <c r="QMW557" s="178"/>
      <c r="QMX557" s="178"/>
      <c r="QMY557" s="178"/>
      <c r="QMZ557" s="178"/>
      <c r="QNA557" s="178"/>
      <c r="QNB557" s="178"/>
      <c r="QNC557" s="178"/>
      <c r="QND557" s="178"/>
      <c r="QNE557" s="178"/>
      <c r="QNF557" s="178"/>
      <c r="QNG557" s="178"/>
      <c r="QNH557" s="178"/>
      <c r="QNI557" s="178"/>
      <c r="QNJ557" s="178"/>
      <c r="QNK557" s="178"/>
      <c r="QNL557" s="178"/>
      <c r="QNM557" s="178"/>
      <c r="QNN557" s="178"/>
      <c r="QNO557" s="178"/>
      <c r="QNP557" s="178"/>
      <c r="QNQ557" s="178"/>
      <c r="QNR557" s="178"/>
      <c r="QNS557" s="178"/>
      <c r="QNT557" s="178"/>
      <c r="QNU557" s="178"/>
      <c r="QNV557" s="178"/>
      <c r="QNW557" s="178"/>
      <c r="QNX557" s="178"/>
      <c r="QNY557" s="178"/>
      <c r="QNZ557" s="178"/>
      <c r="QOA557" s="178"/>
      <c r="QOB557" s="178"/>
      <c r="QOC557" s="178"/>
      <c r="QOD557" s="178"/>
      <c r="QOE557" s="178"/>
      <c r="QOF557" s="178"/>
      <c r="QOG557" s="178"/>
      <c r="QOH557" s="178"/>
      <c r="QOI557" s="178"/>
      <c r="QOJ557" s="178"/>
      <c r="QOK557" s="178"/>
      <c r="QOL557" s="178"/>
      <c r="QOM557" s="178"/>
      <c r="QON557" s="178"/>
      <c r="QOO557" s="178"/>
      <c r="QOP557" s="178"/>
      <c r="QOQ557" s="178"/>
      <c r="QOR557" s="178"/>
      <c r="QOS557" s="178"/>
      <c r="QOT557" s="178"/>
      <c r="QOU557" s="178"/>
      <c r="QOV557" s="178"/>
      <c r="QOW557" s="178"/>
      <c r="QOX557" s="178"/>
      <c r="QOY557" s="178"/>
      <c r="QOZ557" s="178"/>
      <c r="QPA557" s="178"/>
      <c r="QPB557" s="178"/>
      <c r="QPC557" s="178"/>
      <c r="QPD557" s="178"/>
      <c r="QPE557" s="178"/>
      <c r="QPF557" s="178"/>
      <c r="QPG557" s="178"/>
      <c r="QPH557" s="178"/>
      <c r="QPI557" s="178"/>
      <c r="QPJ557" s="178"/>
      <c r="QPK557" s="178"/>
      <c r="QPL557" s="178"/>
      <c r="QPM557" s="178"/>
      <c r="QPN557" s="178"/>
      <c r="QPO557" s="178"/>
      <c r="QPP557" s="178"/>
      <c r="QPQ557" s="178"/>
      <c r="QPR557" s="178"/>
      <c r="QPS557" s="178"/>
      <c r="QPT557" s="178"/>
      <c r="QPU557" s="178"/>
      <c r="QPV557" s="178"/>
      <c r="QPW557" s="178"/>
      <c r="QPX557" s="178"/>
      <c r="QPY557" s="178"/>
      <c r="QPZ557" s="178"/>
      <c r="QQA557" s="178"/>
      <c r="QQB557" s="178"/>
      <c r="QQC557" s="178"/>
      <c r="QQD557" s="178"/>
      <c r="QQE557" s="178"/>
      <c r="QQF557" s="178"/>
      <c r="QQG557" s="178"/>
      <c r="QQH557" s="178"/>
      <c r="QQI557" s="178"/>
      <c r="QQJ557" s="178"/>
      <c r="QQK557" s="178"/>
      <c r="QQL557" s="178"/>
      <c r="QQM557" s="178"/>
      <c r="QQN557" s="178"/>
      <c r="QQO557" s="178"/>
      <c r="QQP557" s="178"/>
      <c r="QQQ557" s="178"/>
      <c r="QQR557" s="178"/>
      <c r="QQS557" s="178"/>
      <c r="QQT557" s="178"/>
      <c r="QQU557" s="178"/>
      <c r="QQV557" s="178"/>
      <c r="QQW557" s="178"/>
      <c r="QQX557" s="178"/>
      <c r="QQY557" s="178"/>
      <c r="QQZ557" s="178"/>
      <c r="QRA557" s="178"/>
      <c r="QRB557" s="178"/>
      <c r="QRC557" s="178"/>
      <c r="QRD557" s="178"/>
      <c r="QRE557" s="178"/>
      <c r="QRF557" s="178"/>
      <c r="QRG557" s="178"/>
      <c r="QRH557" s="178"/>
      <c r="QRI557" s="178"/>
      <c r="QRJ557" s="178"/>
      <c r="QRK557" s="178"/>
      <c r="QRL557" s="178"/>
      <c r="QRM557" s="178"/>
      <c r="QRN557" s="178"/>
      <c r="QRO557" s="178"/>
      <c r="QRP557" s="178"/>
      <c r="QRQ557" s="178"/>
      <c r="QRR557" s="178"/>
      <c r="QRS557" s="178"/>
      <c r="QRT557" s="178"/>
      <c r="QRU557" s="178"/>
      <c r="QRV557" s="178"/>
      <c r="QRW557" s="178"/>
      <c r="QRX557" s="178"/>
      <c r="QRY557" s="178"/>
      <c r="QRZ557" s="178"/>
      <c r="QSA557" s="178"/>
      <c r="QSB557" s="178"/>
      <c r="QSC557" s="178"/>
      <c r="QSD557" s="178"/>
      <c r="QSE557" s="178"/>
      <c r="QSF557" s="178"/>
      <c r="QSG557" s="178"/>
      <c r="QSH557" s="178"/>
      <c r="QSI557" s="178"/>
      <c r="QSJ557" s="178"/>
      <c r="QSK557" s="178"/>
      <c r="QSL557" s="178"/>
      <c r="QSM557" s="178"/>
      <c r="QSN557" s="178"/>
      <c r="QSO557" s="178"/>
      <c r="QSP557" s="178"/>
      <c r="QSQ557" s="178"/>
      <c r="QSR557" s="178"/>
      <c r="QSS557" s="178"/>
      <c r="QST557" s="178"/>
      <c r="QSU557" s="178"/>
      <c r="QSV557" s="178"/>
      <c r="QSW557" s="178"/>
      <c r="QSX557" s="178"/>
      <c r="QSY557" s="178"/>
      <c r="QSZ557" s="178"/>
      <c r="QTA557" s="178"/>
      <c r="QTB557" s="178"/>
      <c r="QTC557" s="178"/>
      <c r="QTD557" s="178"/>
      <c r="QTE557" s="178"/>
      <c r="QTF557" s="178"/>
      <c r="QTG557" s="178"/>
      <c r="QTH557" s="178"/>
      <c r="QTI557" s="178"/>
      <c r="QTJ557" s="178"/>
      <c r="QTK557" s="178"/>
      <c r="QTL557" s="178"/>
      <c r="QTM557" s="178"/>
      <c r="QTN557" s="178"/>
      <c r="QTO557" s="178"/>
      <c r="QTP557" s="178"/>
      <c r="QTQ557" s="178"/>
      <c r="QTR557" s="178"/>
      <c r="QTS557" s="178"/>
      <c r="QTT557" s="178"/>
      <c r="QTU557" s="178"/>
      <c r="QTV557" s="178"/>
      <c r="QTW557" s="178"/>
      <c r="QTX557" s="178"/>
      <c r="QTY557" s="178"/>
      <c r="QTZ557" s="178"/>
      <c r="QUA557" s="178"/>
      <c r="QUB557" s="178"/>
      <c r="QUC557" s="178"/>
      <c r="QUD557" s="178"/>
      <c r="QUE557" s="178"/>
      <c r="QUF557" s="178"/>
      <c r="QUG557" s="178"/>
      <c r="QUH557" s="178"/>
      <c r="QUI557" s="178"/>
      <c r="QUJ557" s="178"/>
      <c r="QUK557" s="178"/>
      <c r="QUL557" s="178"/>
      <c r="QUM557" s="178"/>
      <c r="QUN557" s="178"/>
      <c r="QUO557" s="178"/>
      <c r="QUP557" s="178"/>
      <c r="QUQ557" s="178"/>
      <c r="QUR557" s="178"/>
      <c r="QUS557" s="178"/>
      <c r="QUT557" s="178"/>
      <c r="QUU557" s="178"/>
      <c r="QUV557" s="178"/>
      <c r="QUW557" s="178"/>
      <c r="QUX557" s="178"/>
      <c r="QUY557" s="178"/>
      <c r="QUZ557" s="178"/>
      <c r="QVA557" s="178"/>
      <c r="QVB557" s="178"/>
      <c r="QVC557" s="178"/>
      <c r="QVD557" s="178"/>
      <c r="QVE557" s="178"/>
      <c r="QVF557" s="178"/>
      <c r="QVG557" s="178"/>
      <c r="QVH557" s="178"/>
      <c r="QVI557" s="178"/>
      <c r="QVJ557" s="178"/>
      <c r="QVK557" s="178"/>
      <c r="QVL557" s="178"/>
      <c r="QVM557" s="178"/>
      <c r="QVN557" s="178"/>
      <c r="QVO557" s="178"/>
      <c r="QVP557" s="178"/>
      <c r="QVQ557" s="178"/>
      <c r="QVR557" s="178"/>
      <c r="QVS557" s="178"/>
      <c r="QVT557" s="178"/>
      <c r="QVU557" s="178"/>
      <c r="QVV557" s="178"/>
      <c r="QVW557" s="178"/>
      <c r="QVX557" s="178"/>
      <c r="QVY557" s="178"/>
      <c r="QVZ557" s="178"/>
      <c r="QWA557" s="178"/>
      <c r="QWB557" s="178"/>
      <c r="QWC557" s="178"/>
      <c r="QWD557" s="178"/>
      <c r="QWE557" s="178"/>
      <c r="QWF557" s="178"/>
      <c r="QWG557" s="178"/>
      <c r="QWH557" s="178"/>
      <c r="QWI557" s="178"/>
      <c r="QWJ557" s="178"/>
      <c r="QWK557" s="178"/>
      <c r="QWL557" s="178"/>
      <c r="QWM557" s="178"/>
      <c r="QWN557" s="178"/>
      <c r="QWO557" s="178"/>
      <c r="QWP557" s="178"/>
      <c r="QWQ557" s="178"/>
      <c r="QWR557" s="178"/>
      <c r="QWS557" s="178"/>
      <c r="QWT557" s="178"/>
      <c r="QWU557" s="178"/>
      <c r="QWV557" s="178"/>
      <c r="QWW557" s="178"/>
      <c r="QWX557" s="178"/>
      <c r="QWY557" s="178"/>
      <c r="QWZ557" s="178"/>
      <c r="QXA557" s="178"/>
      <c r="QXB557" s="178"/>
      <c r="QXC557" s="178"/>
      <c r="QXD557" s="178"/>
      <c r="QXE557" s="178"/>
      <c r="QXF557" s="178"/>
      <c r="QXG557" s="178"/>
      <c r="QXH557" s="178"/>
      <c r="QXI557" s="178"/>
      <c r="QXJ557" s="178"/>
      <c r="QXK557" s="178"/>
      <c r="QXL557" s="178"/>
      <c r="QXM557" s="178"/>
      <c r="QXN557" s="178"/>
      <c r="QXO557" s="178"/>
      <c r="QXP557" s="178"/>
      <c r="QXQ557" s="178"/>
      <c r="QXR557" s="178"/>
      <c r="QXS557" s="178"/>
      <c r="QXT557" s="178"/>
      <c r="QXU557" s="178"/>
      <c r="QXV557" s="178"/>
      <c r="QXW557" s="178"/>
      <c r="QXX557" s="178"/>
      <c r="QXY557" s="178"/>
      <c r="QXZ557" s="178"/>
      <c r="QYA557" s="178"/>
      <c r="QYB557" s="178"/>
      <c r="QYC557" s="178"/>
      <c r="QYD557" s="178"/>
      <c r="QYE557" s="178"/>
      <c r="QYF557" s="178"/>
      <c r="QYG557" s="178"/>
      <c r="QYH557" s="178"/>
      <c r="QYI557" s="178"/>
      <c r="QYJ557" s="178"/>
      <c r="QYK557" s="178"/>
      <c r="QYL557" s="178"/>
      <c r="QYM557" s="178"/>
      <c r="QYN557" s="178"/>
      <c r="QYO557" s="178"/>
      <c r="QYP557" s="178"/>
      <c r="QYQ557" s="178"/>
      <c r="QYR557" s="178"/>
      <c r="QYS557" s="178"/>
      <c r="QYT557" s="178"/>
      <c r="QYU557" s="178"/>
      <c r="QYV557" s="178"/>
      <c r="QYW557" s="178"/>
      <c r="QYX557" s="178"/>
      <c r="QYY557" s="178"/>
      <c r="QYZ557" s="178"/>
      <c r="QZA557" s="178"/>
      <c r="QZB557" s="178"/>
      <c r="QZC557" s="178"/>
      <c r="QZD557" s="178"/>
      <c r="QZE557" s="178"/>
      <c r="QZF557" s="178"/>
      <c r="QZG557" s="178"/>
      <c r="QZH557" s="178"/>
      <c r="QZI557" s="178"/>
      <c r="QZJ557" s="178"/>
      <c r="QZK557" s="178"/>
      <c r="QZL557" s="178"/>
      <c r="QZM557" s="178"/>
      <c r="QZN557" s="178"/>
      <c r="QZO557" s="178"/>
      <c r="QZP557" s="178"/>
      <c r="QZQ557" s="178"/>
      <c r="QZR557" s="178"/>
      <c r="QZS557" s="178"/>
      <c r="QZT557" s="178"/>
      <c r="QZU557" s="178"/>
      <c r="QZV557" s="178"/>
      <c r="QZW557" s="178"/>
      <c r="QZX557" s="178"/>
      <c r="QZY557" s="178"/>
      <c r="QZZ557" s="178"/>
      <c r="RAA557" s="178"/>
      <c r="RAB557" s="178"/>
      <c r="RAC557" s="178"/>
      <c r="RAD557" s="178"/>
      <c r="RAE557" s="178"/>
      <c r="RAF557" s="178"/>
      <c r="RAG557" s="178"/>
      <c r="RAH557" s="178"/>
      <c r="RAI557" s="178"/>
      <c r="RAJ557" s="178"/>
      <c r="RAK557" s="178"/>
      <c r="RAL557" s="178"/>
      <c r="RAM557" s="178"/>
      <c r="RAN557" s="178"/>
      <c r="RAO557" s="178"/>
      <c r="RAP557" s="178"/>
      <c r="RAQ557" s="178"/>
      <c r="RAR557" s="178"/>
      <c r="RAS557" s="178"/>
      <c r="RAT557" s="178"/>
      <c r="RAU557" s="178"/>
      <c r="RAV557" s="178"/>
      <c r="RAW557" s="178"/>
      <c r="RAX557" s="178"/>
      <c r="RAY557" s="178"/>
      <c r="RAZ557" s="178"/>
      <c r="RBA557" s="178"/>
      <c r="RBB557" s="178"/>
      <c r="RBC557" s="178"/>
      <c r="RBD557" s="178"/>
      <c r="RBE557" s="178"/>
      <c r="RBF557" s="178"/>
      <c r="RBG557" s="178"/>
      <c r="RBH557" s="178"/>
      <c r="RBI557" s="178"/>
      <c r="RBJ557" s="178"/>
      <c r="RBK557" s="178"/>
      <c r="RBL557" s="178"/>
      <c r="RBM557" s="178"/>
      <c r="RBN557" s="178"/>
      <c r="RBO557" s="178"/>
      <c r="RBP557" s="178"/>
      <c r="RBQ557" s="178"/>
      <c r="RBR557" s="178"/>
      <c r="RBS557" s="178"/>
      <c r="RBT557" s="178"/>
      <c r="RBU557" s="178"/>
      <c r="RBV557" s="178"/>
      <c r="RBW557" s="178"/>
      <c r="RBX557" s="178"/>
      <c r="RBY557" s="178"/>
      <c r="RBZ557" s="178"/>
      <c r="RCA557" s="178"/>
      <c r="RCB557" s="178"/>
      <c r="RCC557" s="178"/>
      <c r="RCD557" s="178"/>
      <c r="RCE557" s="178"/>
      <c r="RCF557" s="178"/>
      <c r="RCG557" s="178"/>
      <c r="RCH557" s="178"/>
      <c r="RCI557" s="178"/>
      <c r="RCJ557" s="178"/>
      <c r="RCK557" s="178"/>
      <c r="RCL557" s="178"/>
      <c r="RCM557" s="178"/>
      <c r="RCN557" s="178"/>
      <c r="RCO557" s="178"/>
      <c r="RCP557" s="178"/>
      <c r="RCQ557" s="178"/>
      <c r="RCR557" s="178"/>
      <c r="RCS557" s="178"/>
      <c r="RCT557" s="178"/>
      <c r="RCU557" s="178"/>
      <c r="RCV557" s="178"/>
      <c r="RCW557" s="178"/>
      <c r="RCX557" s="178"/>
      <c r="RCY557" s="178"/>
      <c r="RCZ557" s="178"/>
      <c r="RDA557" s="178"/>
      <c r="RDB557" s="178"/>
      <c r="RDC557" s="178"/>
      <c r="RDD557" s="178"/>
      <c r="RDE557" s="178"/>
      <c r="RDF557" s="178"/>
      <c r="RDG557" s="178"/>
      <c r="RDH557" s="178"/>
      <c r="RDI557" s="178"/>
      <c r="RDJ557" s="178"/>
      <c r="RDK557" s="178"/>
      <c r="RDL557" s="178"/>
      <c r="RDM557" s="178"/>
      <c r="RDN557" s="178"/>
      <c r="RDO557" s="178"/>
      <c r="RDP557" s="178"/>
      <c r="RDQ557" s="178"/>
      <c r="RDR557" s="178"/>
      <c r="RDS557" s="178"/>
      <c r="RDT557" s="178"/>
      <c r="RDU557" s="178"/>
      <c r="RDV557" s="178"/>
      <c r="RDW557" s="178"/>
      <c r="RDX557" s="178"/>
      <c r="RDY557" s="178"/>
      <c r="RDZ557" s="178"/>
      <c r="REA557" s="178"/>
      <c r="REB557" s="178"/>
      <c r="REC557" s="178"/>
      <c r="RED557" s="178"/>
      <c r="REE557" s="178"/>
      <c r="REF557" s="178"/>
      <c r="REG557" s="178"/>
      <c r="REH557" s="178"/>
      <c r="REI557" s="178"/>
      <c r="REJ557" s="178"/>
      <c r="REK557" s="178"/>
      <c r="REL557" s="178"/>
      <c r="REM557" s="178"/>
      <c r="REN557" s="178"/>
      <c r="REO557" s="178"/>
      <c r="REP557" s="178"/>
      <c r="REQ557" s="178"/>
      <c r="RER557" s="178"/>
      <c r="RES557" s="178"/>
      <c r="RET557" s="178"/>
      <c r="REU557" s="178"/>
      <c r="REV557" s="178"/>
      <c r="REW557" s="178"/>
      <c r="REX557" s="178"/>
      <c r="REY557" s="178"/>
      <c r="REZ557" s="178"/>
      <c r="RFA557" s="178"/>
      <c r="RFB557" s="178"/>
      <c r="RFC557" s="178"/>
      <c r="RFD557" s="178"/>
      <c r="RFE557" s="178"/>
      <c r="RFF557" s="178"/>
      <c r="RFG557" s="178"/>
      <c r="RFH557" s="178"/>
      <c r="RFI557" s="178"/>
      <c r="RFJ557" s="178"/>
      <c r="RFK557" s="178"/>
      <c r="RFL557" s="178"/>
      <c r="RFM557" s="178"/>
      <c r="RFN557" s="178"/>
      <c r="RFO557" s="178"/>
      <c r="RFP557" s="178"/>
      <c r="RFQ557" s="178"/>
      <c r="RFR557" s="178"/>
      <c r="RFS557" s="178"/>
      <c r="RFT557" s="178"/>
      <c r="RFU557" s="178"/>
      <c r="RFV557" s="178"/>
      <c r="RFW557" s="178"/>
      <c r="RFX557" s="178"/>
      <c r="RFY557" s="178"/>
      <c r="RFZ557" s="178"/>
      <c r="RGA557" s="178"/>
      <c r="RGB557" s="178"/>
      <c r="RGC557" s="178"/>
      <c r="RGD557" s="178"/>
      <c r="RGE557" s="178"/>
      <c r="RGF557" s="178"/>
      <c r="RGG557" s="178"/>
      <c r="RGH557" s="178"/>
      <c r="RGI557" s="178"/>
      <c r="RGJ557" s="178"/>
      <c r="RGK557" s="178"/>
      <c r="RGL557" s="178"/>
      <c r="RGM557" s="178"/>
      <c r="RGN557" s="178"/>
      <c r="RGO557" s="178"/>
      <c r="RGP557" s="178"/>
      <c r="RGQ557" s="178"/>
      <c r="RGR557" s="178"/>
      <c r="RGS557" s="178"/>
      <c r="RGT557" s="178"/>
      <c r="RGU557" s="178"/>
      <c r="RGV557" s="178"/>
      <c r="RGW557" s="178"/>
      <c r="RGX557" s="178"/>
      <c r="RGY557" s="178"/>
      <c r="RGZ557" s="178"/>
      <c r="RHA557" s="178"/>
      <c r="RHB557" s="178"/>
      <c r="RHC557" s="178"/>
      <c r="RHD557" s="178"/>
      <c r="RHE557" s="178"/>
      <c r="RHF557" s="178"/>
      <c r="RHG557" s="178"/>
      <c r="RHH557" s="178"/>
      <c r="RHI557" s="178"/>
      <c r="RHJ557" s="178"/>
      <c r="RHK557" s="178"/>
      <c r="RHL557" s="178"/>
      <c r="RHM557" s="178"/>
      <c r="RHN557" s="178"/>
      <c r="RHO557" s="178"/>
      <c r="RHP557" s="178"/>
      <c r="RHQ557" s="178"/>
      <c r="RHR557" s="178"/>
      <c r="RHS557" s="178"/>
      <c r="RHT557" s="178"/>
      <c r="RHU557" s="178"/>
      <c r="RHV557" s="178"/>
      <c r="RHW557" s="178"/>
      <c r="RHX557" s="178"/>
      <c r="RHY557" s="178"/>
      <c r="RHZ557" s="178"/>
      <c r="RIA557" s="178"/>
      <c r="RIB557" s="178"/>
      <c r="RIC557" s="178"/>
      <c r="RID557" s="178"/>
      <c r="RIE557" s="178"/>
      <c r="RIF557" s="178"/>
      <c r="RIG557" s="178"/>
      <c r="RIH557" s="178"/>
      <c r="RII557" s="178"/>
      <c r="RIJ557" s="178"/>
      <c r="RIK557" s="178"/>
      <c r="RIL557" s="178"/>
      <c r="RIM557" s="178"/>
      <c r="RIN557" s="178"/>
      <c r="RIO557" s="178"/>
      <c r="RIP557" s="178"/>
      <c r="RIQ557" s="178"/>
      <c r="RIR557" s="178"/>
      <c r="RIS557" s="178"/>
      <c r="RIT557" s="178"/>
      <c r="RIU557" s="178"/>
      <c r="RIV557" s="178"/>
      <c r="RIW557" s="178"/>
      <c r="RIX557" s="178"/>
      <c r="RIY557" s="178"/>
      <c r="RIZ557" s="178"/>
      <c r="RJA557" s="178"/>
      <c r="RJB557" s="178"/>
      <c r="RJC557" s="178"/>
      <c r="RJD557" s="178"/>
      <c r="RJE557" s="178"/>
      <c r="RJF557" s="178"/>
      <c r="RJG557" s="178"/>
      <c r="RJH557" s="178"/>
      <c r="RJI557" s="178"/>
      <c r="RJJ557" s="178"/>
      <c r="RJK557" s="178"/>
      <c r="RJL557" s="178"/>
      <c r="RJM557" s="178"/>
      <c r="RJN557" s="178"/>
      <c r="RJO557" s="178"/>
      <c r="RJP557" s="178"/>
      <c r="RJQ557" s="178"/>
      <c r="RJR557" s="178"/>
      <c r="RJS557" s="178"/>
      <c r="RJT557" s="178"/>
      <c r="RJU557" s="178"/>
      <c r="RJV557" s="178"/>
      <c r="RJW557" s="178"/>
      <c r="RJX557" s="178"/>
      <c r="RJY557" s="178"/>
      <c r="RJZ557" s="178"/>
      <c r="RKA557" s="178"/>
      <c r="RKB557" s="178"/>
      <c r="RKC557" s="178"/>
      <c r="RKD557" s="178"/>
      <c r="RKE557" s="178"/>
      <c r="RKF557" s="178"/>
      <c r="RKG557" s="178"/>
      <c r="RKH557" s="178"/>
      <c r="RKI557" s="178"/>
      <c r="RKJ557" s="178"/>
      <c r="RKK557" s="178"/>
      <c r="RKL557" s="178"/>
      <c r="RKM557" s="178"/>
      <c r="RKN557" s="178"/>
      <c r="RKO557" s="178"/>
      <c r="RKP557" s="178"/>
      <c r="RKQ557" s="178"/>
      <c r="RKR557" s="178"/>
      <c r="RKS557" s="178"/>
      <c r="RKT557" s="178"/>
      <c r="RKU557" s="178"/>
      <c r="RKV557" s="178"/>
      <c r="RKW557" s="178"/>
      <c r="RKX557" s="178"/>
      <c r="RKY557" s="178"/>
      <c r="RKZ557" s="178"/>
      <c r="RLA557" s="178"/>
      <c r="RLB557" s="178"/>
      <c r="RLC557" s="178"/>
      <c r="RLD557" s="178"/>
      <c r="RLE557" s="178"/>
      <c r="RLF557" s="178"/>
      <c r="RLG557" s="178"/>
      <c r="RLH557" s="178"/>
      <c r="RLI557" s="178"/>
      <c r="RLJ557" s="178"/>
      <c r="RLK557" s="178"/>
      <c r="RLL557" s="178"/>
      <c r="RLM557" s="178"/>
      <c r="RLN557" s="178"/>
      <c r="RLO557" s="178"/>
      <c r="RLP557" s="178"/>
      <c r="RLQ557" s="178"/>
      <c r="RLR557" s="178"/>
      <c r="RLS557" s="178"/>
      <c r="RLT557" s="178"/>
      <c r="RLU557" s="178"/>
      <c r="RLV557" s="178"/>
      <c r="RLW557" s="178"/>
      <c r="RLX557" s="178"/>
      <c r="RLY557" s="178"/>
      <c r="RLZ557" s="178"/>
      <c r="RMA557" s="178"/>
      <c r="RMB557" s="178"/>
      <c r="RMC557" s="178"/>
      <c r="RMD557" s="178"/>
      <c r="RME557" s="178"/>
      <c r="RMF557" s="178"/>
      <c r="RMG557" s="178"/>
      <c r="RMH557" s="178"/>
      <c r="RMI557" s="178"/>
      <c r="RMJ557" s="178"/>
      <c r="RMK557" s="178"/>
      <c r="RML557" s="178"/>
      <c r="RMM557" s="178"/>
      <c r="RMN557" s="178"/>
      <c r="RMO557" s="178"/>
      <c r="RMP557" s="178"/>
      <c r="RMQ557" s="178"/>
      <c r="RMR557" s="178"/>
      <c r="RMS557" s="178"/>
      <c r="RMT557" s="178"/>
      <c r="RMU557" s="178"/>
      <c r="RMV557" s="178"/>
      <c r="RMW557" s="178"/>
      <c r="RMX557" s="178"/>
      <c r="RMY557" s="178"/>
      <c r="RMZ557" s="178"/>
      <c r="RNA557" s="178"/>
      <c r="RNB557" s="178"/>
      <c r="RNC557" s="178"/>
      <c r="RND557" s="178"/>
      <c r="RNE557" s="178"/>
      <c r="RNF557" s="178"/>
      <c r="RNG557" s="178"/>
      <c r="RNH557" s="178"/>
      <c r="RNI557" s="178"/>
      <c r="RNJ557" s="178"/>
      <c r="RNK557" s="178"/>
      <c r="RNL557" s="178"/>
      <c r="RNM557" s="178"/>
      <c r="RNN557" s="178"/>
      <c r="RNO557" s="178"/>
      <c r="RNP557" s="178"/>
      <c r="RNQ557" s="178"/>
      <c r="RNR557" s="178"/>
      <c r="RNS557" s="178"/>
      <c r="RNT557" s="178"/>
      <c r="RNU557" s="178"/>
      <c r="RNV557" s="178"/>
      <c r="RNW557" s="178"/>
      <c r="RNX557" s="178"/>
      <c r="RNY557" s="178"/>
      <c r="RNZ557" s="178"/>
      <c r="ROA557" s="178"/>
      <c r="ROB557" s="178"/>
      <c r="ROC557" s="178"/>
      <c r="ROD557" s="178"/>
      <c r="ROE557" s="178"/>
      <c r="ROF557" s="178"/>
      <c r="ROG557" s="178"/>
      <c r="ROH557" s="178"/>
      <c r="ROI557" s="178"/>
      <c r="ROJ557" s="178"/>
      <c r="ROK557" s="178"/>
      <c r="ROL557" s="178"/>
      <c r="ROM557" s="178"/>
      <c r="RON557" s="178"/>
      <c r="ROO557" s="178"/>
      <c r="ROP557" s="178"/>
      <c r="ROQ557" s="178"/>
      <c r="ROR557" s="178"/>
      <c r="ROS557" s="178"/>
      <c r="ROT557" s="178"/>
      <c r="ROU557" s="178"/>
      <c r="ROV557" s="178"/>
      <c r="ROW557" s="178"/>
      <c r="ROX557" s="178"/>
      <c r="ROY557" s="178"/>
      <c r="ROZ557" s="178"/>
      <c r="RPA557" s="178"/>
      <c r="RPB557" s="178"/>
      <c r="RPC557" s="178"/>
      <c r="RPD557" s="178"/>
      <c r="RPE557" s="178"/>
      <c r="RPF557" s="178"/>
      <c r="RPG557" s="178"/>
      <c r="RPH557" s="178"/>
      <c r="RPI557" s="178"/>
      <c r="RPJ557" s="178"/>
      <c r="RPK557" s="178"/>
      <c r="RPL557" s="178"/>
      <c r="RPM557" s="178"/>
      <c r="RPN557" s="178"/>
      <c r="RPO557" s="178"/>
      <c r="RPP557" s="178"/>
      <c r="RPQ557" s="178"/>
      <c r="RPR557" s="178"/>
      <c r="RPS557" s="178"/>
      <c r="RPT557" s="178"/>
      <c r="RPU557" s="178"/>
      <c r="RPV557" s="178"/>
      <c r="RPW557" s="178"/>
      <c r="RPX557" s="178"/>
      <c r="RPY557" s="178"/>
      <c r="RPZ557" s="178"/>
      <c r="RQA557" s="178"/>
      <c r="RQB557" s="178"/>
      <c r="RQC557" s="178"/>
      <c r="RQD557" s="178"/>
      <c r="RQE557" s="178"/>
      <c r="RQF557" s="178"/>
      <c r="RQG557" s="178"/>
      <c r="RQH557" s="178"/>
      <c r="RQI557" s="178"/>
      <c r="RQJ557" s="178"/>
      <c r="RQK557" s="178"/>
      <c r="RQL557" s="178"/>
      <c r="RQM557" s="178"/>
      <c r="RQN557" s="178"/>
      <c r="RQO557" s="178"/>
      <c r="RQP557" s="178"/>
      <c r="RQQ557" s="178"/>
      <c r="RQR557" s="178"/>
      <c r="RQS557" s="178"/>
      <c r="RQT557" s="178"/>
      <c r="RQU557" s="178"/>
      <c r="RQV557" s="178"/>
      <c r="RQW557" s="178"/>
      <c r="RQX557" s="178"/>
      <c r="RQY557" s="178"/>
      <c r="RQZ557" s="178"/>
      <c r="RRA557" s="178"/>
      <c r="RRB557" s="178"/>
      <c r="RRC557" s="178"/>
      <c r="RRD557" s="178"/>
      <c r="RRE557" s="178"/>
      <c r="RRF557" s="178"/>
      <c r="RRG557" s="178"/>
      <c r="RRH557" s="178"/>
      <c r="RRI557" s="178"/>
      <c r="RRJ557" s="178"/>
      <c r="RRK557" s="178"/>
      <c r="RRL557" s="178"/>
      <c r="RRM557" s="178"/>
      <c r="RRN557" s="178"/>
      <c r="RRO557" s="178"/>
      <c r="RRP557" s="178"/>
      <c r="RRQ557" s="178"/>
      <c r="RRR557" s="178"/>
      <c r="RRS557" s="178"/>
      <c r="RRT557" s="178"/>
      <c r="RRU557" s="178"/>
      <c r="RRV557" s="178"/>
      <c r="RRW557" s="178"/>
      <c r="RRX557" s="178"/>
      <c r="RRY557" s="178"/>
      <c r="RRZ557" s="178"/>
      <c r="RSA557" s="178"/>
      <c r="RSB557" s="178"/>
      <c r="RSC557" s="178"/>
      <c r="RSD557" s="178"/>
      <c r="RSE557" s="178"/>
      <c r="RSF557" s="178"/>
      <c r="RSG557" s="178"/>
      <c r="RSH557" s="178"/>
      <c r="RSI557" s="178"/>
      <c r="RSJ557" s="178"/>
      <c r="RSK557" s="178"/>
      <c r="RSL557" s="178"/>
      <c r="RSM557" s="178"/>
      <c r="RSN557" s="178"/>
      <c r="RSO557" s="178"/>
      <c r="RSP557" s="178"/>
      <c r="RSQ557" s="178"/>
      <c r="RSR557" s="178"/>
      <c r="RSS557" s="178"/>
      <c r="RST557" s="178"/>
      <c r="RSU557" s="178"/>
      <c r="RSV557" s="178"/>
      <c r="RSW557" s="178"/>
      <c r="RSX557" s="178"/>
      <c r="RSY557" s="178"/>
      <c r="RSZ557" s="178"/>
      <c r="RTA557" s="178"/>
      <c r="RTB557" s="178"/>
      <c r="RTC557" s="178"/>
      <c r="RTD557" s="178"/>
      <c r="RTE557" s="178"/>
      <c r="RTF557" s="178"/>
      <c r="RTG557" s="178"/>
      <c r="RTH557" s="178"/>
      <c r="RTI557" s="178"/>
      <c r="RTJ557" s="178"/>
      <c r="RTK557" s="178"/>
      <c r="RTL557" s="178"/>
      <c r="RTM557" s="178"/>
      <c r="RTN557" s="178"/>
      <c r="RTO557" s="178"/>
      <c r="RTP557" s="178"/>
      <c r="RTQ557" s="178"/>
      <c r="RTR557" s="178"/>
      <c r="RTS557" s="178"/>
      <c r="RTT557" s="178"/>
      <c r="RTU557" s="178"/>
      <c r="RTV557" s="178"/>
      <c r="RTW557" s="178"/>
      <c r="RTX557" s="178"/>
      <c r="RTY557" s="178"/>
      <c r="RTZ557" s="178"/>
      <c r="RUA557" s="178"/>
      <c r="RUB557" s="178"/>
      <c r="RUC557" s="178"/>
      <c r="RUD557" s="178"/>
      <c r="RUE557" s="178"/>
      <c r="RUF557" s="178"/>
      <c r="RUG557" s="178"/>
      <c r="RUH557" s="178"/>
      <c r="RUI557" s="178"/>
      <c r="RUJ557" s="178"/>
      <c r="RUK557" s="178"/>
      <c r="RUL557" s="178"/>
      <c r="RUM557" s="178"/>
      <c r="RUN557" s="178"/>
      <c r="RUO557" s="178"/>
      <c r="RUP557" s="178"/>
      <c r="RUQ557" s="178"/>
      <c r="RUR557" s="178"/>
      <c r="RUS557" s="178"/>
      <c r="RUT557" s="178"/>
      <c r="RUU557" s="178"/>
      <c r="RUV557" s="178"/>
      <c r="RUW557" s="178"/>
      <c r="RUX557" s="178"/>
      <c r="RUY557" s="178"/>
      <c r="RUZ557" s="178"/>
      <c r="RVA557" s="178"/>
      <c r="RVB557" s="178"/>
      <c r="RVC557" s="178"/>
      <c r="RVD557" s="178"/>
      <c r="RVE557" s="178"/>
      <c r="RVF557" s="178"/>
      <c r="RVG557" s="178"/>
      <c r="RVH557" s="178"/>
      <c r="RVI557" s="178"/>
      <c r="RVJ557" s="178"/>
      <c r="RVK557" s="178"/>
      <c r="RVL557" s="178"/>
      <c r="RVM557" s="178"/>
      <c r="RVN557" s="178"/>
      <c r="RVO557" s="178"/>
      <c r="RVP557" s="178"/>
      <c r="RVQ557" s="178"/>
      <c r="RVR557" s="178"/>
      <c r="RVS557" s="178"/>
      <c r="RVT557" s="178"/>
      <c r="RVU557" s="178"/>
      <c r="RVV557" s="178"/>
      <c r="RVW557" s="178"/>
      <c r="RVX557" s="178"/>
      <c r="RVY557" s="178"/>
      <c r="RVZ557" s="178"/>
      <c r="RWA557" s="178"/>
      <c r="RWB557" s="178"/>
      <c r="RWC557" s="178"/>
      <c r="RWD557" s="178"/>
      <c r="RWE557" s="178"/>
      <c r="RWF557" s="178"/>
      <c r="RWG557" s="178"/>
      <c r="RWH557" s="178"/>
      <c r="RWI557" s="178"/>
      <c r="RWJ557" s="178"/>
      <c r="RWK557" s="178"/>
      <c r="RWL557" s="178"/>
      <c r="RWM557" s="178"/>
      <c r="RWN557" s="178"/>
      <c r="RWO557" s="178"/>
      <c r="RWP557" s="178"/>
      <c r="RWQ557" s="178"/>
      <c r="RWR557" s="178"/>
      <c r="RWS557" s="178"/>
      <c r="RWT557" s="178"/>
      <c r="RWU557" s="178"/>
      <c r="RWV557" s="178"/>
      <c r="RWW557" s="178"/>
      <c r="RWX557" s="178"/>
      <c r="RWY557" s="178"/>
      <c r="RWZ557" s="178"/>
      <c r="RXA557" s="178"/>
      <c r="RXB557" s="178"/>
      <c r="RXC557" s="178"/>
      <c r="RXD557" s="178"/>
      <c r="RXE557" s="178"/>
      <c r="RXF557" s="178"/>
      <c r="RXG557" s="178"/>
      <c r="RXH557" s="178"/>
      <c r="RXI557" s="178"/>
      <c r="RXJ557" s="178"/>
      <c r="RXK557" s="178"/>
      <c r="RXL557" s="178"/>
      <c r="RXM557" s="178"/>
      <c r="RXN557" s="178"/>
      <c r="RXO557" s="178"/>
      <c r="RXP557" s="178"/>
      <c r="RXQ557" s="178"/>
      <c r="RXR557" s="178"/>
      <c r="RXS557" s="178"/>
      <c r="RXT557" s="178"/>
      <c r="RXU557" s="178"/>
      <c r="RXV557" s="178"/>
      <c r="RXW557" s="178"/>
      <c r="RXX557" s="178"/>
      <c r="RXY557" s="178"/>
      <c r="RXZ557" s="178"/>
      <c r="RYA557" s="178"/>
      <c r="RYB557" s="178"/>
      <c r="RYC557" s="178"/>
      <c r="RYD557" s="178"/>
      <c r="RYE557" s="178"/>
      <c r="RYF557" s="178"/>
      <c r="RYG557" s="178"/>
      <c r="RYH557" s="178"/>
      <c r="RYI557" s="178"/>
      <c r="RYJ557" s="178"/>
      <c r="RYK557" s="178"/>
      <c r="RYL557" s="178"/>
      <c r="RYM557" s="178"/>
      <c r="RYN557" s="178"/>
      <c r="RYO557" s="178"/>
      <c r="RYP557" s="178"/>
      <c r="RYQ557" s="178"/>
      <c r="RYR557" s="178"/>
      <c r="RYS557" s="178"/>
      <c r="RYT557" s="178"/>
      <c r="RYU557" s="178"/>
      <c r="RYV557" s="178"/>
      <c r="RYW557" s="178"/>
      <c r="RYX557" s="178"/>
      <c r="RYY557" s="178"/>
      <c r="RYZ557" s="178"/>
      <c r="RZA557" s="178"/>
      <c r="RZB557" s="178"/>
      <c r="RZC557" s="178"/>
      <c r="RZD557" s="178"/>
      <c r="RZE557" s="178"/>
      <c r="RZF557" s="178"/>
      <c r="RZG557" s="178"/>
      <c r="RZH557" s="178"/>
      <c r="RZI557" s="178"/>
      <c r="RZJ557" s="178"/>
      <c r="RZK557" s="178"/>
      <c r="RZL557" s="178"/>
      <c r="RZM557" s="178"/>
      <c r="RZN557" s="178"/>
      <c r="RZO557" s="178"/>
      <c r="RZP557" s="178"/>
      <c r="RZQ557" s="178"/>
      <c r="RZR557" s="178"/>
      <c r="RZS557" s="178"/>
      <c r="RZT557" s="178"/>
      <c r="RZU557" s="178"/>
      <c r="RZV557" s="178"/>
      <c r="RZW557" s="178"/>
      <c r="RZX557" s="178"/>
      <c r="RZY557" s="178"/>
      <c r="RZZ557" s="178"/>
      <c r="SAA557" s="178"/>
      <c r="SAB557" s="178"/>
      <c r="SAC557" s="178"/>
      <c r="SAD557" s="178"/>
      <c r="SAE557" s="178"/>
      <c r="SAF557" s="178"/>
      <c r="SAG557" s="178"/>
      <c r="SAH557" s="178"/>
      <c r="SAI557" s="178"/>
      <c r="SAJ557" s="178"/>
      <c r="SAK557" s="178"/>
      <c r="SAL557" s="178"/>
      <c r="SAM557" s="178"/>
      <c r="SAN557" s="178"/>
      <c r="SAO557" s="178"/>
      <c r="SAP557" s="178"/>
      <c r="SAQ557" s="178"/>
      <c r="SAR557" s="178"/>
      <c r="SAS557" s="178"/>
      <c r="SAT557" s="178"/>
      <c r="SAU557" s="178"/>
      <c r="SAV557" s="178"/>
      <c r="SAW557" s="178"/>
      <c r="SAX557" s="178"/>
      <c r="SAY557" s="178"/>
      <c r="SAZ557" s="178"/>
      <c r="SBA557" s="178"/>
      <c r="SBB557" s="178"/>
      <c r="SBC557" s="178"/>
      <c r="SBD557" s="178"/>
      <c r="SBE557" s="178"/>
      <c r="SBF557" s="178"/>
      <c r="SBG557" s="178"/>
      <c r="SBH557" s="178"/>
      <c r="SBI557" s="178"/>
      <c r="SBJ557" s="178"/>
      <c r="SBK557" s="178"/>
      <c r="SBL557" s="178"/>
      <c r="SBM557" s="178"/>
      <c r="SBN557" s="178"/>
      <c r="SBO557" s="178"/>
      <c r="SBP557" s="178"/>
      <c r="SBQ557" s="178"/>
      <c r="SBR557" s="178"/>
      <c r="SBS557" s="178"/>
      <c r="SBT557" s="178"/>
      <c r="SBU557" s="178"/>
      <c r="SBV557" s="178"/>
      <c r="SBW557" s="178"/>
      <c r="SBX557" s="178"/>
      <c r="SBY557" s="178"/>
      <c r="SBZ557" s="178"/>
      <c r="SCA557" s="178"/>
      <c r="SCB557" s="178"/>
      <c r="SCC557" s="178"/>
      <c r="SCD557" s="178"/>
      <c r="SCE557" s="178"/>
      <c r="SCF557" s="178"/>
      <c r="SCG557" s="178"/>
      <c r="SCH557" s="178"/>
      <c r="SCI557" s="178"/>
      <c r="SCJ557" s="178"/>
      <c r="SCK557" s="178"/>
      <c r="SCL557" s="178"/>
      <c r="SCM557" s="178"/>
      <c r="SCN557" s="178"/>
      <c r="SCO557" s="178"/>
      <c r="SCP557" s="178"/>
      <c r="SCQ557" s="178"/>
      <c r="SCR557" s="178"/>
      <c r="SCS557" s="178"/>
      <c r="SCT557" s="178"/>
      <c r="SCU557" s="178"/>
      <c r="SCV557" s="178"/>
      <c r="SCW557" s="178"/>
      <c r="SCX557" s="178"/>
      <c r="SCY557" s="178"/>
      <c r="SCZ557" s="178"/>
      <c r="SDA557" s="178"/>
      <c r="SDB557" s="178"/>
      <c r="SDC557" s="178"/>
      <c r="SDD557" s="178"/>
      <c r="SDE557" s="178"/>
      <c r="SDF557" s="178"/>
      <c r="SDG557" s="178"/>
      <c r="SDH557" s="178"/>
      <c r="SDI557" s="178"/>
      <c r="SDJ557" s="178"/>
      <c r="SDK557" s="178"/>
      <c r="SDL557" s="178"/>
      <c r="SDM557" s="178"/>
      <c r="SDN557" s="178"/>
      <c r="SDO557" s="178"/>
      <c r="SDP557" s="178"/>
      <c r="SDQ557" s="178"/>
      <c r="SDR557" s="178"/>
      <c r="SDS557" s="178"/>
      <c r="SDT557" s="178"/>
      <c r="SDU557" s="178"/>
      <c r="SDV557" s="178"/>
      <c r="SDW557" s="178"/>
      <c r="SDX557" s="178"/>
      <c r="SDY557" s="178"/>
      <c r="SDZ557" s="178"/>
      <c r="SEA557" s="178"/>
      <c r="SEB557" s="178"/>
      <c r="SEC557" s="178"/>
      <c r="SED557" s="178"/>
      <c r="SEE557" s="178"/>
      <c r="SEF557" s="178"/>
      <c r="SEG557" s="178"/>
      <c r="SEH557" s="178"/>
      <c r="SEI557" s="178"/>
      <c r="SEJ557" s="178"/>
      <c r="SEK557" s="178"/>
      <c r="SEL557" s="178"/>
      <c r="SEM557" s="178"/>
      <c r="SEN557" s="178"/>
      <c r="SEO557" s="178"/>
      <c r="SEP557" s="178"/>
      <c r="SEQ557" s="178"/>
      <c r="SER557" s="178"/>
      <c r="SES557" s="178"/>
      <c r="SET557" s="178"/>
      <c r="SEU557" s="178"/>
      <c r="SEV557" s="178"/>
      <c r="SEW557" s="178"/>
      <c r="SEX557" s="178"/>
      <c r="SEY557" s="178"/>
      <c r="SEZ557" s="178"/>
      <c r="SFA557" s="178"/>
      <c r="SFB557" s="178"/>
      <c r="SFC557" s="178"/>
      <c r="SFD557" s="178"/>
      <c r="SFE557" s="178"/>
      <c r="SFF557" s="178"/>
      <c r="SFG557" s="178"/>
      <c r="SFH557" s="178"/>
      <c r="SFI557" s="178"/>
      <c r="SFJ557" s="178"/>
      <c r="SFK557" s="178"/>
      <c r="SFL557" s="178"/>
      <c r="SFM557" s="178"/>
      <c r="SFN557" s="178"/>
      <c r="SFO557" s="178"/>
      <c r="SFP557" s="178"/>
      <c r="SFQ557" s="178"/>
      <c r="SFR557" s="178"/>
      <c r="SFS557" s="178"/>
      <c r="SFT557" s="178"/>
      <c r="SFU557" s="178"/>
      <c r="SFV557" s="178"/>
      <c r="SFW557" s="178"/>
      <c r="SFX557" s="178"/>
      <c r="SFY557" s="178"/>
      <c r="SFZ557" s="178"/>
      <c r="SGA557" s="178"/>
      <c r="SGB557" s="178"/>
      <c r="SGC557" s="178"/>
      <c r="SGD557" s="178"/>
      <c r="SGE557" s="178"/>
      <c r="SGF557" s="178"/>
      <c r="SGG557" s="178"/>
      <c r="SGH557" s="178"/>
      <c r="SGI557" s="178"/>
      <c r="SGJ557" s="178"/>
      <c r="SGK557" s="178"/>
      <c r="SGL557" s="178"/>
      <c r="SGM557" s="178"/>
      <c r="SGN557" s="178"/>
      <c r="SGO557" s="178"/>
      <c r="SGP557" s="178"/>
      <c r="SGQ557" s="178"/>
      <c r="SGR557" s="178"/>
      <c r="SGS557" s="178"/>
      <c r="SGT557" s="178"/>
      <c r="SGU557" s="178"/>
      <c r="SGV557" s="178"/>
      <c r="SGW557" s="178"/>
      <c r="SGX557" s="178"/>
      <c r="SGY557" s="178"/>
      <c r="SGZ557" s="178"/>
      <c r="SHA557" s="178"/>
      <c r="SHB557" s="178"/>
      <c r="SHC557" s="178"/>
      <c r="SHD557" s="178"/>
      <c r="SHE557" s="178"/>
      <c r="SHF557" s="178"/>
      <c r="SHG557" s="178"/>
      <c r="SHH557" s="178"/>
      <c r="SHI557" s="178"/>
      <c r="SHJ557" s="178"/>
      <c r="SHK557" s="178"/>
      <c r="SHL557" s="178"/>
      <c r="SHM557" s="178"/>
      <c r="SHN557" s="178"/>
      <c r="SHO557" s="178"/>
      <c r="SHP557" s="178"/>
      <c r="SHQ557" s="178"/>
      <c r="SHR557" s="178"/>
      <c r="SHS557" s="178"/>
      <c r="SHT557" s="178"/>
      <c r="SHU557" s="178"/>
      <c r="SHV557" s="178"/>
      <c r="SHW557" s="178"/>
      <c r="SHX557" s="178"/>
      <c r="SHY557" s="178"/>
      <c r="SHZ557" s="178"/>
      <c r="SIA557" s="178"/>
      <c r="SIB557" s="178"/>
      <c r="SIC557" s="178"/>
      <c r="SID557" s="178"/>
      <c r="SIE557" s="178"/>
      <c r="SIF557" s="178"/>
      <c r="SIG557" s="178"/>
      <c r="SIH557" s="178"/>
      <c r="SII557" s="178"/>
      <c r="SIJ557" s="178"/>
      <c r="SIK557" s="178"/>
      <c r="SIL557" s="178"/>
      <c r="SIM557" s="178"/>
      <c r="SIN557" s="178"/>
      <c r="SIO557" s="178"/>
      <c r="SIP557" s="178"/>
      <c r="SIQ557" s="178"/>
      <c r="SIR557" s="178"/>
      <c r="SIS557" s="178"/>
      <c r="SIT557" s="178"/>
      <c r="SIU557" s="178"/>
      <c r="SIV557" s="178"/>
      <c r="SIW557" s="178"/>
      <c r="SIX557" s="178"/>
      <c r="SIY557" s="178"/>
      <c r="SIZ557" s="178"/>
      <c r="SJA557" s="178"/>
      <c r="SJB557" s="178"/>
      <c r="SJC557" s="178"/>
      <c r="SJD557" s="178"/>
      <c r="SJE557" s="178"/>
      <c r="SJF557" s="178"/>
      <c r="SJG557" s="178"/>
      <c r="SJH557" s="178"/>
      <c r="SJI557" s="178"/>
      <c r="SJJ557" s="178"/>
      <c r="SJK557" s="178"/>
      <c r="SJL557" s="178"/>
      <c r="SJM557" s="178"/>
      <c r="SJN557" s="178"/>
      <c r="SJO557" s="178"/>
      <c r="SJP557" s="178"/>
      <c r="SJQ557" s="178"/>
      <c r="SJR557" s="178"/>
      <c r="SJS557" s="178"/>
      <c r="SJT557" s="178"/>
      <c r="SJU557" s="178"/>
      <c r="SJV557" s="178"/>
      <c r="SJW557" s="178"/>
      <c r="SJX557" s="178"/>
      <c r="SJY557" s="178"/>
      <c r="SJZ557" s="178"/>
      <c r="SKA557" s="178"/>
      <c r="SKB557" s="178"/>
      <c r="SKC557" s="178"/>
      <c r="SKD557" s="178"/>
      <c r="SKE557" s="178"/>
      <c r="SKF557" s="178"/>
      <c r="SKG557" s="178"/>
      <c r="SKH557" s="178"/>
      <c r="SKI557" s="178"/>
      <c r="SKJ557" s="178"/>
      <c r="SKK557" s="178"/>
      <c r="SKL557" s="178"/>
      <c r="SKM557" s="178"/>
      <c r="SKN557" s="178"/>
      <c r="SKO557" s="178"/>
      <c r="SKP557" s="178"/>
      <c r="SKQ557" s="178"/>
      <c r="SKR557" s="178"/>
      <c r="SKS557" s="178"/>
      <c r="SKT557" s="178"/>
      <c r="SKU557" s="178"/>
      <c r="SKV557" s="178"/>
      <c r="SKW557" s="178"/>
      <c r="SKX557" s="178"/>
      <c r="SKY557" s="178"/>
      <c r="SKZ557" s="178"/>
      <c r="SLA557" s="178"/>
      <c r="SLB557" s="178"/>
      <c r="SLC557" s="178"/>
      <c r="SLD557" s="178"/>
      <c r="SLE557" s="178"/>
      <c r="SLF557" s="178"/>
      <c r="SLG557" s="178"/>
      <c r="SLH557" s="178"/>
      <c r="SLI557" s="178"/>
      <c r="SLJ557" s="178"/>
      <c r="SLK557" s="178"/>
      <c r="SLL557" s="178"/>
      <c r="SLM557" s="178"/>
      <c r="SLN557" s="178"/>
      <c r="SLO557" s="178"/>
      <c r="SLP557" s="178"/>
      <c r="SLQ557" s="178"/>
      <c r="SLR557" s="178"/>
      <c r="SLS557" s="178"/>
      <c r="SLT557" s="178"/>
      <c r="SLU557" s="178"/>
      <c r="SLV557" s="178"/>
      <c r="SLW557" s="178"/>
      <c r="SLX557" s="178"/>
      <c r="SLY557" s="178"/>
      <c r="SLZ557" s="178"/>
      <c r="SMA557" s="178"/>
      <c r="SMB557" s="178"/>
      <c r="SMC557" s="178"/>
      <c r="SMD557" s="178"/>
      <c r="SME557" s="178"/>
      <c r="SMF557" s="178"/>
      <c r="SMG557" s="178"/>
      <c r="SMH557" s="178"/>
      <c r="SMI557" s="178"/>
      <c r="SMJ557" s="178"/>
      <c r="SMK557" s="178"/>
      <c r="SML557" s="178"/>
      <c r="SMM557" s="178"/>
      <c r="SMN557" s="178"/>
      <c r="SMO557" s="178"/>
      <c r="SMP557" s="178"/>
      <c r="SMQ557" s="178"/>
      <c r="SMR557" s="178"/>
      <c r="SMS557" s="178"/>
      <c r="SMT557" s="178"/>
      <c r="SMU557" s="178"/>
      <c r="SMV557" s="178"/>
      <c r="SMW557" s="178"/>
      <c r="SMX557" s="178"/>
      <c r="SMY557" s="178"/>
      <c r="SMZ557" s="178"/>
      <c r="SNA557" s="178"/>
      <c r="SNB557" s="178"/>
      <c r="SNC557" s="178"/>
      <c r="SND557" s="178"/>
      <c r="SNE557" s="178"/>
      <c r="SNF557" s="178"/>
      <c r="SNG557" s="178"/>
      <c r="SNH557" s="178"/>
      <c r="SNI557" s="178"/>
      <c r="SNJ557" s="178"/>
      <c r="SNK557" s="178"/>
      <c r="SNL557" s="178"/>
      <c r="SNM557" s="178"/>
      <c r="SNN557" s="178"/>
      <c r="SNO557" s="178"/>
      <c r="SNP557" s="178"/>
      <c r="SNQ557" s="178"/>
      <c r="SNR557" s="178"/>
      <c r="SNS557" s="178"/>
      <c r="SNT557" s="178"/>
      <c r="SNU557" s="178"/>
      <c r="SNV557" s="178"/>
      <c r="SNW557" s="178"/>
      <c r="SNX557" s="178"/>
      <c r="SNY557" s="178"/>
      <c r="SNZ557" s="178"/>
      <c r="SOA557" s="178"/>
      <c r="SOB557" s="178"/>
      <c r="SOC557" s="178"/>
      <c r="SOD557" s="178"/>
      <c r="SOE557" s="178"/>
      <c r="SOF557" s="178"/>
      <c r="SOG557" s="178"/>
      <c r="SOH557" s="178"/>
      <c r="SOI557" s="178"/>
      <c r="SOJ557" s="178"/>
      <c r="SOK557" s="178"/>
      <c r="SOL557" s="178"/>
      <c r="SOM557" s="178"/>
      <c r="SON557" s="178"/>
      <c r="SOO557" s="178"/>
      <c r="SOP557" s="178"/>
      <c r="SOQ557" s="178"/>
      <c r="SOR557" s="178"/>
      <c r="SOS557" s="178"/>
      <c r="SOT557" s="178"/>
      <c r="SOU557" s="178"/>
      <c r="SOV557" s="178"/>
      <c r="SOW557" s="178"/>
      <c r="SOX557" s="178"/>
      <c r="SOY557" s="178"/>
      <c r="SOZ557" s="178"/>
      <c r="SPA557" s="178"/>
      <c r="SPB557" s="178"/>
      <c r="SPC557" s="178"/>
      <c r="SPD557" s="178"/>
      <c r="SPE557" s="178"/>
      <c r="SPF557" s="178"/>
      <c r="SPG557" s="178"/>
      <c r="SPH557" s="178"/>
      <c r="SPI557" s="178"/>
      <c r="SPJ557" s="178"/>
      <c r="SPK557" s="178"/>
      <c r="SPL557" s="178"/>
      <c r="SPM557" s="178"/>
      <c r="SPN557" s="178"/>
      <c r="SPO557" s="178"/>
      <c r="SPP557" s="178"/>
      <c r="SPQ557" s="178"/>
      <c r="SPR557" s="178"/>
      <c r="SPS557" s="178"/>
      <c r="SPT557" s="178"/>
      <c r="SPU557" s="178"/>
      <c r="SPV557" s="178"/>
      <c r="SPW557" s="178"/>
      <c r="SPX557" s="178"/>
      <c r="SPY557" s="178"/>
      <c r="SPZ557" s="178"/>
      <c r="SQA557" s="178"/>
      <c r="SQB557" s="178"/>
      <c r="SQC557" s="178"/>
      <c r="SQD557" s="178"/>
      <c r="SQE557" s="178"/>
      <c r="SQF557" s="178"/>
      <c r="SQG557" s="178"/>
      <c r="SQH557" s="178"/>
      <c r="SQI557" s="178"/>
      <c r="SQJ557" s="178"/>
      <c r="SQK557" s="178"/>
      <c r="SQL557" s="178"/>
      <c r="SQM557" s="178"/>
      <c r="SQN557" s="178"/>
      <c r="SQO557" s="178"/>
      <c r="SQP557" s="178"/>
      <c r="SQQ557" s="178"/>
      <c r="SQR557" s="178"/>
      <c r="SQS557" s="178"/>
      <c r="SQT557" s="178"/>
      <c r="SQU557" s="178"/>
      <c r="SQV557" s="178"/>
      <c r="SQW557" s="178"/>
      <c r="SQX557" s="178"/>
      <c r="SQY557" s="178"/>
      <c r="SQZ557" s="178"/>
      <c r="SRA557" s="178"/>
      <c r="SRB557" s="178"/>
      <c r="SRC557" s="178"/>
      <c r="SRD557" s="178"/>
      <c r="SRE557" s="178"/>
      <c r="SRF557" s="178"/>
      <c r="SRG557" s="178"/>
      <c r="SRH557" s="178"/>
      <c r="SRI557" s="178"/>
      <c r="SRJ557" s="178"/>
      <c r="SRK557" s="178"/>
      <c r="SRL557" s="178"/>
      <c r="SRM557" s="178"/>
      <c r="SRN557" s="178"/>
      <c r="SRO557" s="178"/>
      <c r="SRP557" s="178"/>
      <c r="SRQ557" s="178"/>
      <c r="SRR557" s="178"/>
      <c r="SRS557" s="178"/>
      <c r="SRT557" s="178"/>
      <c r="SRU557" s="178"/>
      <c r="SRV557" s="178"/>
      <c r="SRW557" s="178"/>
      <c r="SRX557" s="178"/>
      <c r="SRY557" s="178"/>
      <c r="SRZ557" s="178"/>
      <c r="SSA557" s="178"/>
      <c r="SSB557" s="178"/>
      <c r="SSC557" s="178"/>
      <c r="SSD557" s="178"/>
      <c r="SSE557" s="178"/>
      <c r="SSF557" s="178"/>
      <c r="SSG557" s="178"/>
      <c r="SSH557" s="178"/>
      <c r="SSI557" s="178"/>
      <c r="SSJ557" s="178"/>
      <c r="SSK557" s="178"/>
      <c r="SSL557" s="178"/>
      <c r="SSM557" s="178"/>
      <c r="SSN557" s="178"/>
      <c r="SSO557" s="178"/>
      <c r="SSP557" s="178"/>
      <c r="SSQ557" s="178"/>
      <c r="SSR557" s="178"/>
      <c r="SSS557" s="178"/>
      <c r="SST557" s="178"/>
      <c r="SSU557" s="178"/>
      <c r="SSV557" s="178"/>
      <c r="SSW557" s="178"/>
      <c r="SSX557" s="178"/>
      <c r="SSY557" s="178"/>
      <c r="SSZ557" s="178"/>
      <c r="STA557" s="178"/>
      <c r="STB557" s="178"/>
      <c r="STC557" s="178"/>
      <c r="STD557" s="178"/>
      <c r="STE557" s="178"/>
      <c r="STF557" s="178"/>
      <c r="STG557" s="178"/>
      <c r="STH557" s="178"/>
      <c r="STI557" s="178"/>
      <c r="STJ557" s="178"/>
      <c r="STK557" s="178"/>
      <c r="STL557" s="178"/>
      <c r="STM557" s="178"/>
      <c r="STN557" s="178"/>
      <c r="STO557" s="178"/>
      <c r="STP557" s="178"/>
      <c r="STQ557" s="178"/>
      <c r="STR557" s="178"/>
      <c r="STS557" s="178"/>
      <c r="STT557" s="178"/>
      <c r="STU557" s="178"/>
      <c r="STV557" s="178"/>
      <c r="STW557" s="178"/>
      <c r="STX557" s="178"/>
      <c r="STY557" s="178"/>
      <c r="STZ557" s="178"/>
      <c r="SUA557" s="178"/>
      <c r="SUB557" s="178"/>
      <c r="SUC557" s="178"/>
      <c r="SUD557" s="178"/>
      <c r="SUE557" s="178"/>
      <c r="SUF557" s="178"/>
      <c r="SUG557" s="178"/>
      <c r="SUH557" s="178"/>
      <c r="SUI557" s="178"/>
      <c r="SUJ557" s="178"/>
      <c r="SUK557" s="178"/>
      <c r="SUL557" s="178"/>
      <c r="SUM557" s="178"/>
      <c r="SUN557" s="178"/>
      <c r="SUO557" s="178"/>
      <c r="SUP557" s="178"/>
      <c r="SUQ557" s="178"/>
      <c r="SUR557" s="178"/>
      <c r="SUS557" s="178"/>
      <c r="SUT557" s="178"/>
      <c r="SUU557" s="178"/>
      <c r="SUV557" s="178"/>
      <c r="SUW557" s="178"/>
      <c r="SUX557" s="178"/>
      <c r="SUY557" s="178"/>
      <c r="SUZ557" s="178"/>
      <c r="SVA557" s="178"/>
      <c r="SVB557" s="178"/>
      <c r="SVC557" s="178"/>
      <c r="SVD557" s="178"/>
      <c r="SVE557" s="178"/>
      <c r="SVF557" s="178"/>
      <c r="SVG557" s="178"/>
      <c r="SVH557" s="178"/>
      <c r="SVI557" s="178"/>
      <c r="SVJ557" s="178"/>
      <c r="SVK557" s="178"/>
      <c r="SVL557" s="178"/>
      <c r="SVM557" s="178"/>
      <c r="SVN557" s="178"/>
      <c r="SVO557" s="178"/>
      <c r="SVP557" s="178"/>
      <c r="SVQ557" s="178"/>
      <c r="SVR557" s="178"/>
      <c r="SVS557" s="178"/>
      <c r="SVT557" s="178"/>
      <c r="SVU557" s="178"/>
      <c r="SVV557" s="178"/>
      <c r="SVW557" s="178"/>
      <c r="SVX557" s="178"/>
      <c r="SVY557" s="178"/>
      <c r="SVZ557" s="178"/>
      <c r="SWA557" s="178"/>
      <c r="SWB557" s="178"/>
      <c r="SWC557" s="178"/>
      <c r="SWD557" s="178"/>
      <c r="SWE557" s="178"/>
      <c r="SWF557" s="178"/>
      <c r="SWG557" s="178"/>
      <c r="SWH557" s="178"/>
      <c r="SWI557" s="178"/>
      <c r="SWJ557" s="178"/>
      <c r="SWK557" s="178"/>
      <c r="SWL557" s="178"/>
      <c r="SWM557" s="178"/>
      <c r="SWN557" s="178"/>
      <c r="SWO557" s="178"/>
      <c r="SWP557" s="178"/>
      <c r="SWQ557" s="178"/>
      <c r="SWR557" s="178"/>
      <c r="SWS557" s="178"/>
      <c r="SWT557" s="178"/>
      <c r="SWU557" s="178"/>
      <c r="SWV557" s="178"/>
      <c r="SWW557" s="178"/>
      <c r="SWX557" s="178"/>
      <c r="SWY557" s="178"/>
      <c r="SWZ557" s="178"/>
      <c r="SXA557" s="178"/>
      <c r="SXB557" s="178"/>
      <c r="SXC557" s="178"/>
      <c r="SXD557" s="178"/>
      <c r="SXE557" s="178"/>
      <c r="SXF557" s="178"/>
      <c r="SXG557" s="178"/>
      <c r="SXH557" s="178"/>
      <c r="SXI557" s="178"/>
      <c r="SXJ557" s="178"/>
      <c r="SXK557" s="178"/>
      <c r="SXL557" s="178"/>
      <c r="SXM557" s="178"/>
      <c r="SXN557" s="178"/>
      <c r="SXO557" s="178"/>
      <c r="SXP557" s="178"/>
      <c r="SXQ557" s="178"/>
      <c r="SXR557" s="178"/>
      <c r="SXS557" s="178"/>
      <c r="SXT557" s="178"/>
      <c r="SXU557" s="178"/>
      <c r="SXV557" s="178"/>
      <c r="SXW557" s="178"/>
      <c r="SXX557" s="178"/>
      <c r="SXY557" s="178"/>
      <c r="SXZ557" s="178"/>
      <c r="SYA557" s="178"/>
      <c r="SYB557" s="178"/>
      <c r="SYC557" s="178"/>
      <c r="SYD557" s="178"/>
      <c r="SYE557" s="178"/>
      <c r="SYF557" s="178"/>
      <c r="SYG557" s="178"/>
      <c r="SYH557" s="178"/>
      <c r="SYI557" s="178"/>
      <c r="SYJ557" s="178"/>
      <c r="SYK557" s="178"/>
      <c r="SYL557" s="178"/>
      <c r="SYM557" s="178"/>
      <c r="SYN557" s="178"/>
      <c r="SYO557" s="178"/>
      <c r="SYP557" s="178"/>
      <c r="SYQ557" s="178"/>
      <c r="SYR557" s="178"/>
      <c r="SYS557" s="178"/>
      <c r="SYT557" s="178"/>
      <c r="SYU557" s="178"/>
      <c r="SYV557" s="178"/>
      <c r="SYW557" s="178"/>
      <c r="SYX557" s="178"/>
      <c r="SYY557" s="178"/>
      <c r="SYZ557" s="178"/>
      <c r="SZA557" s="178"/>
      <c r="SZB557" s="178"/>
      <c r="SZC557" s="178"/>
      <c r="SZD557" s="178"/>
      <c r="SZE557" s="178"/>
      <c r="SZF557" s="178"/>
      <c r="SZG557" s="178"/>
      <c r="SZH557" s="178"/>
      <c r="SZI557" s="178"/>
      <c r="SZJ557" s="178"/>
      <c r="SZK557" s="178"/>
      <c r="SZL557" s="178"/>
      <c r="SZM557" s="178"/>
      <c r="SZN557" s="178"/>
      <c r="SZO557" s="178"/>
      <c r="SZP557" s="178"/>
      <c r="SZQ557" s="178"/>
      <c r="SZR557" s="178"/>
      <c r="SZS557" s="178"/>
      <c r="SZT557" s="178"/>
      <c r="SZU557" s="178"/>
      <c r="SZV557" s="178"/>
      <c r="SZW557" s="178"/>
      <c r="SZX557" s="178"/>
      <c r="SZY557" s="178"/>
      <c r="SZZ557" s="178"/>
      <c r="TAA557" s="178"/>
      <c r="TAB557" s="178"/>
      <c r="TAC557" s="178"/>
      <c r="TAD557" s="178"/>
      <c r="TAE557" s="178"/>
      <c r="TAF557" s="178"/>
      <c r="TAG557" s="178"/>
      <c r="TAH557" s="178"/>
      <c r="TAI557" s="178"/>
      <c r="TAJ557" s="178"/>
      <c r="TAK557" s="178"/>
      <c r="TAL557" s="178"/>
      <c r="TAM557" s="178"/>
      <c r="TAN557" s="178"/>
      <c r="TAO557" s="178"/>
      <c r="TAP557" s="178"/>
      <c r="TAQ557" s="178"/>
      <c r="TAR557" s="178"/>
      <c r="TAS557" s="178"/>
      <c r="TAT557" s="178"/>
      <c r="TAU557" s="178"/>
      <c r="TAV557" s="178"/>
      <c r="TAW557" s="178"/>
      <c r="TAX557" s="178"/>
      <c r="TAY557" s="178"/>
      <c r="TAZ557" s="178"/>
      <c r="TBA557" s="178"/>
      <c r="TBB557" s="178"/>
      <c r="TBC557" s="178"/>
      <c r="TBD557" s="178"/>
      <c r="TBE557" s="178"/>
      <c r="TBF557" s="178"/>
      <c r="TBG557" s="178"/>
      <c r="TBH557" s="178"/>
      <c r="TBI557" s="178"/>
      <c r="TBJ557" s="178"/>
      <c r="TBK557" s="178"/>
      <c r="TBL557" s="178"/>
      <c r="TBM557" s="178"/>
      <c r="TBN557" s="178"/>
      <c r="TBO557" s="178"/>
      <c r="TBP557" s="178"/>
      <c r="TBQ557" s="178"/>
      <c r="TBR557" s="178"/>
      <c r="TBS557" s="178"/>
      <c r="TBT557" s="178"/>
      <c r="TBU557" s="178"/>
      <c r="TBV557" s="178"/>
      <c r="TBW557" s="178"/>
      <c r="TBX557" s="178"/>
      <c r="TBY557" s="178"/>
      <c r="TBZ557" s="178"/>
      <c r="TCA557" s="178"/>
      <c r="TCB557" s="178"/>
      <c r="TCC557" s="178"/>
      <c r="TCD557" s="178"/>
      <c r="TCE557" s="178"/>
      <c r="TCF557" s="178"/>
      <c r="TCG557" s="178"/>
      <c r="TCH557" s="178"/>
      <c r="TCI557" s="178"/>
      <c r="TCJ557" s="178"/>
      <c r="TCK557" s="178"/>
      <c r="TCL557" s="178"/>
      <c r="TCM557" s="178"/>
      <c r="TCN557" s="178"/>
      <c r="TCO557" s="178"/>
      <c r="TCP557" s="178"/>
      <c r="TCQ557" s="178"/>
      <c r="TCR557" s="178"/>
      <c r="TCS557" s="178"/>
      <c r="TCT557" s="178"/>
      <c r="TCU557" s="178"/>
      <c r="TCV557" s="178"/>
      <c r="TCW557" s="178"/>
      <c r="TCX557" s="178"/>
      <c r="TCY557" s="178"/>
      <c r="TCZ557" s="178"/>
      <c r="TDA557" s="178"/>
      <c r="TDB557" s="178"/>
      <c r="TDC557" s="178"/>
      <c r="TDD557" s="178"/>
      <c r="TDE557" s="178"/>
      <c r="TDF557" s="178"/>
      <c r="TDG557" s="178"/>
      <c r="TDH557" s="178"/>
      <c r="TDI557" s="178"/>
      <c r="TDJ557" s="178"/>
      <c r="TDK557" s="178"/>
      <c r="TDL557" s="178"/>
      <c r="TDM557" s="178"/>
      <c r="TDN557" s="178"/>
      <c r="TDO557" s="178"/>
      <c r="TDP557" s="178"/>
      <c r="TDQ557" s="178"/>
      <c r="TDR557" s="178"/>
      <c r="TDS557" s="178"/>
      <c r="TDT557" s="178"/>
      <c r="TDU557" s="178"/>
      <c r="TDV557" s="178"/>
      <c r="TDW557" s="178"/>
      <c r="TDX557" s="178"/>
      <c r="TDY557" s="178"/>
      <c r="TDZ557" s="178"/>
      <c r="TEA557" s="178"/>
      <c r="TEB557" s="178"/>
      <c r="TEC557" s="178"/>
      <c r="TED557" s="178"/>
      <c r="TEE557" s="178"/>
      <c r="TEF557" s="178"/>
      <c r="TEG557" s="178"/>
      <c r="TEH557" s="178"/>
      <c r="TEI557" s="178"/>
      <c r="TEJ557" s="178"/>
      <c r="TEK557" s="178"/>
      <c r="TEL557" s="178"/>
      <c r="TEM557" s="178"/>
      <c r="TEN557" s="178"/>
      <c r="TEO557" s="178"/>
      <c r="TEP557" s="178"/>
      <c r="TEQ557" s="178"/>
      <c r="TER557" s="178"/>
      <c r="TES557" s="178"/>
      <c r="TET557" s="178"/>
      <c r="TEU557" s="178"/>
      <c r="TEV557" s="178"/>
      <c r="TEW557" s="178"/>
      <c r="TEX557" s="178"/>
      <c r="TEY557" s="178"/>
      <c r="TEZ557" s="178"/>
      <c r="TFA557" s="178"/>
      <c r="TFB557" s="178"/>
      <c r="TFC557" s="178"/>
      <c r="TFD557" s="178"/>
      <c r="TFE557" s="178"/>
      <c r="TFF557" s="178"/>
      <c r="TFG557" s="178"/>
      <c r="TFH557" s="178"/>
      <c r="TFI557" s="178"/>
      <c r="TFJ557" s="178"/>
      <c r="TFK557" s="178"/>
      <c r="TFL557" s="178"/>
      <c r="TFM557" s="178"/>
      <c r="TFN557" s="178"/>
      <c r="TFO557" s="178"/>
      <c r="TFP557" s="178"/>
      <c r="TFQ557" s="178"/>
      <c r="TFR557" s="178"/>
      <c r="TFS557" s="178"/>
      <c r="TFT557" s="178"/>
      <c r="TFU557" s="178"/>
      <c r="TFV557" s="178"/>
      <c r="TFW557" s="178"/>
      <c r="TFX557" s="178"/>
      <c r="TFY557" s="178"/>
      <c r="TFZ557" s="178"/>
      <c r="TGA557" s="178"/>
      <c r="TGB557" s="178"/>
      <c r="TGC557" s="178"/>
      <c r="TGD557" s="178"/>
      <c r="TGE557" s="178"/>
      <c r="TGF557" s="178"/>
      <c r="TGG557" s="178"/>
      <c r="TGH557" s="178"/>
      <c r="TGI557" s="178"/>
      <c r="TGJ557" s="178"/>
      <c r="TGK557" s="178"/>
      <c r="TGL557" s="178"/>
      <c r="TGM557" s="178"/>
      <c r="TGN557" s="178"/>
      <c r="TGO557" s="178"/>
      <c r="TGP557" s="178"/>
      <c r="TGQ557" s="178"/>
      <c r="TGR557" s="178"/>
      <c r="TGS557" s="178"/>
      <c r="TGT557" s="178"/>
      <c r="TGU557" s="178"/>
      <c r="TGV557" s="178"/>
      <c r="TGW557" s="178"/>
      <c r="TGX557" s="178"/>
      <c r="TGY557" s="178"/>
      <c r="TGZ557" s="178"/>
      <c r="THA557" s="178"/>
      <c r="THB557" s="178"/>
      <c r="THC557" s="178"/>
      <c r="THD557" s="178"/>
      <c r="THE557" s="178"/>
      <c r="THF557" s="178"/>
      <c r="THG557" s="178"/>
      <c r="THH557" s="178"/>
      <c r="THI557" s="178"/>
      <c r="THJ557" s="178"/>
      <c r="THK557" s="178"/>
      <c r="THL557" s="178"/>
      <c r="THM557" s="178"/>
      <c r="THN557" s="178"/>
      <c r="THO557" s="178"/>
      <c r="THP557" s="178"/>
      <c r="THQ557" s="178"/>
      <c r="THR557" s="178"/>
      <c r="THS557" s="178"/>
      <c r="THT557" s="178"/>
      <c r="THU557" s="178"/>
      <c r="THV557" s="178"/>
      <c r="THW557" s="178"/>
      <c r="THX557" s="178"/>
      <c r="THY557" s="178"/>
      <c r="THZ557" s="178"/>
      <c r="TIA557" s="178"/>
      <c r="TIB557" s="178"/>
      <c r="TIC557" s="178"/>
      <c r="TID557" s="178"/>
      <c r="TIE557" s="178"/>
      <c r="TIF557" s="178"/>
      <c r="TIG557" s="178"/>
      <c r="TIH557" s="178"/>
      <c r="TII557" s="178"/>
      <c r="TIJ557" s="178"/>
      <c r="TIK557" s="178"/>
      <c r="TIL557" s="178"/>
      <c r="TIM557" s="178"/>
      <c r="TIN557" s="178"/>
      <c r="TIO557" s="178"/>
      <c r="TIP557" s="178"/>
      <c r="TIQ557" s="178"/>
      <c r="TIR557" s="178"/>
      <c r="TIS557" s="178"/>
      <c r="TIT557" s="178"/>
      <c r="TIU557" s="178"/>
      <c r="TIV557" s="178"/>
      <c r="TIW557" s="178"/>
      <c r="TIX557" s="178"/>
      <c r="TIY557" s="178"/>
      <c r="TIZ557" s="178"/>
      <c r="TJA557" s="178"/>
      <c r="TJB557" s="178"/>
      <c r="TJC557" s="178"/>
      <c r="TJD557" s="178"/>
      <c r="TJE557" s="178"/>
      <c r="TJF557" s="178"/>
      <c r="TJG557" s="178"/>
      <c r="TJH557" s="178"/>
      <c r="TJI557" s="178"/>
      <c r="TJJ557" s="178"/>
      <c r="TJK557" s="178"/>
      <c r="TJL557" s="178"/>
      <c r="TJM557" s="178"/>
      <c r="TJN557" s="178"/>
      <c r="TJO557" s="178"/>
      <c r="TJP557" s="178"/>
      <c r="TJQ557" s="178"/>
      <c r="TJR557" s="178"/>
      <c r="TJS557" s="178"/>
      <c r="TJT557" s="178"/>
      <c r="TJU557" s="178"/>
      <c r="TJV557" s="178"/>
      <c r="TJW557" s="178"/>
      <c r="TJX557" s="178"/>
      <c r="TJY557" s="178"/>
      <c r="TJZ557" s="178"/>
      <c r="TKA557" s="178"/>
      <c r="TKB557" s="178"/>
      <c r="TKC557" s="178"/>
      <c r="TKD557" s="178"/>
      <c r="TKE557" s="178"/>
      <c r="TKF557" s="178"/>
      <c r="TKG557" s="178"/>
      <c r="TKH557" s="178"/>
      <c r="TKI557" s="178"/>
      <c r="TKJ557" s="178"/>
      <c r="TKK557" s="178"/>
      <c r="TKL557" s="178"/>
      <c r="TKM557" s="178"/>
      <c r="TKN557" s="178"/>
      <c r="TKO557" s="178"/>
      <c r="TKP557" s="178"/>
      <c r="TKQ557" s="178"/>
      <c r="TKR557" s="178"/>
      <c r="TKS557" s="178"/>
      <c r="TKT557" s="178"/>
      <c r="TKU557" s="178"/>
      <c r="TKV557" s="178"/>
      <c r="TKW557" s="178"/>
      <c r="TKX557" s="178"/>
      <c r="TKY557" s="178"/>
      <c r="TKZ557" s="178"/>
      <c r="TLA557" s="178"/>
      <c r="TLB557" s="178"/>
      <c r="TLC557" s="178"/>
      <c r="TLD557" s="178"/>
      <c r="TLE557" s="178"/>
      <c r="TLF557" s="178"/>
      <c r="TLG557" s="178"/>
      <c r="TLH557" s="178"/>
      <c r="TLI557" s="178"/>
      <c r="TLJ557" s="178"/>
      <c r="TLK557" s="178"/>
      <c r="TLL557" s="178"/>
      <c r="TLM557" s="178"/>
      <c r="TLN557" s="178"/>
      <c r="TLO557" s="178"/>
      <c r="TLP557" s="178"/>
      <c r="TLQ557" s="178"/>
      <c r="TLR557" s="178"/>
      <c r="TLS557" s="178"/>
      <c r="TLT557" s="178"/>
      <c r="TLU557" s="178"/>
      <c r="TLV557" s="178"/>
      <c r="TLW557" s="178"/>
      <c r="TLX557" s="178"/>
      <c r="TLY557" s="178"/>
      <c r="TLZ557" s="178"/>
      <c r="TMA557" s="178"/>
      <c r="TMB557" s="178"/>
      <c r="TMC557" s="178"/>
      <c r="TMD557" s="178"/>
      <c r="TME557" s="178"/>
      <c r="TMF557" s="178"/>
      <c r="TMG557" s="178"/>
      <c r="TMH557" s="178"/>
      <c r="TMI557" s="178"/>
      <c r="TMJ557" s="178"/>
      <c r="TMK557" s="178"/>
      <c r="TML557" s="178"/>
      <c r="TMM557" s="178"/>
      <c r="TMN557" s="178"/>
      <c r="TMO557" s="178"/>
      <c r="TMP557" s="178"/>
      <c r="TMQ557" s="178"/>
      <c r="TMR557" s="178"/>
      <c r="TMS557" s="178"/>
      <c r="TMT557" s="178"/>
      <c r="TMU557" s="178"/>
      <c r="TMV557" s="178"/>
      <c r="TMW557" s="178"/>
      <c r="TMX557" s="178"/>
      <c r="TMY557" s="178"/>
      <c r="TMZ557" s="178"/>
      <c r="TNA557" s="178"/>
      <c r="TNB557" s="178"/>
      <c r="TNC557" s="178"/>
      <c r="TND557" s="178"/>
      <c r="TNE557" s="178"/>
      <c r="TNF557" s="178"/>
      <c r="TNG557" s="178"/>
      <c r="TNH557" s="178"/>
      <c r="TNI557" s="178"/>
      <c r="TNJ557" s="178"/>
      <c r="TNK557" s="178"/>
      <c r="TNL557" s="178"/>
      <c r="TNM557" s="178"/>
      <c r="TNN557" s="178"/>
      <c r="TNO557" s="178"/>
      <c r="TNP557" s="178"/>
      <c r="TNQ557" s="178"/>
      <c r="TNR557" s="178"/>
      <c r="TNS557" s="178"/>
      <c r="TNT557" s="178"/>
      <c r="TNU557" s="178"/>
      <c r="TNV557" s="178"/>
      <c r="TNW557" s="178"/>
      <c r="TNX557" s="178"/>
      <c r="TNY557" s="178"/>
      <c r="TNZ557" s="178"/>
      <c r="TOA557" s="178"/>
      <c r="TOB557" s="178"/>
      <c r="TOC557" s="178"/>
      <c r="TOD557" s="178"/>
      <c r="TOE557" s="178"/>
      <c r="TOF557" s="178"/>
      <c r="TOG557" s="178"/>
      <c r="TOH557" s="178"/>
      <c r="TOI557" s="178"/>
      <c r="TOJ557" s="178"/>
      <c r="TOK557" s="178"/>
      <c r="TOL557" s="178"/>
      <c r="TOM557" s="178"/>
      <c r="TON557" s="178"/>
      <c r="TOO557" s="178"/>
      <c r="TOP557" s="178"/>
      <c r="TOQ557" s="178"/>
      <c r="TOR557" s="178"/>
      <c r="TOS557" s="178"/>
      <c r="TOT557" s="178"/>
      <c r="TOU557" s="178"/>
      <c r="TOV557" s="178"/>
      <c r="TOW557" s="178"/>
      <c r="TOX557" s="178"/>
      <c r="TOY557" s="178"/>
      <c r="TOZ557" s="178"/>
      <c r="TPA557" s="178"/>
      <c r="TPB557" s="178"/>
      <c r="TPC557" s="178"/>
      <c r="TPD557" s="178"/>
      <c r="TPE557" s="178"/>
      <c r="TPF557" s="178"/>
      <c r="TPG557" s="178"/>
      <c r="TPH557" s="178"/>
      <c r="TPI557" s="178"/>
      <c r="TPJ557" s="178"/>
      <c r="TPK557" s="178"/>
      <c r="TPL557" s="178"/>
      <c r="TPM557" s="178"/>
      <c r="TPN557" s="178"/>
      <c r="TPO557" s="178"/>
      <c r="TPP557" s="178"/>
      <c r="TPQ557" s="178"/>
      <c r="TPR557" s="178"/>
      <c r="TPS557" s="178"/>
      <c r="TPT557" s="178"/>
      <c r="TPU557" s="178"/>
      <c r="TPV557" s="178"/>
      <c r="TPW557" s="178"/>
      <c r="TPX557" s="178"/>
      <c r="TPY557" s="178"/>
      <c r="TPZ557" s="178"/>
      <c r="TQA557" s="178"/>
      <c r="TQB557" s="178"/>
      <c r="TQC557" s="178"/>
      <c r="TQD557" s="178"/>
      <c r="TQE557" s="178"/>
      <c r="TQF557" s="178"/>
      <c r="TQG557" s="178"/>
      <c r="TQH557" s="178"/>
      <c r="TQI557" s="178"/>
      <c r="TQJ557" s="178"/>
      <c r="TQK557" s="178"/>
      <c r="TQL557" s="178"/>
      <c r="TQM557" s="178"/>
      <c r="TQN557" s="178"/>
      <c r="TQO557" s="178"/>
      <c r="TQP557" s="178"/>
      <c r="TQQ557" s="178"/>
      <c r="TQR557" s="178"/>
      <c r="TQS557" s="178"/>
      <c r="TQT557" s="178"/>
      <c r="TQU557" s="178"/>
      <c r="TQV557" s="178"/>
      <c r="TQW557" s="178"/>
      <c r="TQX557" s="178"/>
      <c r="TQY557" s="178"/>
      <c r="TQZ557" s="178"/>
      <c r="TRA557" s="178"/>
      <c r="TRB557" s="178"/>
      <c r="TRC557" s="178"/>
      <c r="TRD557" s="178"/>
      <c r="TRE557" s="178"/>
      <c r="TRF557" s="178"/>
      <c r="TRG557" s="178"/>
      <c r="TRH557" s="178"/>
      <c r="TRI557" s="178"/>
      <c r="TRJ557" s="178"/>
      <c r="TRK557" s="178"/>
      <c r="TRL557" s="178"/>
      <c r="TRM557" s="178"/>
      <c r="TRN557" s="178"/>
      <c r="TRO557" s="178"/>
      <c r="TRP557" s="178"/>
      <c r="TRQ557" s="178"/>
      <c r="TRR557" s="178"/>
      <c r="TRS557" s="178"/>
      <c r="TRT557" s="178"/>
      <c r="TRU557" s="178"/>
      <c r="TRV557" s="178"/>
      <c r="TRW557" s="178"/>
      <c r="TRX557" s="178"/>
      <c r="TRY557" s="178"/>
      <c r="TRZ557" s="178"/>
      <c r="TSA557" s="178"/>
      <c r="TSB557" s="178"/>
      <c r="TSC557" s="178"/>
      <c r="TSD557" s="178"/>
      <c r="TSE557" s="178"/>
      <c r="TSF557" s="178"/>
      <c r="TSG557" s="178"/>
      <c r="TSH557" s="178"/>
      <c r="TSI557" s="178"/>
      <c r="TSJ557" s="178"/>
      <c r="TSK557" s="178"/>
      <c r="TSL557" s="178"/>
      <c r="TSM557" s="178"/>
      <c r="TSN557" s="178"/>
      <c r="TSO557" s="178"/>
      <c r="TSP557" s="178"/>
      <c r="TSQ557" s="178"/>
      <c r="TSR557" s="178"/>
      <c r="TSS557" s="178"/>
      <c r="TST557" s="178"/>
      <c r="TSU557" s="178"/>
      <c r="TSV557" s="178"/>
      <c r="TSW557" s="178"/>
      <c r="TSX557" s="178"/>
      <c r="TSY557" s="178"/>
      <c r="TSZ557" s="178"/>
      <c r="TTA557" s="178"/>
      <c r="TTB557" s="178"/>
      <c r="TTC557" s="178"/>
      <c r="TTD557" s="178"/>
      <c r="TTE557" s="178"/>
      <c r="TTF557" s="178"/>
      <c r="TTG557" s="178"/>
      <c r="TTH557" s="178"/>
      <c r="TTI557" s="178"/>
      <c r="TTJ557" s="178"/>
      <c r="TTK557" s="178"/>
      <c r="TTL557" s="178"/>
      <c r="TTM557" s="178"/>
      <c r="TTN557" s="178"/>
      <c r="TTO557" s="178"/>
      <c r="TTP557" s="178"/>
      <c r="TTQ557" s="178"/>
      <c r="TTR557" s="178"/>
      <c r="TTS557" s="178"/>
      <c r="TTT557" s="178"/>
      <c r="TTU557" s="178"/>
      <c r="TTV557" s="178"/>
      <c r="TTW557" s="178"/>
      <c r="TTX557" s="178"/>
      <c r="TTY557" s="178"/>
      <c r="TTZ557" s="178"/>
      <c r="TUA557" s="178"/>
      <c r="TUB557" s="178"/>
      <c r="TUC557" s="178"/>
      <c r="TUD557" s="178"/>
      <c r="TUE557" s="178"/>
      <c r="TUF557" s="178"/>
      <c r="TUG557" s="178"/>
      <c r="TUH557" s="178"/>
      <c r="TUI557" s="178"/>
      <c r="TUJ557" s="178"/>
      <c r="TUK557" s="178"/>
      <c r="TUL557" s="178"/>
      <c r="TUM557" s="178"/>
      <c r="TUN557" s="178"/>
      <c r="TUO557" s="178"/>
      <c r="TUP557" s="178"/>
      <c r="TUQ557" s="178"/>
      <c r="TUR557" s="178"/>
      <c r="TUS557" s="178"/>
      <c r="TUT557" s="178"/>
      <c r="TUU557" s="178"/>
      <c r="TUV557" s="178"/>
      <c r="TUW557" s="178"/>
      <c r="TUX557" s="178"/>
      <c r="TUY557" s="178"/>
      <c r="TUZ557" s="178"/>
      <c r="TVA557" s="178"/>
      <c r="TVB557" s="178"/>
      <c r="TVC557" s="178"/>
      <c r="TVD557" s="178"/>
      <c r="TVE557" s="178"/>
      <c r="TVF557" s="178"/>
      <c r="TVG557" s="178"/>
      <c r="TVH557" s="178"/>
      <c r="TVI557" s="178"/>
      <c r="TVJ557" s="178"/>
      <c r="TVK557" s="178"/>
      <c r="TVL557" s="178"/>
      <c r="TVM557" s="178"/>
      <c r="TVN557" s="178"/>
      <c r="TVO557" s="178"/>
      <c r="TVP557" s="178"/>
      <c r="TVQ557" s="178"/>
      <c r="TVR557" s="178"/>
      <c r="TVS557" s="178"/>
      <c r="TVT557" s="178"/>
      <c r="TVU557" s="178"/>
      <c r="TVV557" s="178"/>
      <c r="TVW557" s="178"/>
      <c r="TVX557" s="178"/>
      <c r="TVY557" s="178"/>
      <c r="TVZ557" s="178"/>
      <c r="TWA557" s="178"/>
      <c r="TWB557" s="178"/>
      <c r="TWC557" s="178"/>
      <c r="TWD557" s="178"/>
      <c r="TWE557" s="178"/>
      <c r="TWF557" s="178"/>
      <c r="TWG557" s="178"/>
      <c r="TWH557" s="178"/>
      <c r="TWI557" s="178"/>
      <c r="TWJ557" s="178"/>
      <c r="TWK557" s="178"/>
      <c r="TWL557" s="178"/>
      <c r="TWM557" s="178"/>
      <c r="TWN557" s="178"/>
      <c r="TWO557" s="178"/>
      <c r="TWP557" s="178"/>
      <c r="TWQ557" s="178"/>
      <c r="TWR557" s="178"/>
      <c r="TWS557" s="178"/>
      <c r="TWT557" s="178"/>
      <c r="TWU557" s="178"/>
      <c r="TWV557" s="178"/>
      <c r="TWW557" s="178"/>
      <c r="TWX557" s="178"/>
      <c r="TWY557" s="178"/>
      <c r="TWZ557" s="178"/>
      <c r="TXA557" s="178"/>
      <c r="TXB557" s="178"/>
      <c r="TXC557" s="178"/>
      <c r="TXD557" s="178"/>
      <c r="TXE557" s="178"/>
      <c r="TXF557" s="178"/>
      <c r="TXG557" s="178"/>
      <c r="TXH557" s="178"/>
      <c r="TXI557" s="178"/>
      <c r="TXJ557" s="178"/>
      <c r="TXK557" s="178"/>
      <c r="TXL557" s="178"/>
      <c r="TXM557" s="178"/>
      <c r="TXN557" s="178"/>
      <c r="TXO557" s="178"/>
      <c r="TXP557" s="178"/>
      <c r="TXQ557" s="178"/>
      <c r="TXR557" s="178"/>
      <c r="TXS557" s="178"/>
      <c r="TXT557" s="178"/>
      <c r="TXU557" s="178"/>
      <c r="TXV557" s="178"/>
      <c r="TXW557" s="178"/>
      <c r="TXX557" s="178"/>
      <c r="TXY557" s="178"/>
      <c r="TXZ557" s="178"/>
      <c r="TYA557" s="178"/>
      <c r="TYB557" s="178"/>
      <c r="TYC557" s="178"/>
      <c r="TYD557" s="178"/>
      <c r="TYE557" s="178"/>
      <c r="TYF557" s="178"/>
      <c r="TYG557" s="178"/>
      <c r="TYH557" s="178"/>
      <c r="TYI557" s="178"/>
      <c r="TYJ557" s="178"/>
      <c r="TYK557" s="178"/>
      <c r="TYL557" s="178"/>
      <c r="TYM557" s="178"/>
      <c r="TYN557" s="178"/>
      <c r="TYO557" s="178"/>
      <c r="TYP557" s="178"/>
      <c r="TYQ557" s="178"/>
      <c r="TYR557" s="178"/>
      <c r="TYS557" s="178"/>
      <c r="TYT557" s="178"/>
      <c r="TYU557" s="178"/>
      <c r="TYV557" s="178"/>
      <c r="TYW557" s="178"/>
      <c r="TYX557" s="178"/>
      <c r="TYY557" s="178"/>
      <c r="TYZ557" s="178"/>
      <c r="TZA557" s="178"/>
      <c r="TZB557" s="178"/>
      <c r="TZC557" s="178"/>
      <c r="TZD557" s="178"/>
      <c r="TZE557" s="178"/>
      <c r="TZF557" s="178"/>
      <c r="TZG557" s="178"/>
      <c r="TZH557" s="178"/>
      <c r="TZI557" s="178"/>
      <c r="TZJ557" s="178"/>
      <c r="TZK557" s="178"/>
      <c r="TZL557" s="178"/>
      <c r="TZM557" s="178"/>
      <c r="TZN557" s="178"/>
      <c r="TZO557" s="178"/>
      <c r="TZP557" s="178"/>
      <c r="TZQ557" s="178"/>
      <c r="TZR557" s="178"/>
      <c r="TZS557" s="178"/>
      <c r="TZT557" s="178"/>
      <c r="TZU557" s="178"/>
      <c r="TZV557" s="178"/>
      <c r="TZW557" s="178"/>
      <c r="TZX557" s="178"/>
      <c r="TZY557" s="178"/>
      <c r="TZZ557" s="178"/>
      <c r="UAA557" s="178"/>
      <c r="UAB557" s="178"/>
      <c r="UAC557" s="178"/>
      <c r="UAD557" s="178"/>
      <c r="UAE557" s="178"/>
      <c r="UAF557" s="178"/>
      <c r="UAG557" s="178"/>
      <c r="UAH557" s="178"/>
      <c r="UAI557" s="178"/>
      <c r="UAJ557" s="178"/>
      <c r="UAK557" s="178"/>
      <c r="UAL557" s="178"/>
      <c r="UAM557" s="178"/>
      <c r="UAN557" s="178"/>
      <c r="UAO557" s="178"/>
      <c r="UAP557" s="178"/>
      <c r="UAQ557" s="178"/>
      <c r="UAR557" s="178"/>
      <c r="UAS557" s="178"/>
      <c r="UAT557" s="178"/>
      <c r="UAU557" s="178"/>
      <c r="UAV557" s="178"/>
      <c r="UAW557" s="178"/>
      <c r="UAX557" s="178"/>
      <c r="UAY557" s="178"/>
      <c r="UAZ557" s="178"/>
      <c r="UBA557" s="178"/>
      <c r="UBB557" s="178"/>
      <c r="UBC557" s="178"/>
      <c r="UBD557" s="178"/>
      <c r="UBE557" s="178"/>
      <c r="UBF557" s="178"/>
      <c r="UBG557" s="178"/>
      <c r="UBH557" s="178"/>
      <c r="UBI557" s="178"/>
      <c r="UBJ557" s="178"/>
      <c r="UBK557" s="178"/>
      <c r="UBL557" s="178"/>
      <c r="UBM557" s="178"/>
      <c r="UBN557" s="178"/>
      <c r="UBO557" s="178"/>
      <c r="UBP557" s="178"/>
      <c r="UBQ557" s="178"/>
      <c r="UBR557" s="178"/>
      <c r="UBS557" s="178"/>
      <c r="UBT557" s="178"/>
      <c r="UBU557" s="178"/>
      <c r="UBV557" s="178"/>
      <c r="UBW557" s="178"/>
      <c r="UBX557" s="178"/>
      <c r="UBY557" s="178"/>
      <c r="UBZ557" s="178"/>
      <c r="UCA557" s="178"/>
      <c r="UCB557" s="178"/>
      <c r="UCC557" s="178"/>
      <c r="UCD557" s="178"/>
      <c r="UCE557" s="178"/>
      <c r="UCF557" s="178"/>
      <c r="UCG557" s="178"/>
      <c r="UCH557" s="178"/>
      <c r="UCI557" s="178"/>
      <c r="UCJ557" s="178"/>
      <c r="UCK557" s="178"/>
      <c r="UCL557" s="178"/>
      <c r="UCM557" s="178"/>
      <c r="UCN557" s="178"/>
      <c r="UCO557" s="178"/>
      <c r="UCP557" s="178"/>
      <c r="UCQ557" s="178"/>
      <c r="UCR557" s="178"/>
      <c r="UCS557" s="178"/>
      <c r="UCT557" s="178"/>
      <c r="UCU557" s="178"/>
      <c r="UCV557" s="178"/>
      <c r="UCW557" s="178"/>
      <c r="UCX557" s="178"/>
      <c r="UCY557" s="178"/>
      <c r="UCZ557" s="178"/>
      <c r="UDA557" s="178"/>
      <c r="UDB557" s="178"/>
      <c r="UDC557" s="178"/>
      <c r="UDD557" s="178"/>
      <c r="UDE557" s="178"/>
      <c r="UDF557" s="178"/>
      <c r="UDG557" s="178"/>
      <c r="UDH557" s="178"/>
      <c r="UDI557" s="178"/>
      <c r="UDJ557" s="178"/>
      <c r="UDK557" s="178"/>
      <c r="UDL557" s="178"/>
      <c r="UDM557" s="178"/>
      <c r="UDN557" s="178"/>
      <c r="UDO557" s="178"/>
      <c r="UDP557" s="178"/>
      <c r="UDQ557" s="178"/>
      <c r="UDR557" s="178"/>
      <c r="UDS557" s="178"/>
      <c r="UDT557" s="178"/>
      <c r="UDU557" s="178"/>
      <c r="UDV557" s="178"/>
      <c r="UDW557" s="178"/>
      <c r="UDX557" s="178"/>
      <c r="UDY557" s="178"/>
      <c r="UDZ557" s="178"/>
      <c r="UEA557" s="178"/>
      <c r="UEB557" s="178"/>
      <c r="UEC557" s="178"/>
      <c r="UED557" s="178"/>
      <c r="UEE557" s="178"/>
      <c r="UEF557" s="178"/>
      <c r="UEG557" s="178"/>
      <c r="UEH557" s="178"/>
      <c r="UEI557" s="178"/>
      <c r="UEJ557" s="178"/>
      <c r="UEK557" s="178"/>
      <c r="UEL557" s="178"/>
      <c r="UEM557" s="178"/>
      <c r="UEN557" s="178"/>
      <c r="UEO557" s="178"/>
      <c r="UEP557" s="178"/>
      <c r="UEQ557" s="178"/>
      <c r="UER557" s="178"/>
      <c r="UES557" s="178"/>
      <c r="UET557" s="178"/>
      <c r="UEU557" s="178"/>
      <c r="UEV557" s="178"/>
      <c r="UEW557" s="178"/>
      <c r="UEX557" s="178"/>
      <c r="UEY557" s="178"/>
      <c r="UEZ557" s="178"/>
      <c r="UFA557" s="178"/>
      <c r="UFB557" s="178"/>
      <c r="UFC557" s="178"/>
      <c r="UFD557" s="178"/>
      <c r="UFE557" s="178"/>
      <c r="UFF557" s="178"/>
      <c r="UFG557" s="178"/>
      <c r="UFH557" s="178"/>
      <c r="UFI557" s="178"/>
      <c r="UFJ557" s="178"/>
      <c r="UFK557" s="178"/>
      <c r="UFL557" s="178"/>
      <c r="UFM557" s="178"/>
      <c r="UFN557" s="178"/>
      <c r="UFO557" s="178"/>
      <c r="UFP557" s="178"/>
      <c r="UFQ557" s="178"/>
      <c r="UFR557" s="178"/>
      <c r="UFS557" s="178"/>
      <c r="UFT557" s="178"/>
      <c r="UFU557" s="178"/>
      <c r="UFV557" s="178"/>
      <c r="UFW557" s="178"/>
      <c r="UFX557" s="178"/>
      <c r="UFY557" s="178"/>
      <c r="UFZ557" s="178"/>
      <c r="UGA557" s="178"/>
      <c r="UGB557" s="178"/>
      <c r="UGC557" s="178"/>
      <c r="UGD557" s="178"/>
      <c r="UGE557" s="178"/>
      <c r="UGF557" s="178"/>
      <c r="UGG557" s="178"/>
      <c r="UGH557" s="178"/>
      <c r="UGI557" s="178"/>
      <c r="UGJ557" s="178"/>
      <c r="UGK557" s="178"/>
      <c r="UGL557" s="178"/>
      <c r="UGM557" s="178"/>
      <c r="UGN557" s="178"/>
      <c r="UGO557" s="178"/>
      <c r="UGP557" s="178"/>
      <c r="UGQ557" s="178"/>
      <c r="UGR557" s="178"/>
      <c r="UGS557" s="178"/>
      <c r="UGT557" s="178"/>
      <c r="UGU557" s="178"/>
      <c r="UGV557" s="178"/>
      <c r="UGW557" s="178"/>
      <c r="UGX557" s="178"/>
      <c r="UGY557" s="178"/>
      <c r="UGZ557" s="178"/>
      <c r="UHA557" s="178"/>
      <c r="UHB557" s="178"/>
      <c r="UHC557" s="178"/>
      <c r="UHD557" s="178"/>
      <c r="UHE557" s="178"/>
      <c r="UHF557" s="178"/>
      <c r="UHG557" s="178"/>
      <c r="UHH557" s="178"/>
      <c r="UHI557" s="178"/>
      <c r="UHJ557" s="178"/>
      <c r="UHK557" s="178"/>
      <c r="UHL557" s="178"/>
      <c r="UHM557" s="178"/>
      <c r="UHN557" s="178"/>
      <c r="UHO557" s="178"/>
      <c r="UHP557" s="178"/>
      <c r="UHQ557" s="178"/>
      <c r="UHR557" s="178"/>
      <c r="UHS557" s="178"/>
      <c r="UHT557" s="178"/>
      <c r="UHU557" s="178"/>
      <c r="UHV557" s="178"/>
      <c r="UHW557" s="178"/>
      <c r="UHX557" s="178"/>
      <c r="UHY557" s="178"/>
      <c r="UHZ557" s="178"/>
      <c r="UIA557" s="178"/>
      <c r="UIB557" s="178"/>
      <c r="UIC557" s="178"/>
      <c r="UID557" s="178"/>
      <c r="UIE557" s="178"/>
      <c r="UIF557" s="178"/>
      <c r="UIG557" s="178"/>
      <c r="UIH557" s="178"/>
      <c r="UII557" s="178"/>
      <c r="UIJ557" s="178"/>
      <c r="UIK557" s="178"/>
      <c r="UIL557" s="178"/>
      <c r="UIM557" s="178"/>
      <c r="UIN557" s="178"/>
      <c r="UIO557" s="178"/>
      <c r="UIP557" s="178"/>
      <c r="UIQ557" s="178"/>
      <c r="UIR557" s="178"/>
      <c r="UIS557" s="178"/>
      <c r="UIT557" s="178"/>
      <c r="UIU557" s="178"/>
      <c r="UIV557" s="178"/>
      <c r="UIW557" s="178"/>
      <c r="UIX557" s="178"/>
      <c r="UIY557" s="178"/>
      <c r="UIZ557" s="178"/>
      <c r="UJA557" s="178"/>
      <c r="UJB557" s="178"/>
      <c r="UJC557" s="178"/>
      <c r="UJD557" s="178"/>
      <c r="UJE557" s="178"/>
      <c r="UJF557" s="178"/>
      <c r="UJG557" s="178"/>
      <c r="UJH557" s="178"/>
      <c r="UJI557" s="178"/>
      <c r="UJJ557" s="178"/>
      <c r="UJK557" s="178"/>
      <c r="UJL557" s="178"/>
      <c r="UJM557" s="178"/>
      <c r="UJN557" s="178"/>
      <c r="UJO557" s="178"/>
      <c r="UJP557" s="178"/>
      <c r="UJQ557" s="178"/>
      <c r="UJR557" s="178"/>
      <c r="UJS557" s="178"/>
      <c r="UJT557" s="178"/>
      <c r="UJU557" s="178"/>
      <c r="UJV557" s="178"/>
      <c r="UJW557" s="178"/>
      <c r="UJX557" s="178"/>
      <c r="UJY557" s="178"/>
      <c r="UJZ557" s="178"/>
      <c r="UKA557" s="178"/>
      <c r="UKB557" s="178"/>
      <c r="UKC557" s="178"/>
      <c r="UKD557" s="178"/>
      <c r="UKE557" s="178"/>
      <c r="UKF557" s="178"/>
      <c r="UKG557" s="178"/>
      <c r="UKH557" s="178"/>
      <c r="UKI557" s="178"/>
      <c r="UKJ557" s="178"/>
      <c r="UKK557" s="178"/>
      <c r="UKL557" s="178"/>
      <c r="UKM557" s="178"/>
      <c r="UKN557" s="178"/>
      <c r="UKO557" s="178"/>
      <c r="UKP557" s="178"/>
      <c r="UKQ557" s="178"/>
      <c r="UKR557" s="178"/>
      <c r="UKS557" s="178"/>
      <c r="UKT557" s="178"/>
      <c r="UKU557" s="178"/>
      <c r="UKV557" s="178"/>
      <c r="UKW557" s="178"/>
      <c r="UKX557" s="178"/>
      <c r="UKY557" s="178"/>
      <c r="UKZ557" s="178"/>
      <c r="ULA557" s="178"/>
      <c r="ULB557" s="178"/>
      <c r="ULC557" s="178"/>
      <c r="ULD557" s="178"/>
      <c r="ULE557" s="178"/>
      <c r="ULF557" s="178"/>
      <c r="ULG557" s="178"/>
      <c r="ULH557" s="178"/>
      <c r="ULI557" s="178"/>
      <c r="ULJ557" s="178"/>
      <c r="ULK557" s="178"/>
      <c r="ULL557" s="178"/>
      <c r="ULM557" s="178"/>
      <c r="ULN557" s="178"/>
      <c r="ULO557" s="178"/>
      <c r="ULP557" s="178"/>
      <c r="ULQ557" s="178"/>
      <c r="ULR557" s="178"/>
      <c r="ULS557" s="178"/>
      <c r="ULT557" s="178"/>
      <c r="ULU557" s="178"/>
      <c r="ULV557" s="178"/>
      <c r="ULW557" s="178"/>
      <c r="ULX557" s="178"/>
      <c r="ULY557" s="178"/>
      <c r="ULZ557" s="178"/>
      <c r="UMA557" s="178"/>
      <c r="UMB557" s="178"/>
      <c r="UMC557" s="178"/>
      <c r="UMD557" s="178"/>
      <c r="UME557" s="178"/>
      <c r="UMF557" s="178"/>
      <c r="UMG557" s="178"/>
      <c r="UMH557" s="178"/>
      <c r="UMI557" s="178"/>
      <c r="UMJ557" s="178"/>
      <c r="UMK557" s="178"/>
      <c r="UML557" s="178"/>
      <c r="UMM557" s="178"/>
      <c r="UMN557" s="178"/>
      <c r="UMO557" s="178"/>
      <c r="UMP557" s="178"/>
      <c r="UMQ557" s="178"/>
      <c r="UMR557" s="178"/>
      <c r="UMS557" s="178"/>
      <c r="UMT557" s="178"/>
      <c r="UMU557" s="178"/>
      <c r="UMV557" s="178"/>
      <c r="UMW557" s="178"/>
      <c r="UMX557" s="178"/>
      <c r="UMY557" s="178"/>
      <c r="UMZ557" s="178"/>
      <c r="UNA557" s="178"/>
      <c r="UNB557" s="178"/>
      <c r="UNC557" s="178"/>
      <c r="UND557" s="178"/>
      <c r="UNE557" s="178"/>
      <c r="UNF557" s="178"/>
      <c r="UNG557" s="178"/>
      <c r="UNH557" s="178"/>
      <c r="UNI557" s="178"/>
      <c r="UNJ557" s="178"/>
      <c r="UNK557" s="178"/>
      <c r="UNL557" s="178"/>
      <c r="UNM557" s="178"/>
      <c r="UNN557" s="178"/>
      <c r="UNO557" s="178"/>
      <c r="UNP557" s="178"/>
      <c r="UNQ557" s="178"/>
      <c r="UNR557" s="178"/>
      <c r="UNS557" s="178"/>
      <c r="UNT557" s="178"/>
      <c r="UNU557" s="178"/>
      <c r="UNV557" s="178"/>
      <c r="UNW557" s="178"/>
      <c r="UNX557" s="178"/>
      <c r="UNY557" s="178"/>
      <c r="UNZ557" s="178"/>
      <c r="UOA557" s="178"/>
      <c r="UOB557" s="178"/>
      <c r="UOC557" s="178"/>
      <c r="UOD557" s="178"/>
      <c r="UOE557" s="178"/>
      <c r="UOF557" s="178"/>
      <c r="UOG557" s="178"/>
      <c r="UOH557" s="178"/>
      <c r="UOI557" s="178"/>
      <c r="UOJ557" s="178"/>
      <c r="UOK557" s="178"/>
      <c r="UOL557" s="178"/>
      <c r="UOM557" s="178"/>
      <c r="UON557" s="178"/>
      <c r="UOO557" s="178"/>
      <c r="UOP557" s="178"/>
      <c r="UOQ557" s="178"/>
      <c r="UOR557" s="178"/>
      <c r="UOS557" s="178"/>
      <c r="UOT557" s="178"/>
      <c r="UOU557" s="178"/>
      <c r="UOV557" s="178"/>
      <c r="UOW557" s="178"/>
      <c r="UOX557" s="178"/>
      <c r="UOY557" s="178"/>
      <c r="UOZ557" s="178"/>
      <c r="UPA557" s="178"/>
      <c r="UPB557" s="178"/>
      <c r="UPC557" s="178"/>
      <c r="UPD557" s="178"/>
      <c r="UPE557" s="178"/>
      <c r="UPF557" s="178"/>
      <c r="UPG557" s="178"/>
      <c r="UPH557" s="178"/>
      <c r="UPI557" s="178"/>
      <c r="UPJ557" s="178"/>
      <c r="UPK557" s="178"/>
      <c r="UPL557" s="178"/>
      <c r="UPM557" s="178"/>
      <c r="UPN557" s="178"/>
      <c r="UPO557" s="178"/>
      <c r="UPP557" s="178"/>
      <c r="UPQ557" s="178"/>
      <c r="UPR557" s="178"/>
      <c r="UPS557" s="178"/>
      <c r="UPT557" s="178"/>
      <c r="UPU557" s="178"/>
      <c r="UPV557" s="178"/>
      <c r="UPW557" s="178"/>
      <c r="UPX557" s="178"/>
      <c r="UPY557" s="178"/>
      <c r="UPZ557" s="178"/>
      <c r="UQA557" s="178"/>
      <c r="UQB557" s="178"/>
      <c r="UQC557" s="178"/>
      <c r="UQD557" s="178"/>
      <c r="UQE557" s="178"/>
      <c r="UQF557" s="178"/>
      <c r="UQG557" s="178"/>
      <c r="UQH557" s="178"/>
      <c r="UQI557" s="178"/>
      <c r="UQJ557" s="178"/>
      <c r="UQK557" s="178"/>
      <c r="UQL557" s="178"/>
      <c r="UQM557" s="178"/>
      <c r="UQN557" s="178"/>
      <c r="UQO557" s="178"/>
      <c r="UQP557" s="178"/>
      <c r="UQQ557" s="178"/>
      <c r="UQR557" s="178"/>
      <c r="UQS557" s="178"/>
      <c r="UQT557" s="178"/>
      <c r="UQU557" s="178"/>
      <c r="UQV557" s="178"/>
      <c r="UQW557" s="178"/>
      <c r="UQX557" s="178"/>
      <c r="UQY557" s="178"/>
      <c r="UQZ557" s="178"/>
      <c r="URA557" s="178"/>
      <c r="URB557" s="178"/>
      <c r="URC557" s="178"/>
      <c r="URD557" s="178"/>
      <c r="URE557" s="178"/>
      <c r="URF557" s="178"/>
      <c r="URG557" s="178"/>
      <c r="URH557" s="178"/>
      <c r="URI557" s="178"/>
      <c r="URJ557" s="178"/>
      <c r="URK557" s="178"/>
      <c r="URL557" s="178"/>
      <c r="URM557" s="178"/>
      <c r="URN557" s="178"/>
      <c r="URO557" s="178"/>
      <c r="URP557" s="178"/>
      <c r="URQ557" s="178"/>
      <c r="URR557" s="178"/>
      <c r="URS557" s="178"/>
      <c r="URT557" s="178"/>
      <c r="URU557" s="178"/>
      <c r="URV557" s="178"/>
      <c r="URW557" s="178"/>
      <c r="URX557" s="178"/>
      <c r="URY557" s="178"/>
      <c r="URZ557" s="178"/>
      <c r="USA557" s="178"/>
      <c r="USB557" s="178"/>
      <c r="USC557" s="178"/>
      <c r="USD557" s="178"/>
      <c r="USE557" s="178"/>
      <c r="USF557" s="178"/>
      <c r="USG557" s="178"/>
      <c r="USH557" s="178"/>
      <c r="USI557" s="178"/>
      <c r="USJ557" s="178"/>
      <c r="USK557" s="178"/>
      <c r="USL557" s="178"/>
      <c r="USM557" s="178"/>
      <c r="USN557" s="178"/>
      <c r="USO557" s="178"/>
      <c r="USP557" s="178"/>
      <c r="USQ557" s="178"/>
      <c r="USR557" s="178"/>
      <c r="USS557" s="178"/>
      <c r="UST557" s="178"/>
      <c r="USU557" s="178"/>
      <c r="USV557" s="178"/>
      <c r="USW557" s="178"/>
      <c r="USX557" s="178"/>
      <c r="USY557" s="178"/>
      <c r="USZ557" s="178"/>
      <c r="UTA557" s="178"/>
      <c r="UTB557" s="178"/>
      <c r="UTC557" s="178"/>
      <c r="UTD557" s="178"/>
      <c r="UTE557" s="178"/>
      <c r="UTF557" s="178"/>
      <c r="UTG557" s="178"/>
      <c r="UTH557" s="178"/>
      <c r="UTI557" s="178"/>
      <c r="UTJ557" s="178"/>
      <c r="UTK557" s="178"/>
      <c r="UTL557" s="178"/>
      <c r="UTM557" s="178"/>
      <c r="UTN557" s="178"/>
      <c r="UTO557" s="178"/>
      <c r="UTP557" s="178"/>
      <c r="UTQ557" s="178"/>
      <c r="UTR557" s="178"/>
      <c r="UTS557" s="178"/>
      <c r="UTT557" s="178"/>
      <c r="UTU557" s="178"/>
      <c r="UTV557" s="178"/>
      <c r="UTW557" s="178"/>
      <c r="UTX557" s="178"/>
      <c r="UTY557" s="178"/>
      <c r="UTZ557" s="178"/>
      <c r="UUA557" s="178"/>
      <c r="UUB557" s="178"/>
      <c r="UUC557" s="178"/>
      <c r="UUD557" s="178"/>
      <c r="UUE557" s="178"/>
      <c r="UUF557" s="178"/>
      <c r="UUG557" s="178"/>
      <c r="UUH557" s="178"/>
      <c r="UUI557" s="178"/>
      <c r="UUJ557" s="178"/>
      <c r="UUK557" s="178"/>
      <c r="UUL557" s="178"/>
      <c r="UUM557" s="178"/>
      <c r="UUN557" s="178"/>
      <c r="UUO557" s="178"/>
      <c r="UUP557" s="178"/>
      <c r="UUQ557" s="178"/>
      <c r="UUR557" s="178"/>
      <c r="UUS557" s="178"/>
      <c r="UUT557" s="178"/>
      <c r="UUU557" s="178"/>
      <c r="UUV557" s="178"/>
      <c r="UUW557" s="178"/>
      <c r="UUX557" s="178"/>
      <c r="UUY557" s="178"/>
      <c r="UUZ557" s="178"/>
      <c r="UVA557" s="178"/>
      <c r="UVB557" s="178"/>
      <c r="UVC557" s="178"/>
      <c r="UVD557" s="178"/>
      <c r="UVE557" s="178"/>
      <c r="UVF557" s="178"/>
      <c r="UVG557" s="178"/>
      <c r="UVH557" s="178"/>
      <c r="UVI557" s="178"/>
      <c r="UVJ557" s="178"/>
      <c r="UVK557" s="178"/>
      <c r="UVL557" s="178"/>
      <c r="UVM557" s="178"/>
      <c r="UVN557" s="178"/>
      <c r="UVO557" s="178"/>
      <c r="UVP557" s="178"/>
      <c r="UVQ557" s="178"/>
      <c r="UVR557" s="178"/>
      <c r="UVS557" s="178"/>
      <c r="UVT557" s="178"/>
      <c r="UVU557" s="178"/>
      <c r="UVV557" s="178"/>
      <c r="UVW557" s="178"/>
      <c r="UVX557" s="178"/>
      <c r="UVY557" s="178"/>
      <c r="UVZ557" s="178"/>
      <c r="UWA557" s="178"/>
      <c r="UWB557" s="178"/>
      <c r="UWC557" s="178"/>
      <c r="UWD557" s="178"/>
      <c r="UWE557" s="178"/>
      <c r="UWF557" s="178"/>
      <c r="UWG557" s="178"/>
      <c r="UWH557" s="178"/>
      <c r="UWI557" s="178"/>
      <c r="UWJ557" s="178"/>
      <c r="UWK557" s="178"/>
      <c r="UWL557" s="178"/>
      <c r="UWM557" s="178"/>
      <c r="UWN557" s="178"/>
      <c r="UWO557" s="178"/>
      <c r="UWP557" s="178"/>
      <c r="UWQ557" s="178"/>
      <c r="UWR557" s="178"/>
      <c r="UWS557" s="178"/>
      <c r="UWT557" s="178"/>
      <c r="UWU557" s="178"/>
      <c r="UWV557" s="178"/>
      <c r="UWW557" s="178"/>
      <c r="UWX557" s="178"/>
      <c r="UWY557" s="178"/>
      <c r="UWZ557" s="178"/>
      <c r="UXA557" s="178"/>
      <c r="UXB557" s="178"/>
      <c r="UXC557" s="178"/>
      <c r="UXD557" s="178"/>
      <c r="UXE557" s="178"/>
      <c r="UXF557" s="178"/>
      <c r="UXG557" s="178"/>
      <c r="UXH557" s="178"/>
      <c r="UXI557" s="178"/>
      <c r="UXJ557" s="178"/>
      <c r="UXK557" s="178"/>
      <c r="UXL557" s="178"/>
      <c r="UXM557" s="178"/>
      <c r="UXN557" s="178"/>
      <c r="UXO557" s="178"/>
      <c r="UXP557" s="178"/>
      <c r="UXQ557" s="178"/>
      <c r="UXR557" s="178"/>
      <c r="UXS557" s="178"/>
      <c r="UXT557" s="178"/>
      <c r="UXU557" s="178"/>
      <c r="UXV557" s="178"/>
      <c r="UXW557" s="178"/>
      <c r="UXX557" s="178"/>
      <c r="UXY557" s="178"/>
      <c r="UXZ557" s="178"/>
      <c r="UYA557" s="178"/>
      <c r="UYB557" s="178"/>
      <c r="UYC557" s="178"/>
      <c r="UYD557" s="178"/>
      <c r="UYE557" s="178"/>
      <c r="UYF557" s="178"/>
      <c r="UYG557" s="178"/>
      <c r="UYH557" s="178"/>
      <c r="UYI557" s="178"/>
      <c r="UYJ557" s="178"/>
      <c r="UYK557" s="178"/>
      <c r="UYL557" s="178"/>
      <c r="UYM557" s="178"/>
      <c r="UYN557" s="178"/>
      <c r="UYO557" s="178"/>
      <c r="UYP557" s="178"/>
      <c r="UYQ557" s="178"/>
      <c r="UYR557" s="178"/>
      <c r="UYS557" s="178"/>
      <c r="UYT557" s="178"/>
      <c r="UYU557" s="178"/>
      <c r="UYV557" s="178"/>
      <c r="UYW557" s="178"/>
      <c r="UYX557" s="178"/>
      <c r="UYY557" s="178"/>
      <c r="UYZ557" s="178"/>
      <c r="UZA557" s="178"/>
      <c r="UZB557" s="178"/>
      <c r="UZC557" s="178"/>
      <c r="UZD557" s="178"/>
      <c r="UZE557" s="178"/>
      <c r="UZF557" s="178"/>
      <c r="UZG557" s="178"/>
      <c r="UZH557" s="178"/>
      <c r="UZI557" s="178"/>
      <c r="UZJ557" s="178"/>
      <c r="UZK557" s="178"/>
      <c r="UZL557" s="178"/>
      <c r="UZM557" s="178"/>
      <c r="UZN557" s="178"/>
      <c r="UZO557" s="178"/>
      <c r="UZP557" s="178"/>
      <c r="UZQ557" s="178"/>
      <c r="UZR557" s="178"/>
      <c r="UZS557" s="178"/>
      <c r="UZT557" s="178"/>
      <c r="UZU557" s="178"/>
      <c r="UZV557" s="178"/>
      <c r="UZW557" s="178"/>
      <c r="UZX557" s="178"/>
      <c r="UZY557" s="178"/>
      <c r="UZZ557" s="178"/>
      <c r="VAA557" s="178"/>
      <c r="VAB557" s="178"/>
      <c r="VAC557" s="178"/>
      <c r="VAD557" s="178"/>
      <c r="VAE557" s="178"/>
      <c r="VAF557" s="178"/>
      <c r="VAG557" s="178"/>
      <c r="VAH557" s="178"/>
      <c r="VAI557" s="178"/>
      <c r="VAJ557" s="178"/>
      <c r="VAK557" s="178"/>
      <c r="VAL557" s="178"/>
      <c r="VAM557" s="178"/>
      <c r="VAN557" s="178"/>
      <c r="VAO557" s="178"/>
      <c r="VAP557" s="178"/>
      <c r="VAQ557" s="178"/>
      <c r="VAR557" s="178"/>
      <c r="VAS557" s="178"/>
      <c r="VAT557" s="178"/>
      <c r="VAU557" s="178"/>
      <c r="VAV557" s="178"/>
      <c r="VAW557" s="178"/>
      <c r="VAX557" s="178"/>
      <c r="VAY557" s="178"/>
      <c r="VAZ557" s="178"/>
      <c r="VBA557" s="178"/>
      <c r="VBB557" s="178"/>
      <c r="VBC557" s="178"/>
      <c r="VBD557" s="178"/>
      <c r="VBE557" s="178"/>
      <c r="VBF557" s="178"/>
      <c r="VBG557" s="178"/>
      <c r="VBH557" s="178"/>
      <c r="VBI557" s="178"/>
      <c r="VBJ557" s="178"/>
      <c r="VBK557" s="178"/>
      <c r="VBL557" s="178"/>
      <c r="VBM557" s="178"/>
      <c r="VBN557" s="178"/>
      <c r="VBO557" s="178"/>
      <c r="VBP557" s="178"/>
      <c r="VBQ557" s="178"/>
      <c r="VBR557" s="178"/>
      <c r="VBS557" s="178"/>
      <c r="VBT557" s="178"/>
      <c r="VBU557" s="178"/>
      <c r="VBV557" s="178"/>
      <c r="VBW557" s="178"/>
      <c r="VBX557" s="178"/>
      <c r="VBY557" s="178"/>
      <c r="VBZ557" s="178"/>
      <c r="VCA557" s="178"/>
      <c r="VCB557" s="178"/>
      <c r="VCC557" s="178"/>
      <c r="VCD557" s="178"/>
      <c r="VCE557" s="178"/>
      <c r="VCF557" s="178"/>
      <c r="VCG557" s="178"/>
      <c r="VCH557" s="178"/>
      <c r="VCI557" s="178"/>
      <c r="VCJ557" s="178"/>
      <c r="VCK557" s="178"/>
      <c r="VCL557" s="178"/>
      <c r="VCM557" s="178"/>
      <c r="VCN557" s="178"/>
      <c r="VCO557" s="178"/>
      <c r="VCP557" s="178"/>
      <c r="VCQ557" s="178"/>
      <c r="VCR557" s="178"/>
      <c r="VCS557" s="178"/>
      <c r="VCT557" s="178"/>
      <c r="VCU557" s="178"/>
      <c r="VCV557" s="178"/>
      <c r="VCW557" s="178"/>
      <c r="VCX557" s="178"/>
      <c r="VCY557" s="178"/>
      <c r="VCZ557" s="178"/>
      <c r="VDA557" s="178"/>
      <c r="VDB557" s="178"/>
      <c r="VDC557" s="178"/>
      <c r="VDD557" s="178"/>
      <c r="VDE557" s="178"/>
      <c r="VDF557" s="178"/>
      <c r="VDG557" s="178"/>
      <c r="VDH557" s="178"/>
      <c r="VDI557" s="178"/>
      <c r="VDJ557" s="178"/>
      <c r="VDK557" s="178"/>
      <c r="VDL557" s="178"/>
      <c r="VDM557" s="178"/>
      <c r="VDN557" s="178"/>
      <c r="VDO557" s="178"/>
      <c r="VDP557" s="178"/>
      <c r="VDQ557" s="178"/>
      <c r="VDR557" s="178"/>
      <c r="VDS557" s="178"/>
      <c r="VDT557" s="178"/>
      <c r="VDU557" s="178"/>
      <c r="VDV557" s="178"/>
      <c r="VDW557" s="178"/>
      <c r="VDX557" s="178"/>
      <c r="VDY557" s="178"/>
      <c r="VDZ557" s="178"/>
      <c r="VEA557" s="178"/>
      <c r="VEB557" s="178"/>
      <c r="VEC557" s="178"/>
      <c r="VED557" s="178"/>
      <c r="VEE557" s="178"/>
      <c r="VEF557" s="178"/>
      <c r="VEG557" s="178"/>
      <c r="VEH557" s="178"/>
      <c r="VEI557" s="178"/>
      <c r="VEJ557" s="178"/>
      <c r="VEK557" s="178"/>
      <c r="VEL557" s="178"/>
      <c r="VEM557" s="178"/>
      <c r="VEN557" s="178"/>
      <c r="VEO557" s="178"/>
      <c r="VEP557" s="178"/>
      <c r="VEQ557" s="178"/>
      <c r="VER557" s="178"/>
      <c r="VES557" s="178"/>
      <c r="VET557" s="178"/>
      <c r="VEU557" s="178"/>
      <c r="VEV557" s="178"/>
      <c r="VEW557" s="178"/>
      <c r="VEX557" s="178"/>
      <c r="VEY557" s="178"/>
      <c r="VEZ557" s="178"/>
      <c r="VFA557" s="178"/>
      <c r="VFB557" s="178"/>
      <c r="VFC557" s="178"/>
      <c r="VFD557" s="178"/>
      <c r="VFE557" s="178"/>
      <c r="VFF557" s="178"/>
      <c r="VFG557" s="178"/>
      <c r="VFH557" s="178"/>
      <c r="VFI557" s="178"/>
      <c r="VFJ557" s="178"/>
      <c r="VFK557" s="178"/>
      <c r="VFL557" s="178"/>
      <c r="VFM557" s="178"/>
      <c r="VFN557" s="178"/>
      <c r="VFO557" s="178"/>
      <c r="VFP557" s="178"/>
      <c r="VFQ557" s="178"/>
      <c r="VFR557" s="178"/>
      <c r="VFS557" s="178"/>
      <c r="VFT557" s="178"/>
      <c r="VFU557" s="178"/>
      <c r="VFV557" s="178"/>
      <c r="VFW557" s="178"/>
      <c r="VFX557" s="178"/>
      <c r="VFY557" s="178"/>
      <c r="VFZ557" s="178"/>
      <c r="VGA557" s="178"/>
      <c r="VGB557" s="178"/>
      <c r="VGC557" s="178"/>
      <c r="VGD557" s="178"/>
      <c r="VGE557" s="178"/>
      <c r="VGF557" s="178"/>
      <c r="VGG557" s="178"/>
      <c r="VGH557" s="178"/>
      <c r="VGI557" s="178"/>
      <c r="VGJ557" s="178"/>
      <c r="VGK557" s="178"/>
      <c r="VGL557" s="178"/>
      <c r="VGM557" s="178"/>
      <c r="VGN557" s="178"/>
      <c r="VGO557" s="178"/>
      <c r="VGP557" s="178"/>
      <c r="VGQ557" s="178"/>
      <c r="VGR557" s="178"/>
      <c r="VGS557" s="178"/>
      <c r="VGT557" s="178"/>
      <c r="VGU557" s="178"/>
      <c r="VGV557" s="178"/>
      <c r="VGW557" s="178"/>
      <c r="VGX557" s="178"/>
      <c r="VGY557" s="178"/>
      <c r="VGZ557" s="178"/>
      <c r="VHA557" s="178"/>
      <c r="VHB557" s="178"/>
      <c r="VHC557" s="178"/>
      <c r="VHD557" s="178"/>
      <c r="VHE557" s="178"/>
      <c r="VHF557" s="178"/>
      <c r="VHG557" s="178"/>
      <c r="VHH557" s="178"/>
      <c r="VHI557" s="178"/>
      <c r="VHJ557" s="178"/>
      <c r="VHK557" s="178"/>
      <c r="VHL557" s="178"/>
      <c r="VHM557" s="178"/>
      <c r="VHN557" s="178"/>
      <c r="VHO557" s="178"/>
      <c r="VHP557" s="178"/>
      <c r="VHQ557" s="178"/>
      <c r="VHR557" s="178"/>
      <c r="VHS557" s="178"/>
      <c r="VHT557" s="178"/>
      <c r="VHU557" s="178"/>
      <c r="VHV557" s="178"/>
      <c r="VHW557" s="178"/>
      <c r="VHX557" s="178"/>
      <c r="VHY557" s="178"/>
      <c r="VHZ557" s="178"/>
      <c r="VIA557" s="178"/>
      <c r="VIB557" s="178"/>
      <c r="VIC557" s="178"/>
      <c r="VID557" s="178"/>
      <c r="VIE557" s="178"/>
      <c r="VIF557" s="178"/>
      <c r="VIG557" s="178"/>
      <c r="VIH557" s="178"/>
      <c r="VII557" s="178"/>
      <c r="VIJ557" s="178"/>
      <c r="VIK557" s="178"/>
      <c r="VIL557" s="178"/>
      <c r="VIM557" s="178"/>
      <c r="VIN557" s="178"/>
      <c r="VIO557" s="178"/>
      <c r="VIP557" s="178"/>
      <c r="VIQ557" s="178"/>
      <c r="VIR557" s="178"/>
      <c r="VIS557" s="178"/>
      <c r="VIT557" s="178"/>
      <c r="VIU557" s="178"/>
      <c r="VIV557" s="178"/>
      <c r="VIW557" s="178"/>
      <c r="VIX557" s="178"/>
      <c r="VIY557" s="178"/>
      <c r="VIZ557" s="178"/>
      <c r="VJA557" s="178"/>
      <c r="VJB557" s="178"/>
      <c r="VJC557" s="178"/>
      <c r="VJD557" s="178"/>
      <c r="VJE557" s="178"/>
      <c r="VJF557" s="178"/>
      <c r="VJG557" s="178"/>
      <c r="VJH557" s="178"/>
      <c r="VJI557" s="178"/>
      <c r="VJJ557" s="178"/>
      <c r="VJK557" s="178"/>
      <c r="VJL557" s="178"/>
      <c r="VJM557" s="178"/>
      <c r="VJN557" s="178"/>
      <c r="VJO557" s="178"/>
      <c r="VJP557" s="178"/>
      <c r="VJQ557" s="178"/>
      <c r="VJR557" s="178"/>
      <c r="VJS557" s="178"/>
      <c r="VJT557" s="178"/>
      <c r="VJU557" s="178"/>
      <c r="VJV557" s="178"/>
      <c r="VJW557" s="178"/>
      <c r="VJX557" s="178"/>
      <c r="VJY557" s="178"/>
      <c r="VJZ557" s="178"/>
      <c r="VKA557" s="178"/>
      <c r="VKB557" s="178"/>
      <c r="VKC557" s="178"/>
      <c r="VKD557" s="178"/>
      <c r="VKE557" s="178"/>
      <c r="VKF557" s="178"/>
      <c r="VKG557" s="178"/>
      <c r="VKH557" s="178"/>
      <c r="VKI557" s="178"/>
      <c r="VKJ557" s="178"/>
      <c r="VKK557" s="178"/>
      <c r="VKL557" s="178"/>
      <c r="VKM557" s="178"/>
      <c r="VKN557" s="178"/>
      <c r="VKO557" s="178"/>
      <c r="VKP557" s="178"/>
      <c r="VKQ557" s="178"/>
      <c r="VKR557" s="178"/>
      <c r="VKS557" s="178"/>
      <c r="VKT557" s="178"/>
      <c r="VKU557" s="178"/>
      <c r="VKV557" s="178"/>
      <c r="VKW557" s="178"/>
      <c r="VKX557" s="178"/>
      <c r="VKY557" s="178"/>
      <c r="VKZ557" s="178"/>
      <c r="VLA557" s="178"/>
      <c r="VLB557" s="178"/>
      <c r="VLC557" s="178"/>
      <c r="VLD557" s="178"/>
      <c r="VLE557" s="178"/>
      <c r="VLF557" s="178"/>
      <c r="VLG557" s="178"/>
      <c r="VLH557" s="178"/>
      <c r="VLI557" s="178"/>
      <c r="VLJ557" s="178"/>
      <c r="VLK557" s="178"/>
      <c r="VLL557" s="178"/>
      <c r="VLM557" s="178"/>
      <c r="VLN557" s="178"/>
      <c r="VLO557" s="178"/>
      <c r="VLP557" s="178"/>
      <c r="VLQ557" s="178"/>
      <c r="VLR557" s="178"/>
      <c r="VLS557" s="178"/>
      <c r="VLT557" s="178"/>
      <c r="VLU557" s="178"/>
      <c r="VLV557" s="178"/>
      <c r="VLW557" s="178"/>
      <c r="VLX557" s="178"/>
      <c r="VLY557" s="178"/>
      <c r="VLZ557" s="178"/>
      <c r="VMA557" s="178"/>
      <c r="VMB557" s="178"/>
      <c r="VMC557" s="178"/>
      <c r="VMD557" s="178"/>
      <c r="VME557" s="178"/>
      <c r="VMF557" s="178"/>
      <c r="VMG557" s="178"/>
      <c r="VMH557" s="178"/>
      <c r="VMI557" s="178"/>
      <c r="VMJ557" s="178"/>
      <c r="VMK557" s="178"/>
      <c r="VML557" s="178"/>
      <c r="VMM557" s="178"/>
      <c r="VMN557" s="178"/>
      <c r="VMO557" s="178"/>
      <c r="VMP557" s="178"/>
      <c r="VMQ557" s="178"/>
      <c r="VMR557" s="178"/>
      <c r="VMS557" s="178"/>
      <c r="VMT557" s="178"/>
      <c r="VMU557" s="178"/>
      <c r="VMV557" s="178"/>
      <c r="VMW557" s="178"/>
      <c r="VMX557" s="178"/>
      <c r="VMY557" s="178"/>
      <c r="VMZ557" s="178"/>
      <c r="VNA557" s="178"/>
      <c r="VNB557" s="178"/>
      <c r="VNC557" s="178"/>
      <c r="VND557" s="178"/>
      <c r="VNE557" s="178"/>
      <c r="VNF557" s="178"/>
      <c r="VNG557" s="178"/>
      <c r="VNH557" s="178"/>
      <c r="VNI557" s="178"/>
      <c r="VNJ557" s="178"/>
      <c r="VNK557" s="178"/>
      <c r="VNL557" s="178"/>
      <c r="VNM557" s="178"/>
      <c r="VNN557" s="178"/>
      <c r="VNO557" s="178"/>
      <c r="VNP557" s="178"/>
      <c r="VNQ557" s="178"/>
      <c r="VNR557" s="178"/>
      <c r="VNS557" s="178"/>
      <c r="VNT557" s="178"/>
      <c r="VNU557" s="178"/>
      <c r="VNV557" s="178"/>
      <c r="VNW557" s="178"/>
      <c r="VNX557" s="178"/>
      <c r="VNY557" s="178"/>
      <c r="VNZ557" s="178"/>
      <c r="VOA557" s="178"/>
      <c r="VOB557" s="178"/>
      <c r="VOC557" s="178"/>
      <c r="VOD557" s="178"/>
      <c r="VOE557" s="178"/>
      <c r="VOF557" s="178"/>
      <c r="VOG557" s="178"/>
      <c r="VOH557" s="178"/>
      <c r="VOI557" s="178"/>
      <c r="VOJ557" s="178"/>
      <c r="VOK557" s="178"/>
      <c r="VOL557" s="178"/>
      <c r="VOM557" s="178"/>
      <c r="VON557" s="178"/>
      <c r="VOO557" s="178"/>
      <c r="VOP557" s="178"/>
      <c r="VOQ557" s="178"/>
      <c r="VOR557" s="178"/>
      <c r="VOS557" s="178"/>
      <c r="VOT557" s="178"/>
      <c r="VOU557" s="178"/>
      <c r="VOV557" s="178"/>
      <c r="VOW557" s="178"/>
      <c r="VOX557" s="178"/>
      <c r="VOY557" s="178"/>
      <c r="VOZ557" s="178"/>
      <c r="VPA557" s="178"/>
      <c r="VPB557" s="178"/>
      <c r="VPC557" s="178"/>
      <c r="VPD557" s="178"/>
      <c r="VPE557" s="178"/>
      <c r="VPF557" s="178"/>
      <c r="VPG557" s="178"/>
      <c r="VPH557" s="178"/>
      <c r="VPI557" s="178"/>
      <c r="VPJ557" s="178"/>
      <c r="VPK557" s="178"/>
      <c r="VPL557" s="178"/>
      <c r="VPM557" s="178"/>
      <c r="VPN557" s="178"/>
      <c r="VPO557" s="178"/>
      <c r="VPP557" s="178"/>
      <c r="VPQ557" s="178"/>
      <c r="VPR557" s="178"/>
      <c r="VPS557" s="178"/>
      <c r="VPT557" s="178"/>
      <c r="VPU557" s="178"/>
      <c r="VPV557" s="178"/>
      <c r="VPW557" s="178"/>
      <c r="VPX557" s="178"/>
      <c r="VPY557" s="178"/>
      <c r="VPZ557" s="178"/>
      <c r="VQA557" s="178"/>
      <c r="VQB557" s="178"/>
      <c r="VQC557" s="178"/>
      <c r="VQD557" s="178"/>
      <c r="VQE557" s="178"/>
      <c r="VQF557" s="178"/>
      <c r="VQG557" s="178"/>
      <c r="VQH557" s="178"/>
      <c r="VQI557" s="178"/>
      <c r="VQJ557" s="178"/>
      <c r="VQK557" s="178"/>
      <c r="VQL557" s="178"/>
      <c r="VQM557" s="178"/>
      <c r="VQN557" s="178"/>
      <c r="VQO557" s="178"/>
      <c r="VQP557" s="178"/>
      <c r="VQQ557" s="178"/>
      <c r="VQR557" s="178"/>
      <c r="VQS557" s="178"/>
      <c r="VQT557" s="178"/>
      <c r="VQU557" s="178"/>
      <c r="VQV557" s="178"/>
      <c r="VQW557" s="178"/>
      <c r="VQX557" s="178"/>
      <c r="VQY557" s="178"/>
      <c r="VQZ557" s="178"/>
      <c r="VRA557" s="178"/>
      <c r="VRB557" s="178"/>
      <c r="VRC557" s="178"/>
      <c r="VRD557" s="178"/>
      <c r="VRE557" s="178"/>
      <c r="VRF557" s="178"/>
      <c r="VRG557" s="178"/>
      <c r="VRH557" s="178"/>
      <c r="VRI557" s="178"/>
      <c r="VRJ557" s="178"/>
      <c r="VRK557" s="178"/>
      <c r="VRL557" s="178"/>
      <c r="VRM557" s="178"/>
      <c r="VRN557" s="178"/>
      <c r="VRO557" s="178"/>
      <c r="VRP557" s="178"/>
      <c r="VRQ557" s="178"/>
      <c r="VRR557" s="178"/>
      <c r="VRS557" s="178"/>
      <c r="VRT557" s="178"/>
      <c r="VRU557" s="178"/>
      <c r="VRV557" s="178"/>
      <c r="VRW557" s="178"/>
      <c r="VRX557" s="178"/>
      <c r="VRY557" s="178"/>
      <c r="VRZ557" s="178"/>
      <c r="VSA557" s="178"/>
      <c r="VSB557" s="178"/>
      <c r="VSC557" s="178"/>
      <c r="VSD557" s="178"/>
      <c r="VSE557" s="178"/>
      <c r="VSF557" s="178"/>
      <c r="VSG557" s="178"/>
      <c r="VSH557" s="178"/>
      <c r="VSI557" s="178"/>
      <c r="VSJ557" s="178"/>
      <c r="VSK557" s="178"/>
      <c r="VSL557" s="178"/>
      <c r="VSM557" s="178"/>
      <c r="VSN557" s="178"/>
      <c r="VSO557" s="178"/>
      <c r="VSP557" s="178"/>
      <c r="VSQ557" s="178"/>
      <c r="VSR557" s="178"/>
      <c r="VSS557" s="178"/>
      <c r="VST557" s="178"/>
      <c r="VSU557" s="178"/>
      <c r="VSV557" s="178"/>
      <c r="VSW557" s="178"/>
      <c r="VSX557" s="178"/>
      <c r="VSY557" s="178"/>
      <c r="VSZ557" s="178"/>
      <c r="VTA557" s="178"/>
      <c r="VTB557" s="178"/>
      <c r="VTC557" s="178"/>
      <c r="VTD557" s="178"/>
      <c r="VTE557" s="178"/>
      <c r="VTF557" s="178"/>
      <c r="VTG557" s="178"/>
      <c r="VTH557" s="178"/>
      <c r="VTI557" s="178"/>
      <c r="VTJ557" s="178"/>
      <c r="VTK557" s="178"/>
      <c r="VTL557" s="178"/>
      <c r="VTM557" s="178"/>
      <c r="VTN557" s="178"/>
      <c r="VTO557" s="178"/>
      <c r="VTP557" s="178"/>
      <c r="VTQ557" s="178"/>
      <c r="VTR557" s="178"/>
      <c r="VTS557" s="178"/>
      <c r="VTT557" s="178"/>
      <c r="VTU557" s="178"/>
      <c r="VTV557" s="178"/>
      <c r="VTW557" s="178"/>
      <c r="VTX557" s="178"/>
      <c r="VTY557" s="178"/>
      <c r="VTZ557" s="178"/>
      <c r="VUA557" s="178"/>
      <c r="VUB557" s="178"/>
      <c r="VUC557" s="178"/>
      <c r="VUD557" s="178"/>
      <c r="VUE557" s="178"/>
      <c r="VUF557" s="178"/>
      <c r="VUG557" s="178"/>
      <c r="VUH557" s="178"/>
      <c r="VUI557" s="178"/>
      <c r="VUJ557" s="178"/>
      <c r="VUK557" s="178"/>
      <c r="VUL557" s="178"/>
      <c r="VUM557" s="178"/>
      <c r="VUN557" s="178"/>
      <c r="VUO557" s="178"/>
      <c r="VUP557" s="178"/>
      <c r="VUQ557" s="178"/>
      <c r="VUR557" s="178"/>
      <c r="VUS557" s="178"/>
      <c r="VUT557" s="178"/>
      <c r="VUU557" s="178"/>
      <c r="VUV557" s="178"/>
      <c r="VUW557" s="178"/>
      <c r="VUX557" s="178"/>
      <c r="VUY557" s="178"/>
      <c r="VUZ557" s="178"/>
      <c r="VVA557" s="178"/>
      <c r="VVB557" s="178"/>
      <c r="VVC557" s="178"/>
      <c r="VVD557" s="178"/>
      <c r="VVE557" s="178"/>
      <c r="VVF557" s="178"/>
      <c r="VVG557" s="178"/>
      <c r="VVH557" s="178"/>
      <c r="VVI557" s="178"/>
      <c r="VVJ557" s="178"/>
      <c r="VVK557" s="178"/>
      <c r="VVL557" s="178"/>
      <c r="VVM557" s="178"/>
      <c r="VVN557" s="178"/>
      <c r="VVO557" s="178"/>
      <c r="VVP557" s="178"/>
      <c r="VVQ557" s="178"/>
      <c r="VVR557" s="178"/>
      <c r="VVS557" s="178"/>
      <c r="VVT557" s="178"/>
      <c r="VVU557" s="178"/>
      <c r="VVV557" s="178"/>
      <c r="VVW557" s="178"/>
      <c r="VVX557" s="178"/>
      <c r="VVY557" s="178"/>
      <c r="VVZ557" s="178"/>
      <c r="VWA557" s="178"/>
      <c r="VWB557" s="178"/>
      <c r="VWC557" s="178"/>
      <c r="VWD557" s="178"/>
      <c r="VWE557" s="178"/>
      <c r="VWF557" s="178"/>
      <c r="VWG557" s="178"/>
      <c r="VWH557" s="178"/>
      <c r="VWI557" s="178"/>
      <c r="VWJ557" s="178"/>
      <c r="VWK557" s="178"/>
      <c r="VWL557" s="178"/>
      <c r="VWM557" s="178"/>
      <c r="VWN557" s="178"/>
      <c r="VWO557" s="178"/>
      <c r="VWP557" s="178"/>
      <c r="VWQ557" s="178"/>
      <c r="VWR557" s="178"/>
      <c r="VWS557" s="178"/>
      <c r="VWT557" s="178"/>
      <c r="VWU557" s="178"/>
      <c r="VWV557" s="178"/>
      <c r="VWW557" s="178"/>
      <c r="VWX557" s="178"/>
      <c r="VWY557" s="178"/>
      <c r="VWZ557" s="178"/>
      <c r="VXA557" s="178"/>
      <c r="VXB557" s="178"/>
      <c r="VXC557" s="178"/>
      <c r="VXD557" s="178"/>
      <c r="VXE557" s="178"/>
      <c r="VXF557" s="178"/>
      <c r="VXG557" s="178"/>
      <c r="VXH557" s="178"/>
      <c r="VXI557" s="178"/>
      <c r="VXJ557" s="178"/>
      <c r="VXK557" s="178"/>
      <c r="VXL557" s="178"/>
      <c r="VXM557" s="178"/>
      <c r="VXN557" s="178"/>
      <c r="VXO557" s="178"/>
      <c r="VXP557" s="178"/>
      <c r="VXQ557" s="178"/>
      <c r="VXR557" s="178"/>
      <c r="VXS557" s="178"/>
      <c r="VXT557" s="178"/>
      <c r="VXU557" s="178"/>
      <c r="VXV557" s="178"/>
      <c r="VXW557" s="178"/>
      <c r="VXX557" s="178"/>
      <c r="VXY557" s="178"/>
      <c r="VXZ557" s="178"/>
      <c r="VYA557" s="178"/>
      <c r="VYB557" s="178"/>
      <c r="VYC557" s="178"/>
      <c r="VYD557" s="178"/>
      <c r="VYE557" s="178"/>
      <c r="VYF557" s="178"/>
      <c r="VYG557" s="178"/>
      <c r="VYH557" s="178"/>
      <c r="VYI557" s="178"/>
      <c r="VYJ557" s="178"/>
      <c r="VYK557" s="178"/>
      <c r="VYL557" s="178"/>
      <c r="VYM557" s="178"/>
      <c r="VYN557" s="178"/>
      <c r="VYO557" s="178"/>
      <c r="VYP557" s="178"/>
      <c r="VYQ557" s="178"/>
      <c r="VYR557" s="178"/>
      <c r="VYS557" s="178"/>
      <c r="VYT557" s="178"/>
      <c r="VYU557" s="178"/>
      <c r="VYV557" s="178"/>
      <c r="VYW557" s="178"/>
      <c r="VYX557" s="178"/>
      <c r="VYY557" s="178"/>
      <c r="VYZ557" s="178"/>
      <c r="VZA557" s="178"/>
      <c r="VZB557" s="178"/>
      <c r="VZC557" s="178"/>
      <c r="VZD557" s="178"/>
      <c r="VZE557" s="178"/>
      <c r="VZF557" s="178"/>
      <c r="VZG557" s="178"/>
      <c r="VZH557" s="178"/>
      <c r="VZI557" s="178"/>
      <c r="VZJ557" s="178"/>
      <c r="VZK557" s="178"/>
      <c r="VZL557" s="178"/>
      <c r="VZM557" s="178"/>
      <c r="VZN557" s="178"/>
      <c r="VZO557" s="178"/>
      <c r="VZP557" s="178"/>
      <c r="VZQ557" s="178"/>
      <c r="VZR557" s="178"/>
      <c r="VZS557" s="178"/>
      <c r="VZT557" s="178"/>
      <c r="VZU557" s="178"/>
      <c r="VZV557" s="178"/>
      <c r="VZW557" s="178"/>
      <c r="VZX557" s="178"/>
      <c r="VZY557" s="178"/>
      <c r="VZZ557" s="178"/>
      <c r="WAA557" s="178"/>
      <c r="WAB557" s="178"/>
      <c r="WAC557" s="178"/>
      <c r="WAD557" s="178"/>
      <c r="WAE557" s="178"/>
      <c r="WAF557" s="178"/>
      <c r="WAG557" s="178"/>
      <c r="WAH557" s="178"/>
      <c r="WAI557" s="178"/>
      <c r="WAJ557" s="178"/>
      <c r="WAK557" s="178"/>
      <c r="WAL557" s="178"/>
      <c r="WAM557" s="178"/>
      <c r="WAN557" s="178"/>
      <c r="WAO557" s="178"/>
      <c r="WAP557" s="178"/>
      <c r="WAQ557" s="178"/>
      <c r="WAR557" s="178"/>
      <c r="WAS557" s="178"/>
      <c r="WAT557" s="178"/>
      <c r="WAU557" s="178"/>
      <c r="WAV557" s="178"/>
      <c r="WAW557" s="178"/>
      <c r="WAX557" s="178"/>
      <c r="WAY557" s="178"/>
      <c r="WAZ557" s="178"/>
      <c r="WBA557" s="178"/>
      <c r="WBB557" s="178"/>
      <c r="WBC557" s="178"/>
      <c r="WBD557" s="178"/>
      <c r="WBE557" s="178"/>
      <c r="WBF557" s="178"/>
      <c r="WBG557" s="178"/>
      <c r="WBH557" s="178"/>
      <c r="WBI557" s="178"/>
      <c r="WBJ557" s="178"/>
      <c r="WBK557" s="178"/>
      <c r="WBL557" s="178"/>
      <c r="WBM557" s="178"/>
      <c r="WBN557" s="178"/>
      <c r="WBO557" s="178"/>
      <c r="WBP557" s="178"/>
      <c r="WBQ557" s="178"/>
      <c r="WBR557" s="178"/>
      <c r="WBS557" s="178"/>
      <c r="WBT557" s="178"/>
      <c r="WBU557" s="178"/>
      <c r="WBV557" s="178"/>
      <c r="WBW557" s="178"/>
      <c r="WBX557" s="178"/>
      <c r="WBY557" s="178"/>
      <c r="WBZ557" s="178"/>
      <c r="WCA557" s="178"/>
      <c r="WCB557" s="178"/>
      <c r="WCC557" s="178"/>
      <c r="WCD557" s="178"/>
      <c r="WCE557" s="178"/>
      <c r="WCF557" s="178"/>
      <c r="WCG557" s="178"/>
      <c r="WCH557" s="178"/>
      <c r="WCI557" s="178"/>
      <c r="WCJ557" s="178"/>
      <c r="WCK557" s="178"/>
      <c r="WCL557" s="178"/>
      <c r="WCM557" s="178"/>
      <c r="WCN557" s="178"/>
      <c r="WCO557" s="178"/>
      <c r="WCP557" s="178"/>
      <c r="WCQ557" s="178"/>
      <c r="WCR557" s="178"/>
      <c r="WCS557" s="178"/>
      <c r="WCT557" s="178"/>
      <c r="WCU557" s="178"/>
      <c r="WCV557" s="178"/>
      <c r="WCW557" s="178"/>
      <c r="WCX557" s="178"/>
      <c r="WCY557" s="178"/>
      <c r="WCZ557" s="178"/>
      <c r="WDA557" s="178"/>
      <c r="WDB557" s="178"/>
      <c r="WDC557" s="178"/>
      <c r="WDD557" s="178"/>
      <c r="WDE557" s="178"/>
      <c r="WDF557" s="178"/>
      <c r="WDG557" s="178"/>
      <c r="WDH557" s="178"/>
      <c r="WDI557" s="178"/>
      <c r="WDJ557" s="178"/>
      <c r="WDK557" s="178"/>
      <c r="WDL557" s="178"/>
      <c r="WDM557" s="178"/>
      <c r="WDN557" s="178"/>
      <c r="WDO557" s="178"/>
      <c r="WDP557" s="178"/>
      <c r="WDQ557" s="178"/>
      <c r="WDR557" s="178"/>
      <c r="WDS557" s="178"/>
      <c r="WDT557" s="178"/>
      <c r="WDU557" s="178"/>
      <c r="WDV557" s="178"/>
      <c r="WDW557" s="178"/>
      <c r="WDX557" s="178"/>
      <c r="WDY557" s="178"/>
      <c r="WDZ557" s="178"/>
      <c r="WEA557" s="178"/>
      <c r="WEB557" s="178"/>
      <c r="WEC557" s="178"/>
      <c r="WED557" s="178"/>
      <c r="WEE557" s="178"/>
      <c r="WEF557" s="178"/>
      <c r="WEG557" s="178"/>
      <c r="WEH557" s="178"/>
      <c r="WEI557" s="178"/>
      <c r="WEJ557" s="178"/>
      <c r="WEK557" s="178"/>
      <c r="WEL557" s="178"/>
      <c r="WEM557" s="178"/>
      <c r="WEN557" s="178"/>
      <c r="WEO557" s="178"/>
      <c r="WEP557" s="178"/>
      <c r="WEQ557" s="178"/>
      <c r="WER557" s="178"/>
      <c r="WES557" s="178"/>
      <c r="WET557" s="178"/>
      <c r="WEU557" s="178"/>
      <c r="WEV557" s="178"/>
      <c r="WEW557" s="178"/>
      <c r="WEX557" s="178"/>
      <c r="WEY557" s="178"/>
      <c r="WEZ557" s="178"/>
      <c r="WFA557" s="178"/>
      <c r="WFB557" s="178"/>
      <c r="WFC557" s="178"/>
      <c r="WFD557" s="178"/>
      <c r="WFE557" s="178"/>
      <c r="WFF557" s="178"/>
      <c r="WFG557" s="178"/>
      <c r="WFH557" s="178"/>
      <c r="WFI557" s="178"/>
      <c r="WFJ557" s="178"/>
      <c r="WFK557" s="178"/>
      <c r="WFL557" s="178"/>
      <c r="WFM557" s="178"/>
      <c r="WFN557" s="178"/>
      <c r="WFO557" s="178"/>
      <c r="WFP557" s="178"/>
      <c r="WFQ557" s="178"/>
      <c r="WFR557" s="178"/>
      <c r="WFS557" s="178"/>
      <c r="WFT557" s="178"/>
      <c r="WFU557" s="178"/>
      <c r="WFV557" s="178"/>
      <c r="WFW557" s="178"/>
      <c r="WFX557" s="178"/>
      <c r="WFY557" s="178"/>
      <c r="WFZ557" s="178"/>
      <c r="WGA557" s="178"/>
      <c r="WGB557" s="178"/>
      <c r="WGC557" s="178"/>
      <c r="WGD557" s="178"/>
      <c r="WGE557" s="178"/>
      <c r="WGF557" s="178"/>
      <c r="WGG557" s="178"/>
      <c r="WGH557" s="178"/>
      <c r="WGI557" s="178"/>
      <c r="WGJ557" s="178"/>
      <c r="WGK557" s="178"/>
      <c r="WGL557" s="178"/>
      <c r="WGM557" s="178"/>
      <c r="WGN557" s="178"/>
      <c r="WGO557" s="178"/>
      <c r="WGP557" s="178"/>
      <c r="WGQ557" s="178"/>
      <c r="WGR557" s="178"/>
      <c r="WGS557" s="178"/>
      <c r="WGT557" s="178"/>
      <c r="WGU557" s="178"/>
      <c r="WGV557" s="178"/>
      <c r="WGW557" s="178"/>
      <c r="WGX557" s="178"/>
      <c r="WGY557" s="178"/>
      <c r="WGZ557" s="178"/>
      <c r="WHA557" s="178"/>
      <c r="WHB557" s="178"/>
      <c r="WHC557" s="178"/>
      <c r="WHD557" s="178"/>
      <c r="WHE557" s="178"/>
      <c r="WHF557" s="178"/>
      <c r="WHG557" s="178"/>
      <c r="WHH557" s="178"/>
      <c r="WHI557" s="178"/>
      <c r="WHJ557" s="178"/>
      <c r="WHK557" s="178"/>
      <c r="WHL557" s="178"/>
      <c r="WHM557" s="178"/>
      <c r="WHN557" s="178"/>
      <c r="WHO557" s="178"/>
      <c r="WHP557" s="178"/>
      <c r="WHQ557" s="178"/>
      <c r="WHR557" s="178"/>
      <c r="WHS557" s="178"/>
      <c r="WHT557" s="178"/>
      <c r="WHU557" s="178"/>
      <c r="WHV557" s="178"/>
      <c r="WHW557" s="178"/>
      <c r="WHX557" s="178"/>
      <c r="WHY557" s="178"/>
      <c r="WHZ557" s="178"/>
      <c r="WIA557" s="178"/>
      <c r="WIB557" s="178"/>
      <c r="WIC557" s="178"/>
      <c r="WID557" s="178"/>
      <c r="WIE557" s="178"/>
      <c r="WIF557" s="178"/>
      <c r="WIG557" s="178"/>
      <c r="WIH557" s="178"/>
      <c r="WII557" s="178"/>
      <c r="WIJ557" s="178"/>
      <c r="WIK557" s="178"/>
      <c r="WIL557" s="178"/>
      <c r="WIM557" s="178"/>
      <c r="WIN557" s="178"/>
      <c r="WIO557" s="178"/>
      <c r="WIP557" s="178"/>
      <c r="WIQ557" s="178"/>
      <c r="WIR557" s="178"/>
      <c r="WIS557" s="178"/>
      <c r="WIT557" s="178"/>
      <c r="WIU557" s="178"/>
      <c r="WIV557" s="178"/>
      <c r="WIW557" s="178"/>
      <c r="WIX557" s="178"/>
      <c r="WIY557" s="178"/>
      <c r="WIZ557" s="178"/>
      <c r="WJA557" s="178"/>
      <c r="WJB557" s="178"/>
      <c r="WJC557" s="178"/>
      <c r="WJD557" s="178"/>
      <c r="WJE557" s="178"/>
      <c r="WJF557" s="178"/>
      <c r="WJG557" s="178"/>
      <c r="WJH557" s="178"/>
      <c r="WJI557" s="178"/>
      <c r="WJJ557" s="178"/>
      <c r="WJK557" s="178"/>
      <c r="WJL557" s="178"/>
      <c r="WJM557" s="178"/>
      <c r="WJN557" s="178"/>
      <c r="WJO557" s="178"/>
      <c r="WJP557" s="178"/>
      <c r="WJQ557" s="178"/>
      <c r="WJR557" s="178"/>
      <c r="WJS557" s="178"/>
      <c r="WJT557" s="178"/>
      <c r="WJU557" s="178"/>
      <c r="WJV557" s="178"/>
      <c r="WJW557" s="178"/>
      <c r="WJX557" s="178"/>
      <c r="WJY557" s="178"/>
      <c r="WJZ557" s="178"/>
      <c r="WKA557" s="178"/>
      <c r="WKB557" s="178"/>
      <c r="WKC557" s="178"/>
      <c r="WKD557" s="178"/>
      <c r="WKE557" s="178"/>
      <c r="WKF557" s="178"/>
      <c r="WKG557" s="178"/>
      <c r="WKH557" s="178"/>
      <c r="WKI557" s="178"/>
      <c r="WKJ557" s="178"/>
      <c r="WKK557" s="178"/>
      <c r="WKL557" s="178"/>
      <c r="WKM557" s="178"/>
      <c r="WKN557" s="178"/>
      <c r="WKO557" s="178"/>
      <c r="WKP557" s="178"/>
      <c r="WKQ557" s="178"/>
      <c r="WKR557" s="178"/>
      <c r="WKS557" s="178"/>
      <c r="WKT557" s="178"/>
      <c r="WKU557" s="178"/>
      <c r="WKV557" s="178"/>
      <c r="WKW557" s="178"/>
      <c r="WKX557" s="178"/>
      <c r="WKY557" s="178"/>
      <c r="WKZ557" s="178"/>
      <c r="WLA557" s="178"/>
      <c r="WLB557" s="178"/>
      <c r="WLC557" s="178"/>
      <c r="WLD557" s="178"/>
      <c r="WLE557" s="178"/>
      <c r="WLF557" s="178"/>
      <c r="WLG557" s="178"/>
      <c r="WLH557" s="178"/>
      <c r="WLI557" s="178"/>
      <c r="WLJ557" s="178"/>
      <c r="WLK557" s="178"/>
      <c r="WLL557" s="178"/>
      <c r="WLM557" s="178"/>
      <c r="WLN557" s="178"/>
      <c r="WLO557" s="178"/>
      <c r="WLP557" s="178"/>
      <c r="WLQ557" s="178"/>
      <c r="WLR557" s="178"/>
      <c r="WLS557" s="178"/>
      <c r="WLT557" s="178"/>
      <c r="WLU557" s="178"/>
      <c r="WLV557" s="178"/>
      <c r="WLW557" s="178"/>
      <c r="WLX557" s="178"/>
      <c r="WLY557" s="178"/>
      <c r="WLZ557" s="178"/>
      <c r="WMA557" s="178"/>
      <c r="WMB557" s="178"/>
      <c r="WMC557" s="178"/>
      <c r="WMD557" s="178"/>
      <c r="WME557" s="178"/>
      <c r="WMF557" s="178"/>
      <c r="WMG557" s="178"/>
      <c r="WMH557" s="178"/>
      <c r="WMI557" s="178"/>
      <c r="WMJ557" s="178"/>
      <c r="WMK557" s="178"/>
      <c r="WML557" s="178"/>
      <c r="WMM557" s="178"/>
      <c r="WMN557" s="178"/>
      <c r="WMO557" s="178"/>
      <c r="WMP557" s="178"/>
      <c r="WMQ557" s="178"/>
      <c r="WMR557" s="178"/>
      <c r="WMS557" s="178"/>
      <c r="WMT557" s="178"/>
      <c r="WMU557" s="178"/>
      <c r="WMV557" s="178"/>
      <c r="WMW557" s="178"/>
      <c r="WMX557" s="178"/>
      <c r="WMY557" s="178"/>
      <c r="WMZ557" s="178"/>
      <c r="WNA557" s="178"/>
      <c r="WNB557" s="178"/>
      <c r="WNC557" s="178"/>
      <c r="WND557" s="178"/>
      <c r="WNE557" s="178"/>
      <c r="WNF557" s="178"/>
      <c r="WNG557" s="178"/>
      <c r="WNH557" s="178"/>
      <c r="WNI557" s="178"/>
      <c r="WNJ557" s="178"/>
      <c r="WNK557" s="178"/>
      <c r="WNL557" s="178"/>
      <c r="WNM557" s="178"/>
      <c r="WNN557" s="178"/>
      <c r="WNO557" s="178"/>
      <c r="WNP557" s="178"/>
      <c r="WNQ557" s="178"/>
      <c r="WNR557" s="178"/>
      <c r="WNS557" s="178"/>
      <c r="WNT557" s="178"/>
      <c r="WNU557" s="178"/>
      <c r="WNV557" s="178"/>
      <c r="WNW557" s="178"/>
      <c r="WNX557" s="178"/>
      <c r="WNY557" s="178"/>
      <c r="WNZ557" s="178"/>
      <c r="WOA557" s="178"/>
      <c r="WOB557" s="178"/>
      <c r="WOC557" s="178"/>
      <c r="WOD557" s="178"/>
      <c r="WOE557" s="178"/>
      <c r="WOF557" s="178"/>
      <c r="WOG557" s="178"/>
      <c r="WOH557" s="178"/>
      <c r="WOI557" s="178"/>
      <c r="WOJ557" s="178"/>
      <c r="WOK557" s="178"/>
      <c r="WOL557" s="178"/>
      <c r="WOM557" s="178"/>
      <c r="WON557" s="178"/>
      <c r="WOO557" s="178"/>
      <c r="WOP557" s="178"/>
      <c r="WOQ557" s="178"/>
      <c r="WOR557" s="178"/>
      <c r="WOS557" s="178"/>
      <c r="WOT557" s="178"/>
      <c r="WOU557" s="178"/>
      <c r="WOV557" s="178"/>
      <c r="WOW557" s="178"/>
      <c r="WOX557" s="178"/>
      <c r="WOY557" s="178"/>
      <c r="WOZ557" s="178"/>
      <c r="WPA557" s="178"/>
      <c r="WPB557" s="178"/>
      <c r="WPC557" s="178"/>
      <c r="WPD557" s="178"/>
      <c r="WPE557" s="178"/>
      <c r="WPF557" s="178"/>
      <c r="WPG557" s="178"/>
      <c r="WPH557" s="178"/>
      <c r="WPI557" s="178"/>
      <c r="WPJ557" s="178"/>
      <c r="WPK557" s="178"/>
      <c r="WPL557" s="178"/>
      <c r="WPM557" s="178"/>
      <c r="WPN557" s="178"/>
      <c r="WPO557" s="178"/>
      <c r="WPP557" s="178"/>
      <c r="WPQ557" s="178"/>
      <c r="WPR557" s="178"/>
      <c r="WPS557" s="178"/>
      <c r="WPT557" s="178"/>
      <c r="WPU557" s="178"/>
      <c r="WPV557" s="178"/>
      <c r="WPW557" s="178"/>
      <c r="WPX557" s="178"/>
      <c r="WPY557" s="178"/>
      <c r="WPZ557" s="178"/>
      <c r="WQA557" s="178"/>
      <c r="WQB557" s="178"/>
      <c r="WQC557" s="178"/>
      <c r="WQD557" s="178"/>
      <c r="WQE557" s="178"/>
      <c r="WQF557" s="178"/>
      <c r="WQG557" s="178"/>
      <c r="WQH557" s="178"/>
      <c r="WQI557" s="178"/>
      <c r="WQJ557" s="178"/>
      <c r="WQK557" s="178"/>
      <c r="WQL557" s="178"/>
      <c r="WQM557" s="178"/>
      <c r="WQN557" s="178"/>
      <c r="WQO557" s="178"/>
      <c r="WQP557" s="178"/>
      <c r="WQQ557" s="178"/>
      <c r="WQR557" s="178"/>
      <c r="WQS557" s="178"/>
      <c r="WQT557" s="178"/>
      <c r="WQU557" s="178"/>
      <c r="WQV557" s="178"/>
      <c r="WQW557" s="178"/>
      <c r="WQX557" s="178"/>
      <c r="WQY557" s="178"/>
      <c r="WQZ557" s="178"/>
      <c r="WRA557" s="178"/>
      <c r="WRB557" s="178"/>
      <c r="WRC557" s="178"/>
      <c r="WRD557" s="178"/>
      <c r="WRE557" s="178"/>
      <c r="WRF557" s="178"/>
      <c r="WRG557" s="178"/>
      <c r="WRH557" s="178"/>
      <c r="WRI557" s="178"/>
      <c r="WRJ557" s="178"/>
      <c r="WRK557" s="178"/>
      <c r="WRL557" s="178"/>
      <c r="WRM557" s="178"/>
      <c r="WRN557" s="178"/>
      <c r="WRO557" s="178"/>
      <c r="WRP557" s="178"/>
      <c r="WRQ557" s="178"/>
      <c r="WRR557" s="178"/>
      <c r="WRS557" s="178"/>
      <c r="WRT557" s="178"/>
      <c r="WRU557" s="178"/>
      <c r="WRV557" s="178"/>
      <c r="WRW557" s="178"/>
      <c r="WRX557" s="178"/>
      <c r="WRY557" s="178"/>
      <c r="WRZ557" s="178"/>
      <c r="WSA557" s="178"/>
      <c r="WSB557" s="178"/>
      <c r="WSC557" s="178"/>
      <c r="WSD557" s="178"/>
      <c r="WSE557" s="178"/>
      <c r="WSF557" s="178"/>
      <c r="WSG557" s="178"/>
      <c r="WSH557" s="178"/>
      <c r="WSI557" s="178"/>
      <c r="WSJ557" s="178"/>
      <c r="WSK557" s="178"/>
      <c r="WSL557" s="178"/>
      <c r="WSM557" s="178"/>
      <c r="WSN557" s="178"/>
      <c r="WSO557" s="178"/>
      <c r="WSP557" s="178"/>
      <c r="WSQ557" s="178"/>
      <c r="WSR557" s="178"/>
      <c r="WSS557" s="178"/>
      <c r="WST557" s="178"/>
      <c r="WSU557" s="178"/>
      <c r="WSV557" s="178"/>
      <c r="WSW557" s="178"/>
      <c r="WSX557" s="178"/>
      <c r="WSY557" s="178"/>
      <c r="WSZ557" s="178"/>
      <c r="WTA557" s="178"/>
      <c r="WTB557" s="178"/>
      <c r="WTC557" s="178"/>
      <c r="WTD557" s="178"/>
      <c r="WTE557" s="178"/>
      <c r="WTF557" s="178"/>
      <c r="WTG557" s="178"/>
      <c r="WTH557" s="178"/>
      <c r="WTI557" s="178"/>
      <c r="WTJ557" s="178"/>
      <c r="WTK557" s="178"/>
      <c r="WTL557" s="178"/>
      <c r="WTM557" s="178"/>
      <c r="WTN557" s="178"/>
      <c r="WTO557" s="178"/>
      <c r="WTP557" s="178"/>
      <c r="WTQ557" s="178"/>
      <c r="WTR557" s="178"/>
      <c r="WTS557" s="178"/>
      <c r="WTT557" s="178"/>
      <c r="WTU557" s="178"/>
      <c r="WTV557" s="178"/>
      <c r="WTW557" s="178"/>
      <c r="WTX557" s="178"/>
      <c r="WTY557" s="178"/>
      <c r="WTZ557" s="178"/>
      <c r="WUA557" s="178"/>
      <c r="WUB557" s="178"/>
      <c r="WUC557" s="178"/>
      <c r="WUD557" s="178"/>
      <c r="WUE557" s="178"/>
      <c r="WUF557" s="178"/>
      <c r="WUG557" s="178"/>
      <c r="WUH557" s="178"/>
      <c r="WUI557" s="178"/>
      <c r="WUJ557" s="178"/>
      <c r="WUK557" s="178"/>
      <c r="WUL557" s="178"/>
      <c r="WUM557" s="178"/>
      <c r="WUN557" s="178"/>
      <c r="WUO557" s="178"/>
      <c r="WUP557" s="178"/>
      <c r="WUQ557" s="178"/>
      <c r="WUR557" s="178"/>
      <c r="WUS557" s="178"/>
      <c r="WUT557" s="178"/>
      <c r="WUU557" s="178"/>
      <c r="WUV557" s="178"/>
      <c r="WUW557" s="178"/>
      <c r="WUX557" s="178"/>
      <c r="WUY557" s="178"/>
      <c r="WUZ557" s="178"/>
      <c r="WVA557" s="178"/>
      <c r="WVB557" s="178"/>
      <c r="WVC557" s="178"/>
      <c r="WVD557" s="178"/>
      <c r="WVE557" s="178"/>
      <c r="WVF557" s="178"/>
      <c r="WVG557" s="178"/>
      <c r="WVH557" s="178"/>
      <c r="WVI557" s="178"/>
      <c r="WVJ557" s="178"/>
      <c r="WVK557" s="178"/>
      <c r="WVL557" s="178"/>
      <c r="WVM557" s="178"/>
      <c r="WVN557" s="178"/>
      <c r="WVO557" s="178"/>
      <c r="WVP557" s="178"/>
      <c r="WVQ557" s="178"/>
      <c r="WVR557" s="178"/>
      <c r="WVS557" s="178"/>
      <c r="WVT557" s="178"/>
      <c r="WVU557" s="178"/>
      <c r="WVV557" s="178"/>
      <c r="WVW557" s="178"/>
      <c r="WVX557" s="178"/>
      <c r="WVY557" s="178"/>
      <c r="WVZ557" s="178"/>
      <c r="WWA557" s="178"/>
      <c r="WWB557" s="178"/>
      <c r="WWC557" s="178"/>
      <c r="WWD557" s="178"/>
      <c r="WWE557" s="178"/>
      <c r="WWF557" s="178"/>
      <c r="WWG557" s="178"/>
      <c r="WWH557" s="178"/>
      <c r="WWI557" s="178"/>
      <c r="WWJ557" s="178"/>
      <c r="WWK557" s="178"/>
      <c r="WWL557" s="178"/>
      <c r="WWM557" s="178"/>
      <c r="WWN557" s="178"/>
      <c r="WWO557" s="178"/>
      <c r="WWP557" s="178"/>
      <c r="WWQ557" s="178"/>
      <c r="WWR557" s="178"/>
      <c r="WWS557" s="178"/>
      <c r="WWT557" s="178"/>
      <c r="WWU557" s="178"/>
      <c r="WWV557" s="178"/>
      <c r="WWW557" s="178"/>
      <c r="WWX557" s="178"/>
      <c r="WWY557" s="178"/>
      <c r="WWZ557" s="178"/>
      <c r="WXA557" s="178"/>
      <c r="WXB557" s="178"/>
      <c r="WXC557" s="178"/>
      <c r="WXD557" s="178"/>
      <c r="WXE557" s="178"/>
      <c r="WXF557" s="178"/>
      <c r="WXG557" s="178"/>
      <c r="WXH557" s="178"/>
      <c r="WXI557" s="178"/>
      <c r="WXJ557" s="178"/>
      <c r="WXK557" s="178"/>
      <c r="WXL557" s="178"/>
      <c r="WXM557" s="178"/>
      <c r="WXN557" s="178"/>
      <c r="WXO557" s="178"/>
      <c r="WXP557" s="178"/>
      <c r="WXQ557" s="178"/>
      <c r="WXR557" s="178"/>
      <c r="WXS557" s="178"/>
      <c r="WXT557" s="178"/>
      <c r="WXU557" s="178"/>
      <c r="WXV557" s="178"/>
      <c r="WXW557" s="178"/>
      <c r="WXX557" s="178"/>
      <c r="WXY557" s="178"/>
      <c r="WXZ557" s="178"/>
      <c r="WYA557" s="178"/>
      <c r="WYB557" s="178"/>
      <c r="WYC557" s="178"/>
      <c r="WYD557" s="178"/>
      <c r="WYE557" s="178"/>
      <c r="WYF557" s="178"/>
      <c r="WYG557" s="178"/>
      <c r="WYH557" s="178"/>
      <c r="WYI557" s="178"/>
      <c r="WYJ557" s="178"/>
      <c r="WYK557" s="178"/>
      <c r="WYL557" s="178"/>
      <c r="WYM557" s="178"/>
      <c r="WYN557" s="178"/>
      <c r="WYO557" s="178"/>
      <c r="WYP557" s="178"/>
      <c r="WYQ557" s="178"/>
      <c r="WYR557" s="178"/>
      <c r="WYS557" s="178"/>
      <c r="WYT557" s="178"/>
      <c r="WYU557" s="178"/>
      <c r="WYV557" s="178"/>
      <c r="WYW557" s="178"/>
      <c r="WYX557" s="178"/>
      <c r="WYY557" s="178"/>
      <c r="WYZ557" s="178"/>
      <c r="WZA557" s="178"/>
      <c r="WZB557" s="178"/>
      <c r="WZC557" s="178"/>
      <c r="WZD557" s="178"/>
      <c r="WZE557" s="178"/>
      <c r="WZF557" s="178"/>
      <c r="WZG557" s="178"/>
      <c r="WZH557" s="178"/>
      <c r="WZI557" s="178"/>
      <c r="WZJ557" s="178"/>
      <c r="WZK557" s="178"/>
      <c r="WZL557" s="178"/>
      <c r="WZM557" s="178"/>
      <c r="WZN557" s="178"/>
      <c r="WZO557" s="178"/>
      <c r="WZP557" s="178"/>
      <c r="WZQ557" s="178"/>
      <c r="WZR557" s="178"/>
      <c r="WZS557" s="178"/>
      <c r="WZT557" s="178"/>
      <c r="WZU557" s="178"/>
      <c r="WZV557" s="178"/>
      <c r="WZW557" s="178"/>
      <c r="WZX557" s="178"/>
      <c r="WZY557" s="178"/>
      <c r="WZZ557" s="178"/>
      <c r="XAA557" s="178"/>
      <c r="XAB557" s="178"/>
      <c r="XAC557" s="178"/>
      <c r="XAD557" s="178"/>
      <c r="XAE557" s="178"/>
      <c r="XAF557" s="178"/>
      <c r="XAG557" s="178"/>
      <c r="XAH557" s="178"/>
      <c r="XAI557" s="178"/>
      <c r="XAJ557" s="178"/>
      <c r="XAK557" s="178"/>
      <c r="XAL557" s="178"/>
      <c r="XAM557" s="178"/>
      <c r="XAN557" s="178"/>
      <c r="XAO557" s="178"/>
      <c r="XAP557" s="178"/>
      <c r="XAQ557" s="178"/>
      <c r="XAR557" s="178"/>
      <c r="XAS557" s="178"/>
      <c r="XAT557" s="178"/>
      <c r="XAU557" s="178"/>
      <c r="XAV557" s="178"/>
      <c r="XAW557" s="178"/>
      <c r="XAX557" s="178"/>
      <c r="XAY557" s="178"/>
      <c r="XAZ557" s="178"/>
      <c r="XBA557" s="178"/>
      <c r="XBB557" s="178"/>
      <c r="XBC557" s="178"/>
      <c r="XBD557" s="178"/>
      <c r="XBE557" s="178"/>
      <c r="XBF557" s="178"/>
      <c r="XBG557" s="178"/>
      <c r="XBH557" s="178"/>
      <c r="XBI557" s="178"/>
      <c r="XBJ557" s="178"/>
      <c r="XBK557" s="178"/>
      <c r="XBL557" s="178"/>
      <c r="XBM557" s="178"/>
      <c r="XBN557" s="178"/>
      <c r="XBO557" s="178"/>
      <c r="XBP557" s="178"/>
      <c r="XBQ557" s="178"/>
      <c r="XBR557" s="178"/>
      <c r="XBS557" s="178"/>
      <c r="XBT557" s="178"/>
      <c r="XBU557" s="178"/>
      <c r="XBV557" s="178"/>
      <c r="XBW557" s="178"/>
      <c r="XBX557" s="178"/>
      <c r="XBY557" s="178"/>
      <c r="XBZ557" s="178"/>
      <c r="XCA557" s="178"/>
      <c r="XCB557" s="178"/>
      <c r="XCC557" s="178"/>
      <c r="XCD557" s="178"/>
      <c r="XCE557" s="178"/>
      <c r="XCF557" s="178"/>
      <c r="XCG557" s="178"/>
      <c r="XCH557" s="178"/>
      <c r="XCI557" s="178"/>
      <c r="XCJ557" s="178"/>
      <c r="XCK557" s="178"/>
      <c r="XCL557" s="178"/>
      <c r="XCM557" s="178"/>
      <c r="XCN557" s="178"/>
      <c r="XCO557" s="178"/>
      <c r="XCP557" s="178"/>
      <c r="XCQ557" s="178"/>
      <c r="XCR557" s="178"/>
      <c r="XCS557" s="178"/>
      <c r="XCT557" s="178"/>
      <c r="XCU557" s="178"/>
      <c r="XCV557" s="178"/>
      <c r="XCW557" s="178"/>
      <c r="XCX557" s="178"/>
      <c r="XCY557" s="178"/>
      <c r="XCZ557" s="178"/>
      <c r="XDA557" s="178"/>
      <c r="XDB557" s="178"/>
      <c r="XDC557" s="178"/>
      <c r="XDD557" s="178"/>
      <c r="XDE557" s="178"/>
      <c r="XDF557" s="178"/>
      <c r="XDG557" s="178"/>
      <c r="XDH557" s="178"/>
      <c r="XDI557" s="178"/>
      <c r="XDJ557" s="178"/>
      <c r="XDK557" s="178"/>
      <c r="XDL557" s="178"/>
      <c r="XDM557" s="178"/>
      <c r="XDN557" s="178"/>
      <c r="XDO557" s="178"/>
      <c r="XDP557" s="178"/>
      <c r="XDQ557" s="178"/>
      <c r="XDR557" s="178"/>
      <c r="XDS557" s="178"/>
      <c r="XDT557" s="178"/>
      <c r="XDU557" s="178"/>
      <c r="XDV557" s="178"/>
      <c r="XDW557" s="178"/>
      <c r="XDX557" s="178"/>
      <c r="XDY557" s="178"/>
      <c r="XDZ557" s="178"/>
      <c r="XEA557" s="178"/>
      <c r="XEB557" s="178"/>
      <c r="XEC557" s="178"/>
      <c r="XED557" s="178"/>
      <c r="XEE557" s="178"/>
      <c r="XEF557" s="178"/>
      <c r="XEG557" s="178"/>
      <c r="XEH557" s="178"/>
      <c r="XEI557" s="178"/>
      <c r="XEJ557" s="178"/>
      <c r="XEK557" s="178"/>
      <c r="XEL557" s="178"/>
      <c r="XEM557" s="178"/>
      <c r="XEN557" s="178"/>
      <c r="XEO557" s="178"/>
      <c r="XEP557" s="178"/>
      <c r="XEQ557" s="178"/>
      <c r="XER557" s="178"/>
      <c r="XES557" s="178"/>
      <c r="XET557" s="178"/>
      <c r="XEU557" s="178"/>
    </row>
    <row r="558" spans="1:16375">
      <c r="E558" s="646"/>
      <c r="F558" s="420"/>
      <c r="G558" s="420"/>
      <c r="H558" s="420"/>
      <c r="I558" s="645"/>
      <c r="M558" s="640"/>
    </row>
    <row r="559" spans="1:16375">
      <c r="E559" s="646"/>
      <c r="F559" s="420"/>
      <c r="G559" s="420"/>
      <c r="H559" s="420"/>
      <c r="I559" s="645"/>
      <c r="M559" s="640"/>
    </row>
  </sheetData>
  <mergeCells count="111">
    <mergeCell ref="A553:C553"/>
    <mergeCell ref="A554:C554"/>
    <mergeCell ref="A555:K555"/>
    <mergeCell ref="A556:K556"/>
    <mergeCell ref="B527:B535"/>
    <mergeCell ref="M527:M535"/>
    <mergeCell ref="C530:C532"/>
    <mergeCell ref="C533:C535"/>
    <mergeCell ref="B536:B551"/>
    <mergeCell ref="C536:C538"/>
    <mergeCell ref="C539:C541"/>
    <mergeCell ref="C546:C548"/>
    <mergeCell ref="A552:C552"/>
    <mergeCell ref="M536:M551"/>
    <mergeCell ref="A496:A510"/>
    <mergeCell ref="B496:B510"/>
    <mergeCell ref="M496:M510"/>
    <mergeCell ref="A512:A526"/>
    <mergeCell ref="B512:B526"/>
    <mergeCell ref="M512:M526"/>
    <mergeCell ref="B440:B465"/>
    <mergeCell ref="C440:C458"/>
    <mergeCell ref="B466:B482"/>
    <mergeCell ref="M466:M482"/>
    <mergeCell ref="C469:C477"/>
    <mergeCell ref="C478:C482"/>
    <mergeCell ref="B404:B432"/>
    <mergeCell ref="M404:M414"/>
    <mergeCell ref="C407:C414"/>
    <mergeCell ref="C415:C422"/>
    <mergeCell ref="M415:M432"/>
    <mergeCell ref="B433:B439"/>
    <mergeCell ref="A372:A386"/>
    <mergeCell ref="B372:B386"/>
    <mergeCell ref="M372:M386"/>
    <mergeCell ref="A388:A402"/>
    <mergeCell ref="B388:B402"/>
    <mergeCell ref="M388:M402"/>
    <mergeCell ref="B327:B351"/>
    <mergeCell ref="M327:M351"/>
    <mergeCell ref="C330:C338"/>
    <mergeCell ref="C339:C346"/>
    <mergeCell ref="C348:C351"/>
    <mergeCell ref="C352:C363"/>
    <mergeCell ref="M352:M370"/>
    <mergeCell ref="B358:B370"/>
    <mergeCell ref="B278:B309"/>
    <mergeCell ref="M278:M312"/>
    <mergeCell ref="C281:C289"/>
    <mergeCell ref="C290:C306"/>
    <mergeCell ref="C309:C312"/>
    <mergeCell ref="B320:B326"/>
    <mergeCell ref="M322:M326"/>
    <mergeCell ref="B200:B204"/>
    <mergeCell ref="B205:B228"/>
    <mergeCell ref="M205:M228"/>
    <mergeCell ref="C208:C216"/>
    <mergeCell ref="C217:C228"/>
    <mergeCell ref="M229:M277"/>
    <mergeCell ref="C231:C268"/>
    <mergeCell ref="B236:B277"/>
    <mergeCell ref="C272:C274"/>
    <mergeCell ref="B153:B187"/>
    <mergeCell ref="M153:M174"/>
    <mergeCell ref="C156:C164"/>
    <mergeCell ref="C165:C174"/>
    <mergeCell ref="M175:M199"/>
    <mergeCell ref="C184:C186"/>
    <mergeCell ref="C187:C197"/>
    <mergeCell ref="B112:B126"/>
    <mergeCell ref="M112:M126"/>
    <mergeCell ref="B127:B147"/>
    <mergeCell ref="M127:M147"/>
    <mergeCell ref="C130:C137"/>
    <mergeCell ref="C138:C142"/>
    <mergeCell ref="B75:B95"/>
    <mergeCell ref="M75:M92"/>
    <mergeCell ref="C78:C86"/>
    <mergeCell ref="C87:C95"/>
    <mergeCell ref="B96:B111"/>
    <mergeCell ref="C96:C101"/>
    <mergeCell ref="B41:B54"/>
    <mergeCell ref="M41:M47"/>
    <mergeCell ref="C52:C54"/>
    <mergeCell ref="A59:A73"/>
    <mergeCell ref="B59:B73"/>
    <mergeCell ref="M59:M73"/>
    <mergeCell ref="B6:C6"/>
    <mergeCell ref="A8:A22"/>
    <mergeCell ref="B8:B22"/>
    <mergeCell ref="M8:M22"/>
    <mergeCell ref="A24:A40"/>
    <mergeCell ref="B24:B40"/>
    <mergeCell ref="M24:M40"/>
    <mergeCell ref="C28:C30"/>
    <mergeCell ref="L4:L5"/>
    <mergeCell ref="M4:M5"/>
    <mergeCell ref="N5:N6"/>
    <mergeCell ref="O5:O6"/>
    <mergeCell ref="P5:P6"/>
    <mergeCell ref="Q5:Q6"/>
    <mergeCell ref="A2:M2"/>
    <mergeCell ref="A4:A5"/>
    <mergeCell ref="B4:C5"/>
    <mergeCell ref="D4:D5"/>
    <mergeCell ref="E4:E5"/>
    <mergeCell ref="F4:F5"/>
    <mergeCell ref="H4:H5"/>
    <mergeCell ref="I4:I5"/>
    <mergeCell ref="J4:J5"/>
    <mergeCell ref="K4:K5"/>
  </mergeCells>
  <printOptions horizontalCentered="1"/>
  <pageMargins left="0" right="0" top="0.59055118110236227" bottom="0.27559055118110237" header="0.31496062992125984" footer="0"/>
  <pageSetup paperSize="9" scale="89" fitToHeight="0" orientation="landscape" horizontalDpi="4294967295" verticalDpi="4294967295" r:id="rId1"/>
  <headerFooter alignWithMargins="0"/>
  <rowBreaks count="7" manualBreakCount="7">
    <brk id="199" max="12" man="1"/>
    <brk id="228" max="12" man="1"/>
    <brk id="277" max="12" man="1"/>
    <brk id="402" max="12" man="1"/>
    <brk id="439" max="12" man="1"/>
    <brk id="510" max="12" man="1"/>
    <brk id="535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FF"/>
  </sheetPr>
  <dimension ref="A1:N222"/>
  <sheetViews>
    <sheetView view="pageBreakPreview" zoomScale="90" zoomScaleNormal="100" zoomScaleSheetLayoutView="90" workbookViewId="0">
      <pane xSplit="4" ySplit="4" topLeftCell="E211" activePane="bottomRight" state="frozen"/>
      <selection activeCell="D48" sqref="D48"/>
      <selection pane="topRight" activeCell="D48" sqref="D48"/>
      <selection pane="bottomLeft" activeCell="D48" sqref="D48"/>
      <selection pane="bottomRight" activeCell="D48" sqref="D48"/>
    </sheetView>
  </sheetViews>
  <sheetFormatPr defaultColWidth="11.140625" defaultRowHeight="15" outlineLevelCol="1"/>
  <cols>
    <col min="1" max="2" width="5.42578125" style="640" customWidth="1"/>
    <col min="3" max="3" width="42" style="640" customWidth="1"/>
    <col min="4" max="4" width="6.28515625" style="640" customWidth="1"/>
    <col min="5" max="5" width="11.85546875" style="640" customWidth="1"/>
    <col min="6" max="6" width="11.7109375" style="640" customWidth="1"/>
    <col min="7" max="7" width="9.28515625" style="640" hidden="1" customWidth="1" outlineLevel="1"/>
    <col min="8" max="8" width="20.7109375" style="640" hidden="1" customWidth="1" collapsed="1"/>
    <col min="9" max="9" width="10" style="1057" hidden="1" customWidth="1"/>
    <col min="10" max="10" width="17.7109375" style="640" hidden="1" customWidth="1"/>
    <col min="11" max="11" width="13.7109375" style="640" customWidth="1"/>
    <col min="12" max="12" width="10.85546875" style="1054" hidden="1" customWidth="1"/>
    <col min="13" max="13" width="99.7109375" style="1055" customWidth="1"/>
    <col min="14" max="241" width="10.28515625" style="178" customWidth="1"/>
    <col min="242" max="242" width="4.28515625" style="178" bestFit="1" customWidth="1"/>
    <col min="243" max="243" width="6.85546875" style="178" bestFit="1" customWidth="1"/>
    <col min="244" max="244" width="11" style="178" customWidth="1"/>
    <col min="245" max="245" width="11.140625" style="178" bestFit="1" customWidth="1"/>
    <col min="246" max="246" width="10.85546875" style="178" customWidth="1"/>
    <col min="247" max="247" width="11.5703125" style="178" customWidth="1"/>
    <col min="248" max="248" width="11.140625" style="178" bestFit="1" customWidth="1"/>
    <col min="249" max="249" width="11" style="178" customWidth="1"/>
    <col min="250" max="250" width="10.42578125" style="178" customWidth="1"/>
    <col min="251" max="251" width="11.28515625" style="178" customWidth="1"/>
    <col min="252" max="253" width="9.140625" style="178" bestFit="1" customWidth="1"/>
    <col min="254" max="254" width="11.140625" style="178"/>
    <col min="255" max="256" width="5.42578125" style="178" customWidth="1"/>
    <col min="257" max="257" width="41.85546875" style="178" customWidth="1"/>
    <col min="258" max="260" width="12.140625" style="178" customWidth="1"/>
    <col min="261" max="261" width="7.28515625" style="178" customWidth="1"/>
    <col min="262" max="263" width="12.140625" style="178" customWidth="1"/>
    <col min="264" max="264" width="66" style="178" customWidth="1"/>
    <col min="265" max="497" width="10.28515625" style="178" customWidth="1"/>
    <col min="498" max="498" width="4.28515625" style="178" bestFit="1" customWidth="1"/>
    <col min="499" max="499" width="6.85546875" style="178" bestFit="1" customWidth="1"/>
    <col min="500" max="500" width="11" style="178" customWidth="1"/>
    <col min="501" max="501" width="11.140625" style="178" bestFit="1" customWidth="1"/>
    <col min="502" max="502" width="10.85546875" style="178" customWidth="1"/>
    <col min="503" max="503" width="11.5703125" style="178" customWidth="1"/>
    <col min="504" max="504" width="11.140625" style="178" bestFit="1" customWidth="1"/>
    <col min="505" max="505" width="11" style="178" customWidth="1"/>
    <col min="506" max="506" width="10.42578125" style="178" customWidth="1"/>
    <col min="507" max="507" width="11.28515625" style="178" customWidth="1"/>
    <col min="508" max="509" width="9.140625" style="178" bestFit="1" customWidth="1"/>
    <col min="510" max="510" width="11.140625" style="178"/>
    <col min="511" max="512" width="5.42578125" style="178" customWidth="1"/>
    <col min="513" max="513" width="41.85546875" style="178" customWidth="1"/>
    <col min="514" max="516" width="12.140625" style="178" customWidth="1"/>
    <col min="517" max="517" width="7.28515625" style="178" customWidth="1"/>
    <col min="518" max="519" width="12.140625" style="178" customWidth="1"/>
    <col min="520" max="520" width="66" style="178" customWidth="1"/>
    <col min="521" max="753" width="10.28515625" style="178" customWidth="1"/>
    <col min="754" max="754" width="4.28515625" style="178" bestFit="1" customWidth="1"/>
    <col min="755" max="755" width="6.85546875" style="178" bestFit="1" customWidth="1"/>
    <col min="756" max="756" width="11" style="178" customWidth="1"/>
    <col min="757" max="757" width="11.140625" style="178" bestFit="1" customWidth="1"/>
    <col min="758" max="758" width="10.85546875" style="178" customWidth="1"/>
    <col min="759" max="759" width="11.5703125" style="178" customWidth="1"/>
    <col min="760" max="760" width="11.140625" style="178" bestFit="1" customWidth="1"/>
    <col min="761" max="761" width="11" style="178" customWidth="1"/>
    <col min="762" max="762" width="10.42578125" style="178" customWidth="1"/>
    <col min="763" max="763" width="11.28515625" style="178" customWidth="1"/>
    <col min="764" max="765" width="9.140625" style="178" bestFit="1" customWidth="1"/>
    <col min="766" max="766" width="11.140625" style="178"/>
    <col min="767" max="768" width="5.42578125" style="178" customWidth="1"/>
    <col min="769" max="769" width="41.85546875" style="178" customWidth="1"/>
    <col min="770" max="772" width="12.140625" style="178" customWidth="1"/>
    <col min="773" max="773" width="7.28515625" style="178" customWidth="1"/>
    <col min="774" max="775" width="12.140625" style="178" customWidth="1"/>
    <col min="776" max="776" width="66" style="178" customWidth="1"/>
    <col min="777" max="1009" width="10.28515625" style="178" customWidth="1"/>
    <col min="1010" max="1010" width="4.28515625" style="178" bestFit="1" customWidth="1"/>
    <col min="1011" max="1011" width="6.85546875" style="178" bestFit="1" customWidth="1"/>
    <col min="1012" max="1012" width="11" style="178" customWidth="1"/>
    <col min="1013" max="1013" width="11.140625" style="178" bestFit="1" customWidth="1"/>
    <col min="1014" max="1014" width="10.85546875" style="178" customWidth="1"/>
    <col min="1015" max="1015" width="11.5703125" style="178" customWidth="1"/>
    <col min="1016" max="1016" width="11.140625" style="178" bestFit="1" customWidth="1"/>
    <col min="1017" max="1017" width="11" style="178" customWidth="1"/>
    <col min="1018" max="1018" width="10.42578125" style="178" customWidth="1"/>
    <col min="1019" max="1019" width="11.28515625" style="178" customWidth="1"/>
    <col min="1020" max="1021" width="9.140625" style="178" bestFit="1" customWidth="1"/>
    <col min="1022" max="1022" width="11.140625" style="178"/>
    <col min="1023" max="1024" width="5.42578125" style="178" customWidth="1"/>
    <col min="1025" max="1025" width="41.85546875" style="178" customWidth="1"/>
    <col min="1026" max="1028" width="12.140625" style="178" customWidth="1"/>
    <col min="1029" max="1029" width="7.28515625" style="178" customWidth="1"/>
    <col min="1030" max="1031" width="12.140625" style="178" customWidth="1"/>
    <col min="1032" max="1032" width="66" style="178" customWidth="1"/>
    <col min="1033" max="1265" width="10.28515625" style="178" customWidth="1"/>
    <col min="1266" max="1266" width="4.28515625" style="178" bestFit="1" customWidth="1"/>
    <col min="1267" max="1267" width="6.85546875" style="178" bestFit="1" customWidth="1"/>
    <col min="1268" max="1268" width="11" style="178" customWidth="1"/>
    <col min="1269" max="1269" width="11.140625" style="178" bestFit="1" customWidth="1"/>
    <col min="1270" max="1270" width="10.85546875" style="178" customWidth="1"/>
    <col min="1271" max="1271" width="11.5703125" style="178" customWidth="1"/>
    <col min="1272" max="1272" width="11.140625" style="178" bestFit="1" customWidth="1"/>
    <col min="1273" max="1273" width="11" style="178" customWidth="1"/>
    <col min="1274" max="1274" width="10.42578125" style="178" customWidth="1"/>
    <col min="1275" max="1275" width="11.28515625" style="178" customWidth="1"/>
    <col min="1276" max="1277" width="9.140625" style="178" bestFit="1" customWidth="1"/>
    <col min="1278" max="1278" width="11.140625" style="178"/>
    <col min="1279" max="1280" width="5.42578125" style="178" customWidth="1"/>
    <col min="1281" max="1281" width="41.85546875" style="178" customWidth="1"/>
    <col min="1282" max="1284" width="12.140625" style="178" customWidth="1"/>
    <col min="1285" max="1285" width="7.28515625" style="178" customWidth="1"/>
    <col min="1286" max="1287" width="12.140625" style="178" customWidth="1"/>
    <col min="1288" max="1288" width="66" style="178" customWidth="1"/>
    <col min="1289" max="1521" width="10.28515625" style="178" customWidth="1"/>
    <col min="1522" max="1522" width="4.28515625" style="178" bestFit="1" customWidth="1"/>
    <col min="1523" max="1523" width="6.85546875" style="178" bestFit="1" customWidth="1"/>
    <col min="1524" max="1524" width="11" style="178" customWidth="1"/>
    <col min="1525" max="1525" width="11.140625" style="178" bestFit="1" customWidth="1"/>
    <col min="1526" max="1526" width="10.85546875" style="178" customWidth="1"/>
    <col min="1527" max="1527" width="11.5703125" style="178" customWidth="1"/>
    <col min="1528" max="1528" width="11.140625" style="178" bestFit="1" customWidth="1"/>
    <col min="1529" max="1529" width="11" style="178" customWidth="1"/>
    <col min="1530" max="1530" width="10.42578125" style="178" customWidth="1"/>
    <col min="1531" max="1531" width="11.28515625" style="178" customWidth="1"/>
    <col min="1532" max="1533" width="9.140625" style="178" bestFit="1" customWidth="1"/>
    <col min="1534" max="1534" width="11.140625" style="178"/>
    <col min="1535" max="1536" width="5.42578125" style="178" customWidth="1"/>
    <col min="1537" max="1537" width="41.85546875" style="178" customWidth="1"/>
    <col min="1538" max="1540" width="12.140625" style="178" customWidth="1"/>
    <col min="1541" max="1541" width="7.28515625" style="178" customWidth="1"/>
    <col min="1542" max="1543" width="12.140625" style="178" customWidth="1"/>
    <col min="1544" max="1544" width="66" style="178" customWidth="1"/>
    <col min="1545" max="1777" width="10.28515625" style="178" customWidth="1"/>
    <col min="1778" max="1778" width="4.28515625" style="178" bestFit="1" customWidth="1"/>
    <col min="1779" max="1779" width="6.85546875" style="178" bestFit="1" customWidth="1"/>
    <col min="1780" max="1780" width="11" style="178" customWidth="1"/>
    <col min="1781" max="1781" width="11.140625" style="178" bestFit="1" customWidth="1"/>
    <col min="1782" max="1782" width="10.85546875" style="178" customWidth="1"/>
    <col min="1783" max="1783" width="11.5703125" style="178" customWidth="1"/>
    <col min="1784" max="1784" width="11.140625" style="178" bestFit="1" customWidth="1"/>
    <col min="1785" max="1785" width="11" style="178" customWidth="1"/>
    <col min="1786" max="1786" width="10.42578125" style="178" customWidth="1"/>
    <col min="1787" max="1787" width="11.28515625" style="178" customWidth="1"/>
    <col min="1788" max="1789" width="9.140625" style="178" bestFit="1" customWidth="1"/>
    <col min="1790" max="1790" width="11.140625" style="178"/>
    <col min="1791" max="1792" width="5.42578125" style="178" customWidth="1"/>
    <col min="1793" max="1793" width="41.85546875" style="178" customWidth="1"/>
    <col min="1794" max="1796" width="12.140625" style="178" customWidth="1"/>
    <col min="1797" max="1797" width="7.28515625" style="178" customWidth="1"/>
    <col min="1798" max="1799" width="12.140625" style="178" customWidth="1"/>
    <col min="1800" max="1800" width="66" style="178" customWidth="1"/>
    <col min="1801" max="2033" width="10.28515625" style="178" customWidth="1"/>
    <col min="2034" max="2034" width="4.28515625" style="178" bestFit="1" customWidth="1"/>
    <col min="2035" max="2035" width="6.85546875" style="178" bestFit="1" customWidth="1"/>
    <col min="2036" max="2036" width="11" style="178" customWidth="1"/>
    <col min="2037" max="2037" width="11.140625" style="178" bestFit="1" customWidth="1"/>
    <col min="2038" max="2038" width="10.85546875" style="178" customWidth="1"/>
    <col min="2039" max="2039" width="11.5703125" style="178" customWidth="1"/>
    <col min="2040" max="2040" width="11.140625" style="178" bestFit="1" customWidth="1"/>
    <col min="2041" max="2041" width="11" style="178" customWidth="1"/>
    <col min="2042" max="2042" width="10.42578125" style="178" customWidth="1"/>
    <col min="2043" max="2043" width="11.28515625" style="178" customWidth="1"/>
    <col min="2044" max="2045" width="9.140625" style="178" bestFit="1" customWidth="1"/>
    <col min="2046" max="2046" width="11.140625" style="178"/>
    <col min="2047" max="2048" width="5.42578125" style="178" customWidth="1"/>
    <col min="2049" max="2049" width="41.85546875" style="178" customWidth="1"/>
    <col min="2050" max="2052" width="12.140625" style="178" customWidth="1"/>
    <col min="2053" max="2053" width="7.28515625" style="178" customWidth="1"/>
    <col min="2054" max="2055" width="12.140625" style="178" customWidth="1"/>
    <col min="2056" max="2056" width="66" style="178" customWidth="1"/>
    <col min="2057" max="2289" width="10.28515625" style="178" customWidth="1"/>
    <col min="2290" max="2290" width="4.28515625" style="178" bestFit="1" customWidth="1"/>
    <col min="2291" max="2291" width="6.85546875" style="178" bestFit="1" customWidth="1"/>
    <col min="2292" max="2292" width="11" style="178" customWidth="1"/>
    <col min="2293" max="2293" width="11.140625" style="178" bestFit="1" customWidth="1"/>
    <col min="2294" max="2294" width="10.85546875" style="178" customWidth="1"/>
    <col min="2295" max="2295" width="11.5703125" style="178" customWidth="1"/>
    <col min="2296" max="2296" width="11.140625" style="178" bestFit="1" customWidth="1"/>
    <col min="2297" max="2297" width="11" style="178" customWidth="1"/>
    <col min="2298" max="2298" width="10.42578125" style="178" customWidth="1"/>
    <col min="2299" max="2299" width="11.28515625" style="178" customWidth="1"/>
    <col min="2300" max="2301" width="9.140625" style="178" bestFit="1" customWidth="1"/>
    <col min="2302" max="2302" width="11.140625" style="178"/>
    <col min="2303" max="2304" width="5.42578125" style="178" customWidth="1"/>
    <col min="2305" max="2305" width="41.85546875" style="178" customWidth="1"/>
    <col min="2306" max="2308" width="12.140625" style="178" customWidth="1"/>
    <col min="2309" max="2309" width="7.28515625" style="178" customWidth="1"/>
    <col min="2310" max="2311" width="12.140625" style="178" customWidth="1"/>
    <col min="2312" max="2312" width="66" style="178" customWidth="1"/>
    <col min="2313" max="2545" width="10.28515625" style="178" customWidth="1"/>
    <col min="2546" max="2546" width="4.28515625" style="178" bestFit="1" customWidth="1"/>
    <col min="2547" max="2547" width="6.85546875" style="178" bestFit="1" customWidth="1"/>
    <col min="2548" max="2548" width="11" style="178" customWidth="1"/>
    <col min="2549" max="2549" width="11.140625" style="178" bestFit="1" customWidth="1"/>
    <col min="2550" max="2550" width="10.85546875" style="178" customWidth="1"/>
    <col min="2551" max="2551" width="11.5703125" style="178" customWidth="1"/>
    <col min="2552" max="2552" width="11.140625" style="178" bestFit="1" customWidth="1"/>
    <col min="2553" max="2553" width="11" style="178" customWidth="1"/>
    <col min="2554" max="2554" width="10.42578125" style="178" customWidth="1"/>
    <col min="2555" max="2555" width="11.28515625" style="178" customWidth="1"/>
    <col min="2556" max="2557" width="9.140625" style="178" bestFit="1" customWidth="1"/>
    <col min="2558" max="2558" width="11.140625" style="178"/>
    <col min="2559" max="2560" width="5.42578125" style="178" customWidth="1"/>
    <col min="2561" max="2561" width="41.85546875" style="178" customWidth="1"/>
    <col min="2562" max="2564" width="12.140625" style="178" customWidth="1"/>
    <col min="2565" max="2565" width="7.28515625" style="178" customWidth="1"/>
    <col min="2566" max="2567" width="12.140625" style="178" customWidth="1"/>
    <col min="2568" max="2568" width="66" style="178" customWidth="1"/>
    <col min="2569" max="2801" width="10.28515625" style="178" customWidth="1"/>
    <col min="2802" max="2802" width="4.28515625" style="178" bestFit="1" customWidth="1"/>
    <col min="2803" max="2803" width="6.85546875" style="178" bestFit="1" customWidth="1"/>
    <col min="2804" max="2804" width="11" style="178" customWidth="1"/>
    <col min="2805" max="2805" width="11.140625" style="178" bestFit="1" customWidth="1"/>
    <col min="2806" max="2806" width="10.85546875" style="178" customWidth="1"/>
    <col min="2807" max="2807" width="11.5703125" style="178" customWidth="1"/>
    <col min="2808" max="2808" width="11.140625" style="178" bestFit="1" customWidth="1"/>
    <col min="2809" max="2809" width="11" style="178" customWidth="1"/>
    <col min="2810" max="2810" width="10.42578125" style="178" customWidth="1"/>
    <col min="2811" max="2811" width="11.28515625" style="178" customWidth="1"/>
    <col min="2812" max="2813" width="9.140625" style="178" bestFit="1" customWidth="1"/>
    <col min="2814" max="2814" width="11.140625" style="178"/>
    <col min="2815" max="2816" width="5.42578125" style="178" customWidth="1"/>
    <col min="2817" max="2817" width="41.85546875" style="178" customWidth="1"/>
    <col min="2818" max="2820" width="12.140625" style="178" customWidth="1"/>
    <col min="2821" max="2821" width="7.28515625" style="178" customWidth="1"/>
    <col min="2822" max="2823" width="12.140625" style="178" customWidth="1"/>
    <col min="2824" max="2824" width="66" style="178" customWidth="1"/>
    <col min="2825" max="3057" width="10.28515625" style="178" customWidth="1"/>
    <col min="3058" max="3058" width="4.28515625" style="178" bestFit="1" customWidth="1"/>
    <col min="3059" max="3059" width="6.85546875" style="178" bestFit="1" customWidth="1"/>
    <col min="3060" max="3060" width="11" style="178" customWidth="1"/>
    <col min="3061" max="3061" width="11.140625" style="178" bestFit="1" customWidth="1"/>
    <col min="3062" max="3062" width="10.85546875" style="178" customWidth="1"/>
    <col min="3063" max="3063" width="11.5703125" style="178" customWidth="1"/>
    <col min="3064" max="3064" width="11.140625" style="178" bestFit="1" customWidth="1"/>
    <col min="3065" max="3065" width="11" style="178" customWidth="1"/>
    <col min="3066" max="3066" width="10.42578125" style="178" customWidth="1"/>
    <col min="3067" max="3067" width="11.28515625" style="178" customWidth="1"/>
    <col min="3068" max="3069" width="9.140625" style="178" bestFit="1" customWidth="1"/>
    <col min="3070" max="3070" width="11.140625" style="178"/>
    <col min="3071" max="3072" width="5.42578125" style="178" customWidth="1"/>
    <col min="3073" max="3073" width="41.85546875" style="178" customWidth="1"/>
    <col min="3074" max="3076" width="12.140625" style="178" customWidth="1"/>
    <col min="3077" max="3077" width="7.28515625" style="178" customWidth="1"/>
    <col min="3078" max="3079" width="12.140625" style="178" customWidth="1"/>
    <col min="3080" max="3080" width="66" style="178" customWidth="1"/>
    <col min="3081" max="3313" width="10.28515625" style="178" customWidth="1"/>
    <col min="3314" max="3314" width="4.28515625" style="178" bestFit="1" customWidth="1"/>
    <col min="3315" max="3315" width="6.85546875" style="178" bestFit="1" customWidth="1"/>
    <col min="3316" max="3316" width="11" style="178" customWidth="1"/>
    <col min="3317" max="3317" width="11.140625" style="178" bestFit="1" customWidth="1"/>
    <col min="3318" max="3318" width="10.85546875" style="178" customWidth="1"/>
    <col min="3319" max="3319" width="11.5703125" style="178" customWidth="1"/>
    <col min="3320" max="3320" width="11.140625" style="178" bestFit="1" customWidth="1"/>
    <col min="3321" max="3321" width="11" style="178" customWidth="1"/>
    <col min="3322" max="3322" width="10.42578125" style="178" customWidth="1"/>
    <col min="3323" max="3323" width="11.28515625" style="178" customWidth="1"/>
    <col min="3324" max="3325" width="9.140625" style="178" bestFit="1" customWidth="1"/>
    <col min="3326" max="3326" width="11.140625" style="178"/>
    <col min="3327" max="3328" width="5.42578125" style="178" customWidth="1"/>
    <col min="3329" max="3329" width="41.85546875" style="178" customWidth="1"/>
    <col min="3330" max="3332" width="12.140625" style="178" customWidth="1"/>
    <col min="3333" max="3333" width="7.28515625" style="178" customWidth="1"/>
    <col min="3334" max="3335" width="12.140625" style="178" customWidth="1"/>
    <col min="3336" max="3336" width="66" style="178" customWidth="1"/>
    <col min="3337" max="3569" width="10.28515625" style="178" customWidth="1"/>
    <col min="3570" max="3570" width="4.28515625" style="178" bestFit="1" customWidth="1"/>
    <col min="3571" max="3571" width="6.85546875" style="178" bestFit="1" customWidth="1"/>
    <col min="3572" max="3572" width="11" style="178" customWidth="1"/>
    <col min="3573" max="3573" width="11.140625" style="178" bestFit="1" customWidth="1"/>
    <col min="3574" max="3574" width="10.85546875" style="178" customWidth="1"/>
    <col min="3575" max="3575" width="11.5703125" style="178" customWidth="1"/>
    <col min="3576" max="3576" width="11.140625" style="178" bestFit="1" customWidth="1"/>
    <col min="3577" max="3577" width="11" style="178" customWidth="1"/>
    <col min="3578" max="3578" width="10.42578125" style="178" customWidth="1"/>
    <col min="3579" max="3579" width="11.28515625" style="178" customWidth="1"/>
    <col min="3580" max="3581" width="9.140625" style="178" bestFit="1" customWidth="1"/>
    <col min="3582" max="3582" width="11.140625" style="178"/>
    <col min="3583" max="3584" width="5.42578125" style="178" customWidth="1"/>
    <col min="3585" max="3585" width="41.85546875" style="178" customWidth="1"/>
    <col min="3586" max="3588" width="12.140625" style="178" customWidth="1"/>
    <col min="3589" max="3589" width="7.28515625" style="178" customWidth="1"/>
    <col min="3590" max="3591" width="12.140625" style="178" customWidth="1"/>
    <col min="3592" max="3592" width="66" style="178" customWidth="1"/>
    <col min="3593" max="3825" width="10.28515625" style="178" customWidth="1"/>
    <col min="3826" max="3826" width="4.28515625" style="178" bestFit="1" customWidth="1"/>
    <col min="3827" max="3827" width="6.85546875" style="178" bestFit="1" customWidth="1"/>
    <col min="3828" max="3828" width="11" style="178" customWidth="1"/>
    <col min="3829" max="3829" width="11.140625" style="178" bestFit="1" customWidth="1"/>
    <col min="3830" max="3830" width="10.85546875" style="178" customWidth="1"/>
    <col min="3831" max="3831" width="11.5703125" style="178" customWidth="1"/>
    <col min="3832" max="3832" width="11.140625" style="178" bestFit="1" customWidth="1"/>
    <col min="3833" max="3833" width="11" style="178" customWidth="1"/>
    <col min="3834" max="3834" width="10.42578125" style="178" customWidth="1"/>
    <col min="3835" max="3835" width="11.28515625" style="178" customWidth="1"/>
    <col min="3836" max="3837" width="9.140625" style="178" bestFit="1" customWidth="1"/>
    <col min="3838" max="3838" width="11.140625" style="178"/>
    <col min="3839" max="3840" width="5.42578125" style="178" customWidth="1"/>
    <col min="3841" max="3841" width="41.85546875" style="178" customWidth="1"/>
    <col min="3842" max="3844" width="12.140625" style="178" customWidth="1"/>
    <col min="3845" max="3845" width="7.28515625" style="178" customWidth="1"/>
    <col min="3846" max="3847" width="12.140625" style="178" customWidth="1"/>
    <col min="3848" max="3848" width="66" style="178" customWidth="1"/>
    <col min="3849" max="4081" width="10.28515625" style="178" customWidth="1"/>
    <col min="4082" max="4082" width="4.28515625" style="178" bestFit="1" customWidth="1"/>
    <col min="4083" max="4083" width="6.85546875" style="178" bestFit="1" customWidth="1"/>
    <col min="4084" max="4084" width="11" style="178" customWidth="1"/>
    <col min="4085" max="4085" width="11.140625" style="178" bestFit="1" customWidth="1"/>
    <col min="4086" max="4086" width="10.85546875" style="178" customWidth="1"/>
    <col min="4087" max="4087" width="11.5703125" style="178" customWidth="1"/>
    <col min="4088" max="4088" width="11.140625" style="178" bestFit="1" customWidth="1"/>
    <col min="4089" max="4089" width="11" style="178" customWidth="1"/>
    <col min="4090" max="4090" width="10.42578125" style="178" customWidth="1"/>
    <col min="4091" max="4091" width="11.28515625" style="178" customWidth="1"/>
    <col min="4092" max="4093" width="9.140625" style="178" bestFit="1" customWidth="1"/>
    <col min="4094" max="4094" width="11.140625" style="178"/>
    <col min="4095" max="4096" width="5.42578125" style="178" customWidth="1"/>
    <col min="4097" max="4097" width="41.85546875" style="178" customWidth="1"/>
    <col min="4098" max="4100" width="12.140625" style="178" customWidth="1"/>
    <col min="4101" max="4101" width="7.28515625" style="178" customWidth="1"/>
    <col min="4102" max="4103" width="12.140625" style="178" customWidth="1"/>
    <col min="4104" max="4104" width="66" style="178" customWidth="1"/>
    <col min="4105" max="4337" width="10.28515625" style="178" customWidth="1"/>
    <col min="4338" max="4338" width="4.28515625" style="178" bestFit="1" customWidth="1"/>
    <col min="4339" max="4339" width="6.85546875" style="178" bestFit="1" customWidth="1"/>
    <col min="4340" max="4340" width="11" style="178" customWidth="1"/>
    <col min="4341" max="4341" width="11.140625" style="178" bestFit="1" customWidth="1"/>
    <col min="4342" max="4342" width="10.85546875" style="178" customWidth="1"/>
    <col min="4343" max="4343" width="11.5703125" style="178" customWidth="1"/>
    <col min="4344" max="4344" width="11.140625" style="178" bestFit="1" customWidth="1"/>
    <col min="4345" max="4345" width="11" style="178" customWidth="1"/>
    <col min="4346" max="4346" width="10.42578125" style="178" customWidth="1"/>
    <col min="4347" max="4347" width="11.28515625" style="178" customWidth="1"/>
    <col min="4348" max="4349" width="9.140625" style="178" bestFit="1" customWidth="1"/>
    <col min="4350" max="4350" width="11.140625" style="178"/>
    <col min="4351" max="4352" width="5.42578125" style="178" customWidth="1"/>
    <col min="4353" max="4353" width="41.85546875" style="178" customWidth="1"/>
    <col min="4354" max="4356" width="12.140625" style="178" customWidth="1"/>
    <col min="4357" max="4357" width="7.28515625" style="178" customWidth="1"/>
    <col min="4358" max="4359" width="12.140625" style="178" customWidth="1"/>
    <col min="4360" max="4360" width="66" style="178" customWidth="1"/>
    <col min="4361" max="4593" width="10.28515625" style="178" customWidth="1"/>
    <col min="4594" max="4594" width="4.28515625" style="178" bestFit="1" customWidth="1"/>
    <col min="4595" max="4595" width="6.85546875" style="178" bestFit="1" customWidth="1"/>
    <col min="4596" max="4596" width="11" style="178" customWidth="1"/>
    <col min="4597" max="4597" width="11.140625" style="178" bestFit="1" customWidth="1"/>
    <col min="4598" max="4598" width="10.85546875" style="178" customWidth="1"/>
    <col min="4599" max="4599" width="11.5703125" style="178" customWidth="1"/>
    <col min="4600" max="4600" width="11.140625" style="178" bestFit="1" customWidth="1"/>
    <col min="4601" max="4601" width="11" style="178" customWidth="1"/>
    <col min="4602" max="4602" width="10.42578125" style="178" customWidth="1"/>
    <col min="4603" max="4603" width="11.28515625" style="178" customWidth="1"/>
    <col min="4604" max="4605" width="9.140625" style="178" bestFit="1" customWidth="1"/>
    <col min="4606" max="4606" width="11.140625" style="178"/>
    <col min="4607" max="4608" width="5.42578125" style="178" customWidth="1"/>
    <col min="4609" max="4609" width="41.85546875" style="178" customWidth="1"/>
    <col min="4610" max="4612" width="12.140625" style="178" customWidth="1"/>
    <col min="4613" max="4613" width="7.28515625" style="178" customWidth="1"/>
    <col min="4614" max="4615" width="12.140625" style="178" customWidth="1"/>
    <col min="4616" max="4616" width="66" style="178" customWidth="1"/>
    <col min="4617" max="4849" width="10.28515625" style="178" customWidth="1"/>
    <col min="4850" max="4850" width="4.28515625" style="178" bestFit="1" customWidth="1"/>
    <col min="4851" max="4851" width="6.85546875" style="178" bestFit="1" customWidth="1"/>
    <col min="4852" max="4852" width="11" style="178" customWidth="1"/>
    <col min="4853" max="4853" width="11.140625" style="178" bestFit="1" customWidth="1"/>
    <col min="4854" max="4854" width="10.85546875" style="178" customWidth="1"/>
    <col min="4855" max="4855" width="11.5703125" style="178" customWidth="1"/>
    <col min="4856" max="4856" width="11.140625" style="178" bestFit="1" customWidth="1"/>
    <col min="4857" max="4857" width="11" style="178" customWidth="1"/>
    <col min="4858" max="4858" width="10.42578125" style="178" customWidth="1"/>
    <col min="4859" max="4859" width="11.28515625" style="178" customWidth="1"/>
    <col min="4860" max="4861" width="9.140625" style="178" bestFit="1" customWidth="1"/>
    <col min="4862" max="4862" width="11.140625" style="178"/>
    <col min="4863" max="4864" width="5.42578125" style="178" customWidth="1"/>
    <col min="4865" max="4865" width="41.85546875" style="178" customWidth="1"/>
    <col min="4866" max="4868" width="12.140625" style="178" customWidth="1"/>
    <col min="4869" max="4869" width="7.28515625" style="178" customWidth="1"/>
    <col min="4870" max="4871" width="12.140625" style="178" customWidth="1"/>
    <col min="4872" max="4872" width="66" style="178" customWidth="1"/>
    <col min="4873" max="5105" width="10.28515625" style="178" customWidth="1"/>
    <col min="5106" max="5106" width="4.28515625" style="178" bestFit="1" customWidth="1"/>
    <col min="5107" max="5107" width="6.85546875" style="178" bestFit="1" customWidth="1"/>
    <col min="5108" max="5108" width="11" style="178" customWidth="1"/>
    <col min="5109" max="5109" width="11.140625" style="178" bestFit="1" customWidth="1"/>
    <col min="5110" max="5110" width="10.85546875" style="178" customWidth="1"/>
    <col min="5111" max="5111" width="11.5703125" style="178" customWidth="1"/>
    <col min="5112" max="5112" width="11.140625" style="178" bestFit="1" customWidth="1"/>
    <col min="5113" max="5113" width="11" style="178" customWidth="1"/>
    <col min="5114" max="5114" width="10.42578125" style="178" customWidth="1"/>
    <col min="5115" max="5115" width="11.28515625" style="178" customWidth="1"/>
    <col min="5116" max="5117" width="9.140625" style="178" bestFit="1" customWidth="1"/>
    <col min="5118" max="5118" width="11.140625" style="178"/>
    <col min="5119" max="5120" width="5.42578125" style="178" customWidth="1"/>
    <col min="5121" max="5121" width="41.85546875" style="178" customWidth="1"/>
    <col min="5122" max="5124" width="12.140625" style="178" customWidth="1"/>
    <col min="5125" max="5125" width="7.28515625" style="178" customWidth="1"/>
    <col min="5126" max="5127" width="12.140625" style="178" customWidth="1"/>
    <col min="5128" max="5128" width="66" style="178" customWidth="1"/>
    <col min="5129" max="5361" width="10.28515625" style="178" customWidth="1"/>
    <col min="5362" max="5362" width="4.28515625" style="178" bestFit="1" customWidth="1"/>
    <col min="5363" max="5363" width="6.85546875" style="178" bestFit="1" customWidth="1"/>
    <col min="5364" max="5364" width="11" style="178" customWidth="1"/>
    <col min="5365" max="5365" width="11.140625" style="178" bestFit="1" customWidth="1"/>
    <col min="5366" max="5366" width="10.85546875" style="178" customWidth="1"/>
    <col min="5367" max="5367" width="11.5703125" style="178" customWidth="1"/>
    <col min="5368" max="5368" width="11.140625" style="178" bestFit="1" customWidth="1"/>
    <col min="5369" max="5369" width="11" style="178" customWidth="1"/>
    <col min="5370" max="5370" width="10.42578125" style="178" customWidth="1"/>
    <col min="5371" max="5371" width="11.28515625" style="178" customWidth="1"/>
    <col min="5372" max="5373" width="9.140625" style="178" bestFit="1" customWidth="1"/>
    <col min="5374" max="5374" width="11.140625" style="178"/>
    <col min="5375" max="5376" width="5.42578125" style="178" customWidth="1"/>
    <col min="5377" max="5377" width="41.85546875" style="178" customWidth="1"/>
    <col min="5378" max="5380" width="12.140625" style="178" customWidth="1"/>
    <col min="5381" max="5381" width="7.28515625" style="178" customWidth="1"/>
    <col min="5382" max="5383" width="12.140625" style="178" customWidth="1"/>
    <col min="5384" max="5384" width="66" style="178" customWidth="1"/>
    <col min="5385" max="5617" width="10.28515625" style="178" customWidth="1"/>
    <col min="5618" max="5618" width="4.28515625" style="178" bestFit="1" customWidth="1"/>
    <col min="5619" max="5619" width="6.85546875" style="178" bestFit="1" customWidth="1"/>
    <col min="5620" max="5620" width="11" style="178" customWidth="1"/>
    <col min="5621" max="5621" width="11.140625" style="178" bestFit="1" customWidth="1"/>
    <col min="5622" max="5622" width="10.85546875" style="178" customWidth="1"/>
    <col min="5623" max="5623" width="11.5703125" style="178" customWidth="1"/>
    <col min="5624" max="5624" width="11.140625" style="178" bestFit="1" customWidth="1"/>
    <col min="5625" max="5625" width="11" style="178" customWidth="1"/>
    <col min="5626" max="5626" width="10.42578125" style="178" customWidth="1"/>
    <col min="5627" max="5627" width="11.28515625" style="178" customWidth="1"/>
    <col min="5628" max="5629" width="9.140625" style="178" bestFit="1" customWidth="1"/>
    <col min="5630" max="5630" width="11.140625" style="178"/>
    <col min="5631" max="5632" width="5.42578125" style="178" customWidth="1"/>
    <col min="5633" max="5633" width="41.85546875" style="178" customWidth="1"/>
    <col min="5634" max="5636" width="12.140625" style="178" customWidth="1"/>
    <col min="5637" max="5637" width="7.28515625" style="178" customWidth="1"/>
    <col min="5638" max="5639" width="12.140625" style="178" customWidth="1"/>
    <col min="5640" max="5640" width="66" style="178" customWidth="1"/>
    <col min="5641" max="5873" width="10.28515625" style="178" customWidth="1"/>
    <col min="5874" max="5874" width="4.28515625" style="178" bestFit="1" customWidth="1"/>
    <col min="5875" max="5875" width="6.85546875" style="178" bestFit="1" customWidth="1"/>
    <col min="5876" max="5876" width="11" style="178" customWidth="1"/>
    <col min="5877" max="5877" width="11.140625" style="178" bestFit="1" customWidth="1"/>
    <col min="5878" max="5878" width="10.85546875" style="178" customWidth="1"/>
    <col min="5879" max="5879" width="11.5703125" style="178" customWidth="1"/>
    <col min="5880" max="5880" width="11.140625" style="178" bestFit="1" customWidth="1"/>
    <col min="5881" max="5881" width="11" style="178" customWidth="1"/>
    <col min="5882" max="5882" width="10.42578125" style="178" customWidth="1"/>
    <col min="5883" max="5883" width="11.28515625" style="178" customWidth="1"/>
    <col min="5884" max="5885" width="9.140625" style="178" bestFit="1" customWidth="1"/>
    <col min="5886" max="5886" width="11.140625" style="178"/>
    <col min="5887" max="5888" width="5.42578125" style="178" customWidth="1"/>
    <col min="5889" max="5889" width="41.85546875" style="178" customWidth="1"/>
    <col min="5890" max="5892" width="12.140625" style="178" customWidth="1"/>
    <col min="5893" max="5893" width="7.28515625" style="178" customWidth="1"/>
    <col min="5894" max="5895" width="12.140625" style="178" customWidth="1"/>
    <col min="5896" max="5896" width="66" style="178" customWidth="1"/>
    <col min="5897" max="6129" width="10.28515625" style="178" customWidth="1"/>
    <col min="6130" max="6130" width="4.28515625" style="178" bestFit="1" customWidth="1"/>
    <col min="6131" max="6131" width="6.85546875" style="178" bestFit="1" customWidth="1"/>
    <col min="6132" max="6132" width="11" style="178" customWidth="1"/>
    <col min="6133" max="6133" width="11.140625" style="178" bestFit="1" customWidth="1"/>
    <col min="6134" max="6134" width="10.85546875" style="178" customWidth="1"/>
    <col min="6135" max="6135" width="11.5703125" style="178" customWidth="1"/>
    <col min="6136" max="6136" width="11.140625" style="178" bestFit="1" customWidth="1"/>
    <col min="6137" max="6137" width="11" style="178" customWidth="1"/>
    <col min="6138" max="6138" width="10.42578125" style="178" customWidth="1"/>
    <col min="6139" max="6139" width="11.28515625" style="178" customWidth="1"/>
    <col min="6140" max="6141" width="9.140625" style="178" bestFit="1" customWidth="1"/>
    <col min="6142" max="6142" width="11.140625" style="178"/>
    <col min="6143" max="6144" width="5.42578125" style="178" customWidth="1"/>
    <col min="6145" max="6145" width="41.85546875" style="178" customWidth="1"/>
    <col min="6146" max="6148" width="12.140625" style="178" customWidth="1"/>
    <col min="6149" max="6149" width="7.28515625" style="178" customWidth="1"/>
    <col min="6150" max="6151" width="12.140625" style="178" customWidth="1"/>
    <col min="6152" max="6152" width="66" style="178" customWidth="1"/>
    <col min="6153" max="6385" width="10.28515625" style="178" customWidth="1"/>
    <col min="6386" max="6386" width="4.28515625" style="178" bestFit="1" customWidth="1"/>
    <col min="6387" max="6387" width="6.85546875" style="178" bestFit="1" customWidth="1"/>
    <col min="6388" max="6388" width="11" style="178" customWidth="1"/>
    <col min="6389" max="6389" width="11.140625" style="178" bestFit="1" customWidth="1"/>
    <col min="6390" max="6390" width="10.85546875" style="178" customWidth="1"/>
    <col min="6391" max="6391" width="11.5703125" style="178" customWidth="1"/>
    <col min="6392" max="6392" width="11.140625" style="178" bestFit="1" customWidth="1"/>
    <col min="6393" max="6393" width="11" style="178" customWidth="1"/>
    <col min="6394" max="6394" width="10.42578125" style="178" customWidth="1"/>
    <col min="6395" max="6395" width="11.28515625" style="178" customWidth="1"/>
    <col min="6396" max="6397" width="9.140625" style="178" bestFit="1" customWidth="1"/>
    <col min="6398" max="6398" width="11.140625" style="178"/>
    <col min="6399" max="6400" width="5.42578125" style="178" customWidth="1"/>
    <col min="6401" max="6401" width="41.85546875" style="178" customWidth="1"/>
    <col min="6402" max="6404" width="12.140625" style="178" customWidth="1"/>
    <col min="6405" max="6405" width="7.28515625" style="178" customWidth="1"/>
    <col min="6406" max="6407" width="12.140625" style="178" customWidth="1"/>
    <col min="6408" max="6408" width="66" style="178" customWidth="1"/>
    <col min="6409" max="6641" width="10.28515625" style="178" customWidth="1"/>
    <col min="6642" max="6642" width="4.28515625" style="178" bestFit="1" customWidth="1"/>
    <col min="6643" max="6643" width="6.85546875" style="178" bestFit="1" customWidth="1"/>
    <col min="6644" max="6644" width="11" style="178" customWidth="1"/>
    <col min="6645" max="6645" width="11.140625" style="178" bestFit="1" customWidth="1"/>
    <col min="6646" max="6646" width="10.85546875" style="178" customWidth="1"/>
    <col min="6647" max="6647" width="11.5703125" style="178" customWidth="1"/>
    <col min="6648" max="6648" width="11.140625" style="178" bestFit="1" customWidth="1"/>
    <col min="6649" max="6649" width="11" style="178" customWidth="1"/>
    <col min="6650" max="6650" width="10.42578125" style="178" customWidth="1"/>
    <col min="6651" max="6651" width="11.28515625" style="178" customWidth="1"/>
    <col min="6652" max="6653" width="9.140625" style="178" bestFit="1" customWidth="1"/>
    <col min="6654" max="6654" width="11.140625" style="178"/>
    <col min="6655" max="6656" width="5.42578125" style="178" customWidth="1"/>
    <col min="6657" max="6657" width="41.85546875" style="178" customWidth="1"/>
    <col min="6658" max="6660" width="12.140625" style="178" customWidth="1"/>
    <col min="6661" max="6661" width="7.28515625" style="178" customWidth="1"/>
    <col min="6662" max="6663" width="12.140625" style="178" customWidth="1"/>
    <col min="6664" max="6664" width="66" style="178" customWidth="1"/>
    <col min="6665" max="6897" width="10.28515625" style="178" customWidth="1"/>
    <col min="6898" max="6898" width="4.28515625" style="178" bestFit="1" customWidth="1"/>
    <col min="6899" max="6899" width="6.85546875" style="178" bestFit="1" customWidth="1"/>
    <col min="6900" max="6900" width="11" style="178" customWidth="1"/>
    <col min="6901" max="6901" width="11.140625" style="178" bestFit="1" customWidth="1"/>
    <col min="6902" max="6902" width="10.85546875" style="178" customWidth="1"/>
    <col min="6903" max="6903" width="11.5703125" style="178" customWidth="1"/>
    <col min="6904" max="6904" width="11.140625" style="178" bestFit="1" customWidth="1"/>
    <col min="6905" max="6905" width="11" style="178" customWidth="1"/>
    <col min="6906" max="6906" width="10.42578125" style="178" customWidth="1"/>
    <col min="6907" max="6907" width="11.28515625" style="178" customWidth="1"/>
    <col min="6908" max="6909" width="9.140625" style="178" bestFit="1" customWidth="1"/>
    <col min="6910" max="6910" width="11.140625" style="178"/>
    <col min="6911" max="6912" width="5.42578125" style="178" customWidth="1"/>
    <col min="6913" max="6913" width="41.85546875" style="178" customWidth="1"/>
    <col min="6914" max="6916" width="12.140625" style="178" customWidth="1"/>
    <col min="6917" max="6917" width="7.28515625" style="178" customWidth="1"/>
    <col min="6918" max="6919" width="12.140625" style="178" customWidth="1"/>
    <col min="6920" max="6920" width="66" style="178" customWidth="1"/>
    <col min="6921" max="7153" width="10.28515625" style="178" customWidth="1"/>
    <col min="7154" max="7154" width="4.28515625" style="178" bestFit="1" customWidth="1"/>
    <col min="7155" max="7155" width="6.85546875" style="178" bestFit="1" customWidth="1"/>
    <col min="7156" max="7156" width="11" style="178" customWidth="1"/>
    <col min="7157" max="7157" width="11.140625" style="178" bestFit="1" customWidth="1"/>
    <col min="7158" max="7158" width="10.85546875" style="178" customWidth="1"/>
    <col min="7159" max="7159" width="11.5703125" style="178" customWidth="1"/>
    <col min="7160" max="7160" width="11.140625" style="178" bestFit="1" customWidth="1"/>
    <col min="7161" max="7161" width="11" style="178" customWidth="1"/>
    <col min="7162" max="7162" width="10.42578125" style="178" customWidth="1"/>
    <col min="7163" max="7163" width="11.28515625" style="178" customWidth="1"/>
    <col min="7164" max="7165" width="9.140625" style="178" bestFit="1" customWidth="1"/>
    <col min="7166" max="7166" width="11.140625" style="178"/>
    <col min="7167" max="7168" width="5.42578125" style="178" customWidth="1"/>
    <col min="7169" max="7169" width="41.85546875" style="178" customWidth="1"/>
    <col min="7170" max="7172" width="12.140625" style="178" customWidth="1"/>
    <col min="7173" max="7173" width="7.28515625" style="178" customWidth="1"/>
    <col min="7174" max="7175" width="12.140625" style="178" customWidth="1"/>
    <col min="7176" max="7176" width="66" style="178" customWidth="1"/>
    <col min="7177" max="7409" width="10.28515625" style="178" customWidth="1"/>
    <col min="7410" max="7410" width="4.28515625" style="178" bestFit="1" customWidth="1"/>
    <col min="7411" max="7411" width="6.85546875" style="178" bestFit="1" customWidth="1"/>
    <col min="7412" max="7412" width="11" style="178" customWidth="1"/>
    <col min="7413" max="7413" width="11.140625" style="178" bestFit="1" customWidth="1"/>
    <col min="7414" max="7414" width="10.85546875" style="178" customWidth="1"/>
    <col min="7415" max="7415" width="11.5703125" style="178" customWidth="1"/>
    <col min="7416" max="7416" width="11.140625" style="178" bestFit="1" customWidth="1"/>
    <col min="7417" max="7417" width="11" style="178" customWidth="1"/>
    <col min="7418" max="7418" width="10.42578125" style="178" customWidth="1"/>
    <col min="7419" max="7419" width="11.28515625" style="178" customWidth="1"/>
    <col min="7420" max="7421" width="9.140625" style="178" bestFit="1" customWidth="1"/>
    <col min="7422" max="7422" width="11.140625" style="178"/>
    <col min="7423" max="7424" width="5.42578125" style="178" customWidth="1"/>
    <col min="7425" max="7425" width="41.85546875" style="178" customWidth="1"/>
    <col min="7426" max="7428" width="12.140625" style="178" customWidth="1"/>
    <col min="7429" max="7429" width="7.28515625" style="178" customWidth="1"/>
    <col min="7430" max="7431" width="12.140625" style="178" customWidth="1"/>
    <col min="7432" max="7432" width="66" style="178" customWidth="1"/>
    <col min="7433" max="7665" width="10.28515625" style="178" customWidth="1"/>
    <col min="7666" max="7666" width="4.28515625" style="178" bestFit="1" customWidth="1"/>
    <col min="7667" max="7667" width="6.85546875" style="178" bestFit="1" customWidth="1"/>
    <col min="7668" max="7668" width="11" style="178" customWidth="1"/>
    <col min="7669" max="7669" width="11.140625" style="178" bestFit="1" customWidth="1"/>
    <col min="7670" max="7670" width="10.85546875" style="178" customWidth="1"/>
    <col min="7671" max="7671" width="11.5703125" style="178" customWidth="1"/>
    <col min="7672" max="7672" width="11.140625" style="178" bestFit="1" customWidth="1"/>
    <col min="7673" max="7673" width="11" style="178" customWidth="1"/>
    <col min="7674" max="7674" width="10.42578125" style="178" customWidth="1"/>
    <col min="7675" max="7675" width="11.28515625" style="178" customWidth="1"/>
    <col min="7676" max="7677" width="9.140625" style="178" bestFit="1" customWidth="1"/>
    <col min="7678" max="7678" width="11.140625" style="178"/>
    <col min="7679" max="7680" width="5.42578125" style="178" customWidth="1"/>
    <col min="7681" max="7681" width="41.85546875" style="178" customWidth="1"/>
    <col min="7682" max="7684" width="12.140625" style="178" customWidth="1"/>
    <col min="7685" max="7685" width="7.28515625" style="178" customWidth="1"/>
    <col min="7686" max="7687" width="12.140625" style="178" customWidth="1"/>
    <col min="7688" max="7688" width="66" style="178" customWidth="1"/>
    <col min="7689" max="7921" width="10.28515625" style="178" customWidth="1"/>
    <col min="7922" max="7922" width="4.28515625" style="178" bestFit="1" customWidth="1"/>
    <col min="7923" max="7923" width="6.85546875" style="178" bestFit="1" customWidth="1"/>
    <col min="7924" max="7924" width="11" style="178" customWidth="1"/>
    <col min="7925" max="7925" width="11.140625" style="178" bestFit="1" customWidth="1"/>
    <col min="7926" max="7926" width="10.85546875" style="178" customWidth="1"/>
    <col min="7927" max="7927" width="11.5703125" style="178" customWidth="1"/>
    <col min="7928" max="7928" width="11.140625" style="178" bestFit="1" customWidth="1"/>
    <col min="7929" max="7929" width="11" style="178" customWidth="1"/>
    <col min="7930" max="7930" width="10.42578125" style="178" customWidth="1"/>
    <col min="7931" max="7931" width="11.28515625" style="178" customWidth="1"/>
    <col min="7932" max="7933" width="9.140625" style="178" bestFit="1" customWidth="1"/>
    <col min="7934" max="7934" width="11.140625" style="178"/>
    <col min="7935" max="7936" width="5.42578125" style="178" customWidth="1"/>
    <col min="7937" max="7937" width="41.85546875" style="178" customWidth="1"/>
    <col min="7938" max="7940" width="12.140625" style="178" customWidth="1"/>
    <col min="7941" max="7941" width="7.28515625" style="178" customWidth="1"/>
    <col min="7942" max="7943" width="12.140625" style="178" customWidth="1"/>
    <col min="7944" max="7944" width="66" style="178" customWidth="1"/>
    <col min="7945" max="8177" width="10.28515625" style="178" customWidth="1"/>
    <col min="8178" max="8178" width="4.28515625" style="178" bestFit="1" customWidth="1"/>
    <col min="8179" max="8179" width="6.85546875" style="178" bestFit="1" customWidth="1"/>
    <col min="8180" max="8180" width="11" style="178" customWidth="1"/>
    <col min="8181" max="8181" width="11.140625" style="178" bestFit="1" customWidth="1"/>
    <col min="8182" max="8182" width="10.85546875" style="178" customWidth="1"/>
    <col min="8183" max="8183" width="11.5703125" style="178" customWidth="1"/>
    <col min="8184" max="8184" width="11.140625" style="178" bestFit="1" customWidth="1"/>
    <col min="8185" max="8185" width="11" style="178" customWidth="1"/>
    <col min="8186" max="8186" width="10.42578125" style="178" customWidth="1"/>
    <col min="8187" max="8187" width="11.28515625" style="178" customWidth="1"/>
    <col min="8188" max="8189" width="9.140625" style="178" bestFit="1" customWidth="1"/>
    <col min="8190" max="8190" width="11.140625" style="178"/>
    <col min="8191" max="8192" width="5.42578125" style="178" customWidth="1"/>
    <col min="8193" max="8193" width="41.85546875" style="178" customWidth="1"/>
    <col min="8194" max="8196" width="12.140625" style="178" customWidth="1"/>
    <col min="8197" max="8197" width="7.28515625" style="178" customWidth="1"/>
    <col min="8198" max="8199" width="12.140625" style="178" customWidth="1"/>
    <col min="8200" max="8200" width="66" style="178" customWidth="1"/>
    <col min="8201" max="8433" width="10.28515625" style="178" customWidth="1"/>
    <col min="8434" max="8434" width="4.28515625" style="178" bestFit="1" customWidth="1"/>
    <col min="8435" max="8435" width="6.85546875" style="178" bestFit="1" customWidth="1"/>
    <col min="8436" max="8436" width="11" style="178" customWidth="1"/>
    <col min="8437" max="8437" width="11.140625" style="178" bestFit="1" customWidth="1"/>
    <col min="8438" max="8438" width="10.85546875" style="178" customWidth="1"/>
    <col min="8439" max="8439" width="11.5703125" style="178" customWidth="1"/>
    <col min="8440" max="8440" width="11.140625" style="178" bestFit="1" customWidth="1"/>
    <col min="8441" max="8441" width="11" style="178" customWidth="1"/>
    <col min="8442" max="8442" width="10.42578125" style="178" customWidth="1"/>
    <col min="8443" max="8443" width="11.28515625" style="178" customWidth="1"/>
    <col min="8444" max="8445" width="9.140625" style="178" bestFit="1" customWidth="1"/>
    <col min="8446" max="8446" width="11.140625" style="178"/>
    <col min="8447" max="8448" width="5.42578125" style="178" customWidth="1"/>
    <col min="8449" max="8449" width="41.85546875" style="178" customWidth="1"/>
    <col min="8450" max="8452" width="12.140625" style="178" customWidth="1"/>
    <col min="8453" max="8453" width="7.28515625" style="178" customWidth="1"/>
    <col min="8454" max="8455" width="12.140625" style="178" customWidth="1"/>
    <col min="8456" max="8456" width="66" style="178" customWidth="1"/>
    <col min="8457" max="8689" width="10.28515625" style="178" customWidth="1"/>
    <col min="8690" max="8690" width="4.28515625" style="178" bestFit="1" customWidth="1"/>
    <col min="8691" max="8691" width="6.85546875" style="178" bestFit="1" customWidth="1"/>
    <col min="8692" max="8692" width="11" style="178" customWidth="1"/>
    <col min="8693" max="8693" width="11.140625" style="178" bestFit="1" customWidth="1"/>
    <col min="8694" max="8694" width="10.85546875" style="178" customWidth="1"/>
    <col min="8695" max="8695" width="11.5703125" style="178" customWidth="1"/>
    <col min="8696" max="8696" width="11.140625" style="178" bestFit="1" customWidth="1"/>
    <col min="8697" max="8697" width="11" style="178" customWidth="1"/>
    <col min="8698" max="8698" width="10.42578125" style="178" customWidth="1"/>
    <col min="8699" max="8699" width="11.28515625" style="178" customWidth="1"/>
    <col min="8700" max="8701" width="9.140625" style="178" bestFit="1" customWidth="1"/>
    <col min="8702" max="8702" width="11.140625" style="178"/>
    <col min="8703" max="8704" width="5.42578125" style="178" customWidth="1"/>
    <col min="8705" max="8705" width="41.85546875" style="178" customWidth="1"/>
    <col min="8706" max="8708" width="12.140625" style="178" customWidth="1"/>
    <col min="8709" max="8709" width="7.28515625" style="178" customWidth="1"/>
    <col min="8710" max="8711" width="12.140625" style="178" customWidth="1"/>
    <col min="8712" max="8712" width="66" style="178" customWidth="1"/>
    <col min="8713" max="8945" width="10.28515625" style="178" customWidth="1"/>
    <col min="8946" max="8946" width="4.28515625" style="178" bestFit="1" customWidth="1"/>
    <col min="8947" max="8947" width="6.85546875" style="178" bestFit="1" customWidth="1"/>
    <col min="8948" max="8948" width="11" style="178" customWidth="1"/>
    <col min="8949" max="8949" width="11.140625" style="178" bestFit="1" customWidth="1"/>
    <col min="8950" max="8950" width="10.85546875" style="178" customWidth="1"/>
    <col min="8951" max="8951" width="11.5703125" style="178" customWidth="1"/>
    <col min="8952" max="8952" width="11.140625" style="178" bestFit="1" customWidth="1"/>
    <col min="8953" max="8953" width="11" style="178" customWidth="1"/>
    <col min="8954" max="8954" width="10.42578125" style="178" customWidth="1"/>
    <col min="8955" max="8955" width="11.28515625" style="178" customWidth="1"/>
    <col min="8956" max="8957" width="9.140625" style="178" bestFit="1" customWidth="1"/>
    <col min="8958" max="8958" width="11.140625" style="178"/>
    <col min="8959" max="8960" width="5.42578125" style="178" customWidth="1"/>
    <col min="8961" max="8961" width="41.85546875" style="178" customWidth="1"/>
    <col min="8962" max="8964" width="12.140625" style="178" customWidth="1"/>
    <col min="8965" max="8965" width="7.28515625" style="178" customWidth="1"/>
    <col min="8966" max="8967" width="12.140625" style="178" customWidth="1"/>
    <col min="8968" max="8968" width="66" style="178" customWidth="1"/>
    <col min="8969" max="9201" width="10.28515625" style="178" customWidth="1"/>
    <col min="9202" max="9202" width="4.28515625" style="178" bestFit="1" customWidth="1"/>
    <col min="9203" max="9203" width="6.85546875" style="178" bestFit="1" customWidth="1"/>
    <col min="9204" max="9204" width="11" style="178" customWidth="1"/>
    <col min="9205" max="9205" width="11.140625" style="178" bestFit="1" customWidth="1"/>
    <col min="9206" max="9206" width="10.85546875" style="178" customWidth="1"/>
    <col min="9207" max="9207" width="11.5703125" style="178" customWidth="1"/>
    <col min="9208" max="9208" width="11.140625" style="178" bestFit="1" customWidth="1"/>
    <col min="9209" max="9209" width="11" style="178" customWidth="1"/>
    <col min="9210" max="9210" width="10.42578125" style="178" customWidth="1"/>
    <col min="9211" max="9211" width="11.28515625" style="178" customWidth="1"/>
    <col min="9212" max="9213" width="9.140625" style="178" bestFit="1" customWidth="1"/>
    <col min="9214" max="9214" width="11.140625" style="178"/>
    <col min="9215" max="9216" width="5.42578125" style="178" customWidth="1"/>
    <col min="9217" max="9217" width="41.85546875" style="178" customWidth="1"/>
    <col min="9218" max="9220" width="12.140625" style="178" customWidth="1"/>
    <col min="9221" max="9221" width="7.28515625" style="178" customWidth="1"/>
    <col min="9222" max="9223" width="12.140625" style="178" customWidth="1"/>
    <col min="9224" max="9224" width="66" style="178" customWidth="1"/>
    <col min="9225" max="9457" width="10.28515625" style="178" customWidth="1"/>
    <col min="9458" max="9458" width="4.28515625" style="178" bestFit="1" customWidth="1"/>
    <col min="9459" max="9459" width="6.85546875" style="178" bestFit="1" customWidth="1"/>
    <col min="9460" max="9460" width="11" style="178" customWidth="1"/>
    <col min="9461" max="9461" width="11.140625" style="178" bestFit="1" customWidth="1"/>
    <col min="9462" max="9462" width="10.85546875" style="178" customWidth="1"/>
    <col min="9463" max="9463" width="11.5703125" style="178" customWidth="1"/>
    <col min="9464" max="9464" width="11.140625" style="178" bestFit="1" customWidth="1"/>
    <col min="9465" max="9465" width="11" style="178" customWidth="1"/>
    <col min="9466" max="9466" width="10.42578125" style="178" customWidth="1"/>
    <col min="9467" max="9467" width="11.28515625" style="178" customWidth="1"/>
    <col min="9468" max="9469" width="9.140625" style="178" bestFit="1" customWidth="1"/>
    <col min="9470" max="9470" width="11.140625" style="178"/>
    <col min="9471" max="9472" width="5.42578125" style="178" customWidth="1"/>
    <col min="9473" max="9473" width="41.85546875" style="178" customWidth="1"/>
    <col min="9474" max="9476" width="12.140625" style="178" customWidth="1"/>
    <col min="9477" max="9477" width="7.28515625" style="178" customWidth="1"/>
    <col min="9478" max="9479" width="12.140625" style="178" customWidth="1"/>
    <col min="9480" max="9480" width="66" style="178" customWidth="1"/>
    <col min="9481" max="9713" width="10.28515625" style="178" customWidth="1"/>
    <col min="9714" max="9714" width="4.28515625" style="178" bestFit="1" customWidth="1"/>
    <col min="9715" max="9715" width="6.85546875" style="178" bestFit="1" customWidth="1"/>
    <col min="9716" max="9716" width="11" style="178" customWidth="1"/>
    <col min="9717" max="9717" width="11.140625" style="178" bestFit="1" customWidth="1"/>
    <col min="9718" max="9718" width="10.85546875" style="178" customWidth="1"/>
    <col min="9719" max="9719" width="11.5703125" style="178" customWidth="1"/>
    <col min="9720" max="9720" width="11.140625" style="178" bestFit="1" customWidth="1"/>
    <col min="9721" max="9721" width="11" style="178" customWidth="1"/>
    <col min="9722" max="9722" width="10.42578125" style="178" customWidth="1"/>
    <col min="9723" max="9723" width="11.28515625" style="178" customWidth="1"/>
    <col min="9724" max="9725" width="9.140625" style="178" bestFit="1" customWidth="1"/>
    <col min="9726" max="9726" width="11.140625" style="178"/>
    <col min="9727" max="9728" width="5.42578125" style="178" customWidth="1"/>
    <col min="9729" max="9729" width="41.85546875" style="178" customWidth="1"/>
    <col min="9730" max="9732" width="12.140625" style="178" customWidth="1"/>
    <col min="9733" max="9733" width="7.28515625" style="178" customWidth="1"/>
    <col min="9734" max="9735" width="12.140625" style="178" customWidth="1"/>
    <col min="9736" max="9736" width="66" style="178" customWidth="1"/>
    <col min="9737" max="9969" width="10.28515625" style="178" customWidth="1"/>
    <col min="9970" max="9970" width="4.28515625" style="178" bestFit="1" customWidth="1"/>
    <col min="9971" max="9971" width="6.85546875" style="178" bestFit="1" customWidth="1"/>
    <col min="9972" max="9972" width="11" style="178" customWidth="1"/>
    <col min="9973" max="9973" width="11.140625" style="178" bestFit="1" customWidth="1"/>
    <col min="9974" max="9974" width="10.85546875" style="178" customWidth="1"/>
    <col min="9975" max="9975" width="11.5703125" style="178" customWidth="1"/>
    <col min="9976" max="9976" width="11.140625" style="178" bestFit="1" customWidth="1"/>
    <col min="9977" max="9977" width="11" style="178" customWidth="1"/>
    <col min="9978" max="9978" width="10.42578125" style="178" customWidth="1"/>
    <col min="9979" max="9979" width="11.28515625" style="178" customWidth="1"/>
    <col min="9980" max="9981" width="9.140625" style="178" bestFit="1" customWidth="1"/>
    <col min="9982" max="9982" width="11.140625" style="178"/>
    <col min="9983" max="9984" width="5.42578125" style="178" customWidth="1"/>
    <col min="9985" max="9985" width="41.85546875" style="178" customWidth="1"/>
    <col min="9986" max="9988" width="12.140625" style="178" customWidth="1"/>
    <col min="9989" max="9989" width="7.28515625" style="178" customWidth="1"/>
    <col min="9990" max="9991" width="12.140625" style="178" customWidth="1"/>
    <col min="9992" max="9992" width="66" style="178" customWidth="1"/>
    <col min="9993" max="10225" width="10.28515625" style="178" customWidth="1"/>
    <col min="10226" max="10226" width="4.28515625" style="178" bestFit="1" customWidth="1"/>
    <col min="10227" max="10227" width="6.85546875" style="178" bestFit="1" customWidth="1"/>
    <col min="10228" max="10228" width="11" style="178" customWidth="1"/>
    <col min="10229" max="10229" width="11.140625" style="178" bestFit="1" customWidth="1"/>
    <col min="10230" max="10230" width="10.85546875" style="178" customWidth="1"/>
    <col min="10231" max="10231" width="11.5703125" style="178" customWidth="1"/>
    <col min="10232" max="10232" width="11.140625" style="178" bestFit="1" customWidth="1"/>
    <col min="10233" max="10233" width="11" style="178" customWidth="1"/>
    <col min="10234" max="10234" width="10.42578125" style="178" customWidth="1"/>
    <col min="10235" max="10235" width="11.28515625" style="178" customWidth="1"/>
    <col min="10236" max="10237" width="9.140625" style="178" bestFit="1" customWidth="1"/>
    <col min="10238" max="10238" width="11.140625" style="178"/>
    <col min="10239" max="10240" width="5.42578125" style="178" customWidth="1"/>
    <col min="10241" max="10241" width="41.85546875" style="178" customWidth="1"/>
    <col min="10242" max="10244" width="12.140625" style="178" customWidth="1"/>
    <col min="10245" max="10245" width="7.28515625" style="178" customWidth="1"/>
    <col min="10246" max="10247" width="12.140625" style="178" customWidth="1"/>
    <col min="10248" max="10248" width="66" style="178" customWidth="1"/>
    <col min="10249" max="10481" width="10.28515625" style="178" customWidth="1"/>
    <col min="10482" max="10482" width="4.28515625" style="178" bestFit="1" customWidth="1"/>
    <col min="10483" max="10483" width="6.85546875" style="178" bestFit="1" customWidth="1"/>
    <col min="10484" max="10484" width="11" style="178" customWidth="1"/>
    <col min="10485" max="10485" width="11.140625" style="178" bestFit="1" customWidth="1"/>
    <col min="10486" max="10486" width="10.85546875" style="178" customWidth="1"/>
    <col min="10487" max="10487" width="11.5703125" style="178" customWidth="1"/>
    <col min="10488" max="10488" width="11.140625" style="178" bestFit="1" customWidth="1"/>
    <col min="10489" max="10489" width="11" style="178" customWidth="1"/>
    <col min="10490" max="10490" width="10.42578125" style="178" customWidth="1"/>
    <col min="10491" max="10491" width="11.28515625" style="178" customWidth="1"/>
    <col min="10492" max="10493" width="9.140625" style="178" bestFit="1" customWidth="1"/>
    <col min="10494" max="10494" width="11.140625" style="178"/>
    <col min="10495" max="10496" width="5.42578125" style="178" customWidth="1"/>
    <col min="10497" max="10497" width="41.85546875" style="178" customWidth="1"/>
    <col min="10498" max="10500" width="12.140625" style="178" customWidth="1"/>
    <col min="10501" max="10501" width="7.28515625" style="178" customWidth="1"/>
    <col min="10502" max="10503" width="12.140625" style="178" customWidth="1"/>
    <col min="10504" max="10504" width="66" style="178" customWidth="1"/>
    <col min="10505" max="10737" width="10.28515625" style="178" customWidth="1"/>
    <col min="10738" max="10738" width="4.28515625" style="178" bestFit="1" customWidth="1"/>
    <col min="10739" max="10739" width="6.85546875" style="178" bestFit="1" customWidth="1"/>
    <col min="10740" max="10740" width="11" style="178" customWidth="1"/>
    <col min="10741" max="10741" width="11.140625" style="178" bestFit="1" customWidth="1"/>
    <col min="10742" max="10742" width="10.85546875" style="178" customWidth="1"/>
    <col min="10743" max="10743" width="11.5703125" style="178" customWidth="1"/>
    <col min="10744" max="10744" width="11.140625" style="178" bestFit="1" customWidth="1"/>
    <col min="10745" max="10745" width="11" style="178" customWidth="1"/>
    <col min="10746" max="10746" width="10.42578125" style="178" customWidth="1"/>
    <col min="10747" max="10747" width="11.28515625" style="178" customWidth="1"/>
    <col min="10748" max="10749" width="9.140625" style="178" bestFit="1" customWidth="1"/>
    <col min="10750" max="10750" width="11.140625" style="178"/>
    <col min="10751" max="10752" width="5.42578125" style="178" customWidth="1"/>
    <col min="10753" max="10753" width="41.85546875" style="178" customWidth="1"/>
    <col min="10754" max="10756" width="12.140625" style="178" customWidth="1"/>
    <col min="10757" max="10757" width="7.28515625" style="178" customWidth="1"/>
    <col min="10758" max="10759" width="12.140625" style="178" customWidth="1"/>
    <col min="10760" max="10760" width="66" style="178" customWidth="1"/>
    <col min="10761" max="10993" width="10.28515625" style="178" customWidth="1"/>
    <col min="10994" max="10994" width="4.28515625" style="178" bestFit="1" customWidth="1"/>
    <col min="10995" max="10995" width="6.85546875" style="178" bestFit="1" customWidth="1"/>
    <col min="10996" max="10996" width="11" style="178" customWidth="1"/>
    <col min="10997" max="10997" width="11.140625" style="178" bestFit="1" customWidth="1"/>
    <col min="10998" max="10998" width="10.85546875" style="178" customWidth="1"/>
    <col min="10999" max="10999" width="11.5703125" style="178" customWidth="1"/>
    <col min="11000" max="11000" width="11.140625" style="178" bestFit="1" customWidth="1"/>
    <col min="11001" max="11001" width="11" style="178" customWidth="1"/>
    <col min="11002" max="11002" width="10.42578125" style="178" customWidth="1"/>
    <col min="11003" max="11003" width="11.28515625" style="178" customWidth="1"/>
    <col min="11004" max="11005" width="9.140625" style="178" bestFit="1" customWidth="1"/>
    <col min="11006" max="11006" width="11.140625" style="178"/>
    <col min="11007" max="11008" width="5.42578125" style="178" customWidth="1"/>
    <col min="11009" max="11009" width="41.85546875" style="178" customWidth="1"/>
    <col min="11010" max="11012" width="12.140625" style="178" customWidth="1"/>
    <col min="11013" max="11013" width="7.28515625" style="178" customWidth="1"/>
    <col min="11014" max="11015" width="12.140625" style="178" customWidth="1"/>
    <col min="11016" max="11016" width="66" style="178" customWidth="1"/>
    <col min="11017" max="11249" width="10.28515625" style="178" customWidth="1"/>
    <col min="11250" max="11250" width="4.28515625" style="178" bestFit="1" customWidth="1"/>
    <col min="11251" max="11251" width="6.85546875" style="178" bestFit="1" customWidth="1"/>
    <col min="11252" max="11252" width="11" style="178" customWidth="1"/>
    <col min="11253" max="11253" width="11.140625" style="178" bestFit="1" customWidth="1"/>
    <col min="11254" max="11254" width="10.85546875" style="178" customWidth="1"/>
    <col min="11255" max="11255" width="11.5703125" style="178" customWidth="1"/>
    <col min="11256" max="11256" width="11.140625" style="178" bestFit="1" customWidth="1"/>
    <col min="11257" max="11257" width="11" style="178" customWidth="1"/>
    <col min="11258" max="11258" width="10.42578125" style="178" customWidth="1"/>
    <col min="11259" max="11259" width="11.28515625" style="178" customWidth="1"/>
    <col min="11260" max="11261" width="9.140625" style="178" bestFit="1" customWidth="1"/>
    <col min="11262" max="11262" width="11.140625" style="178"/>
    <col min="11263" max="11264" width="5.42578125" style="178" customWidth="1"/>
    <col min="11265" max="11265" width="41.85546875" style="178" customWidth="1"/>
    <col min="11266" max="11268" width="12.140625" style="178" customWidth="1"/>
    <col min="11269" max="11269" width="7.28515625" style="178" customWidth="1"/>
    <col min="11270" max="11271" width="12.140625" style="178" customWidth="1"/>
    <col min="11272" max="11272" width="66" style="178" customWidth="1"/>
    <col min="11273" max="11505" width="10.28515625" style="178" customWidth="1"/>
    <col min="11506" max="11506" width="4.28515625" style="178" bestFit="1" customWidth="1"/>
    <col min="11507" max="11507" width="6.85546875" style="178" bestFit="1" customWidth="1"/>
    <col min="11508" max="11508" width="11" style="178" customWidth="1"/>
    <col min="11509" max="11509" width="11.140625" style="178" bestFit="1" customWidth="1"/>
    <col min="11510" max="11510" width="10.85546875" style="178" customWidth="1"/>
    <col min="11511" max="11511" width="11.5703125" style="178" customWidth="1"/>
    <col min="11512" max="11512" width="11.140625" style="178" bestFit="1" customWidth="1"/>
    <col min="11513" max="11513" width="11" style="178" customWidth="1"/>
    <col min="11514" max="11514" width="10.42578125" style="178" customWidth="1"/>
    <col min="11515" max="11515" width="11.28515625" style="178" customWidth="1"/>
    <col min="11516" max="11517" width="9.140625" style="178" bestFit="1" customWidth="1"/>
    <col min="11518" max="11518" width="11.140625" style="178"/>
    <col min="11519" max="11520" width="5.42578125" style="178" customWidth="1"/>
    <col min="11521" max="11521" width="41.85546875" style="178" customWidth="1"/>
    <col min="11522" max="11524" width="12.140625" style="178" customWidth="1"/>
    <col min="11525" max="11525" width="7.28515625" style="178" customWidth="1"/>
    <col min="11526" max="11527" width="12.140625" style="178" customWidth="1"/>
    <col min="11528" max="11528" width="66" style="178" customWidth="1"/>
    <col min="11529" max="11761" width="10.28515625" style="178" customWidth="1"/>
    <col min="11762" max="11762" width="4.28515625" style="178" bestFit="1" customWidth="1"/>
    <col min="11763" max="11763" width="6.85546875" style="178" bestFit="1" customWidth="1"/>
    <col min="11764" max="11764" width="11" style="178" customWidth="1"/>
    <col min="11765" max="11765" width="11.140625" style="178" bestFit="1" customWidth="1"/>
    <col min="11766" max="11766" width="10.85546875" style="178" customWidth="1"/>
    <col min="11767" max="11767" width="11.5703125" style="178" customWidth="1"/>
    <col min="11768" max="11768" width="11.140625" style="178" bestFit="1" customWidth="1"/>
    <col min="11769" max="11769" width="11" style="178" customWidth="1"/>
    <col min="11770" max="11770" width="10.42578125" style="178" customWidth="1"/>
    <col min="11771" max="11771" width="11.28515625" style="178" customWidth="1"/>
    <col min="11772" max="11773" width="9.140625" style="178" bestFit="1" customWidth="1"/>
    <col min="11774" max="11774" width="11.140625" style="178"/>
    <col min="11775" max="11776" width="5.42578125" style="178" customWidth="1"/>
    <col min="11777" max="11777" width="41.85546875" style="178" customWidth="1"/>
    <col min="11778" max="11780" width="12.140625" style="178" customWidth="1"/>
    <col min="11781" max="11781" width="7.28515625" style="178" customWidth="1"/>
    <col min="11782" max="11783" width="12.140625" style="178" customWidth="1"/>
    <col min="11784" max="11784" width="66" style="178" customWidth="1"/>
    <col min="11785" max="12017" width="10.28515625" style="178" customWidth="1"/>
    <col min="12018" max="12018" width="4.28515625" style="178" bestFit="1" customWidth="1"/>
    <col min="12019" max="12019" width="6.85546875" style="178" bestFit="1" customWidth="1"/>
    <col min="12020" max="12020" width="11" style="178" customWidth="1"/>
    <col min="12021" max="12021" width="11.140625" style="178" bestFit="1" customWidth="1"/>
    <col min="12022" max="12022" width="10.85546875" style="178" customWidth="1"/>
    <col min="12023" max="12023" width="11.5703125" style="178" customWidth="1"/>
    <col min="12024" max="12024" width="11.140625" style="178" bestFit="1" customWidth="1"/>
    <col min="12025" max="12025" width="11" style="178" customWidth="1"/>
    <col min="12026" max="12026" width="10.42578125" style="178" customWidth="1"/>
    <col min="12027" max="12027" width="11.28515625" style="178" customWidth="1"/>
    <col min="12028" max="12029" width="9.140625" style="178" bestFit="1" customWidth="1"/>
    <col min="12030" max="12030" width="11.140625" style="178"/>
    <col min="12031" max="12032" width="5.42578125" style="178" customWidth="1"/>
    <col min="12033" max="12033" width="41.85546875" style="178" customWidth="1"/>
    <col min="12034" max="12036" width="12.140625" style="178" customWidth="1"/>
    <col min="12037" max="12037" width="7.28515625" style="178" customWidth="1"/>
    <col min="12038" max="12039" width="12.140625" style="178" customWidth="1"/>
    <col min="12040" max="12040" width="66" style="178" customWidth="1"/>
    <col min="12041" max="12273" width="10.28515625" style="178" customWidth="1"/>
    <col min="12274" max="12274" width="4.28515625" style="178" bestFit="1" customWidth="1"/>
    <col min="12275" max="12275" width="6.85546875" style="178" bestFit="1" customWidth="1"/>
    <col min="12276" max="12276" width="11" style="178" customWidth="1"/>
    <col min="12277" max="12277" width="11.140625" style="178" bestFit="1" customWidth="1"/>
    <col min="12278" max="12278" width="10.85546875" style="178" customWidth="1"/>
    <col min="12279" max="12279" width="11.5703125" style="178" customWidth="1"/>
    <col min="12280" max="12280" width="11.140625" style="178" bestFit="1" customWidth="1"/>
    <col min="12281" max="12281" width="11" style="178" customWidth="1"/>
    <col min="12282" max="12282" width="10.42578125" style="178" customWidth="1"/>
    <col min="12283" max="12283" width="11.28515625" style="178" customWidth="1"/>
    <col min="12284" max="12285" width="9.140625" style="178" bestFit="1" customWidth="1"/>
    <col min="12286" max="12286" width="11.140625" style="178"/>
    <col min="12287" max="12288" width="5.42578125" style="178" customWidth="1"/>
    <col min="12289" max="12289" width="41.85546875" style="178" customWidth="1"/>
    <col min="12290" max="12292" width="12.140625" style="178" customWidth="1"/>
    <col min="12293" max="12293" width="7.28515625" style="178" customWidth="1"/>
    <col min="12294" max="12295" width="12.140625" style="178" customWidth="1"/>
    <col min="12296" max="12296" width="66" style="178" customWidth="1"/>
    <col min="12297" max="12529" width="10.28515625" style="178" customWidth="1"/>
    <col min="12530" max="12530" width="4.28515625" style="178" bestFit="1" customWidth="1"/>
    <col min="12531" max="12531" width="6.85546875" style="178" bestFit="1" customWidth="1"/>
    <col min="12532" max="12532" width="11" style="178" customWidth="1"/>
    <col min="12533" max="12533" width="11.140625" style="178" bestFit="1" customWidth="1"/>
    <col min="12534" max="12534" width="10.85546875" style="178" customWidth="1"/>
    <col min="12535" max="12535" width="11.5703125" style="178" customWidth="1"/>
    <col min="12536" max="12536" width="11.140625" style="178" bestFit="1" customWidth="1"/>
    <col min="12537" max="12537" width="11" style="178" customWidth="1"/>
    <col min="12538" max="12538" width="10.42578125" style="178" customWidth="1"/>
    <col min="12539" max="12539" width="11.28515625" style="178" customWidth="1"/>
    <col min="12540" max="12541" width="9.140625" style="178" bestFit="1" customWidth="1"/>
    <col min="12542" max="12542" width="11.140625" style="178"/>
    <col min="12543" max="12544" width="5.42578125" style="178" customWidth="1"/>
    <col min="12545" max="12545" width="41.85546875" style="178" customWidth="1"/>
    <col min="12546" max="12548" width="12.140625" style="178" customWidth="1"/>
    <col min="12549" max="12549" width="7.28515625" style="178" customWidth="1"/>
    <col min="12550" max="12551" width="12.140625" style="178" customWidth="1"/>
    <col min="12552" max="12552" width="66" style="178" customWidth="1"/>
    <col min="12553" max="12785" width="10.28515625" style="178" customWidth="1"/>
    <col min="12786" max="12786" width="4.28515625" style="178" bestFit="1" customWidth="1"/>
    <col min="12787" max="12787" width="6.85546875" style="178" bestFit="1" customWidth="1"/>
    <col min="12788" max="12788" width="11" style="178" customWidth="1"/>
    <col min="12789" max="12789" width="11.140625" style="178" bestFit="1" customWidth="1"/>
    <col min="12790" max="12790" width="10.85546875" style="178" customWidth="1"/>
    <col min="12791" max="12791" width="11.5703125" style="178" customWidth="1"/>
    <col min="12792" max="12792" width="11.140625" style="178" bestFit="1" customWidth="1"/>
    <col min="12793" max="12793" width="11" style="178" customWidth="1"/>
    <col min="12794" max="12794" width="10.42578125" style="178" customWidth="1"/>
    <col min="12795" max="12795" width="11.28515625" style="178" customWidth="1"/>
    <col min="12796" max="12797" width="9.140625" style="178" bestFit="1" customWidth="1"/>
    <col min="12798" max="12798" width="11.140625" style="178"/>
    <col min="12799" max="12800" width="5.42578125" style="178" customWidth="1"/>
    <col min="12801" max="12801" width="41.85546875" style="178" customWidth="1"/>
    <col min="12802" max="12804" width="12.140625" style="178" customWidth="1"/>
    <col min="12805" max="12805" width="7.28515625" style="178" customWidth="1"/>
    <col min="12806" max="12807" width="12.140625" style="178" customWidth="1"/>
    <col min="12808" max="12808" width="66" style="178" customWidth="1"/>
    <col min="12809" max="13041" width="10.28515625" style="178" customWidth="1"/>
    <col min="13042" max="13042" width="4.28515625" style="178" bestFit="1" customWidth="1"/>
    <col min="13043" max="13043" width="6.85546875" style="178" bestFit="1" customWidth="1"/>
    <col min="13044" max="13044" width="11" style="178" customWidth="1"/>
    <col min="13045" max="13045" width="11.140625" style="178" bestFit="1" customWidth="1"/>
    <col min="13046" max="13046" width="10.85546875" style="178" customWidth="1"/>
    <col min="13047" max="13047" width="11.5703125" style="178" customWidth="1"/>
    <col min="13048" max="13048" width="11.140625" style="178" bestFit="1" customWidth="1"/>
    <col min="13049" max="13049" width="11" style="178" customWidth="1"/>
    <col min="13050" max="13050" width="10.42578125" style="178" customWidth="1"/>
    <col min="13051" max="13051" width="11.28515625" style="178" customWidth="1"/>
    <col min="13052" max="13053" width="9.140625" style="178" bestFit="1" customWidth="1"/>
    <col min="13054" max="13054" width="11.140625" style="178"/>
    <col min="13055" max="13056" width="5.42578125" style="178" customWidth="1"/>
    <col min="13057" max="13057" width="41.85546875" style="178" customWidth="1"/>
    <col min="13058" max="13060" width="12.140625" style="178" customWidth="1"/>
    <col min="13061" max="13061" width="7.28515625" style="178" customWidth="1"/>
    <col min="13062" max="13063" width="12.140625" style="178" customWidth="1"/>
    <col min="13064" max="13064" width="66" style="178" customWidth="1"/>
    <col min="13065" max="13297" width="10.28515625" style="178" customWidth="1"/>
    <col min="13298" max="13298" width="4.28515625" style="178" bestFit="1" customWidth="1"/>
    <col min="13299" max="13299" width="6.85546875" style="178" bestFit="1" customWidth="1"/>
    <col min="13300" max="13300" width="11" style="178" customWidth="1"/>
    <col min="13301" max="13301" width="11.140625" style="178" bestFit="1" customWidth="1"/>
    <col min="13302" max="13302" width="10.85546875" style="178" customWidth="1"/>
    <col min="13303" max="13303" width="11.5703125" style="178" customWidth="1"/>
    <col min="13304" max="13304" width="11.140625" style="178" bestFit="1" customWidth="1"/>
    <col min="13305" max="13305" width="11" style="178" customWidth="1"/>
    <col min="13306" max="13306" width="10.42578125" style="178" customWidth="1"/>
    <col min="13307" max="13307" width="11.28515625" style="178" customWidth="1"/>
    <col min="13308" max="13309" width="9.140625" style="178" bestFit="1" customWidth="1"/>
    <col min="13310" max="13310" width="11.140625" style="178"/>
    <col min="13311" max="13312" width="5.42578125" style="178" customWidth="1"/>
    <col min="13313" max="13313" width="41.85546875" style="178" customWidth="1"/>
    <col min="13314" max="13316" width="12.140625" style="178" customWidth="1"/>
    <col min="13317" max="13317" width="7.28515625" style="178" customWidth="1"/>
    <col min="13318" max="13319" width="12.140625" style="178" customWidth="1"/>
    <col min="13320" max="13320" width="66" style="178" customWidth="1"/>
    <col min="13321" max="13553" width="10.28515625" style="178" customWidth="1"/>
    <col min="13554" max="13554" width="4.28515625" style="178" bestFit="1" customWidth="1"/>
    <col min="13555" max="13555" width="6.85546875" style="178" bestFit="1" customWidth="1"/>
    <col min="13556" max="13556" width="11" style="178" customWidth="1"/>
    <col min="13557" max="13557" width="11.140625" style="178" bestFit="1" customWidth="1"/>
    <col min="13558" max="13558" width="10.85546875" style="178" customWidth="1"/>
    <col min="13559" max="13559" width="11.5703125" style="178" customWidth="1"/>
    <col min="13560" max="13560" width="11.140625" style="178" bestFit="1" customWidth="1"/>
    <col min="13561" max="13561" width="11" style="178" customWidth="1"/>
    <col min="13562" max="13562" width="10.42578125" style="178" customWidth="1"/>
    <col min="13563" max="13563" width="11.28515625" style="178" customWidth="1"/>
    <col min="13564" max="13565" width="9.140625" style="178" bestFit="1" customWidth="1"/>
    <col min="13566" max="13566" width="11.140625" style="178"/>
    <col min="13567" max="13568" width="5.42578125" style="178" customWidth="1"/>
    <col min="13569" max="13569" width="41.85546875" style="178" customWidth="1"/>
    <col min="13570" max="13572" width="12.140625" style="178" customWidth="1"/>
    <col min="13573" max="13573" width="7.28515625" style="178" customWidth="1"/>
    <col min="13574" max="13575" width="12.140625" style="178" customWidth="1"/>
    <col min="13576" max="13576" width="66" style="178" customWidth="1"/>
    <col min="13577" max="13809" width="10.28515625" style="178" customWidth="1"/>
    <col min="13810" max="13810" width="4.28515625" style="178" bestFit="1" customWidth="1"/>
    <col min="13811" max="13811" width="6.85546875" style="178" bestFit="1" customWidth="1"/>
    <col min="13812" max="13812" width="11" style="178" customWidth="1"/>
    <col min="13813" max="13813" width="11.140625" style="178" bestFit="1" customWidth="1"/>
    <col min="13814" max="13814" width="10.85546875" style="178" customWidth="1"/>
    <col min="13815" max="13815" width="11.5703125" style="178" customWidth="1"/>
    <col min="13816" max="13816" width="11.140625" style="178" bestFit="1" customWidth="1"/>
    <col min="13817" max="13817" width="11" style="178" customWidth="1"/>
    <col min="13818" max="13818" width="10.42578125" style="178" customWidth="1"/>
    <col min="13819" max="13819" width="11.28515625" style="178" customWidth="1"/>
    <col min="13820" max="13821" width="9.140625" style="178" bestFit="1" customWidth="1"/>
    <col min="13822" max="13822" width="11.140625" style="178"/>
    <col min="13823" max="13824" width="5.42578125" style="178" customWidth="1"/>
    <col min="13825" max="13825" width="41.85546875" style="178" customWidth="1"/>
    <col min="13826" max="13828" width="12.140625" style="178" customWidth="1"/>
    <col min="13829" max="13829" width="7.28515625" style="178" customWidth="1"/>
    <col min="13830" max="13831" width="12.140625" style="178" customWidth="1"/>
    <col min="13832" max="13832" width="66" style="178" customWidth="1"/>
    <col min="13833" max="14065" width="10.28515625" style="178" customWidth="1"/>
    <col min="14066" max="14066" width="4.28515625" style="178" bestFit="1" customWidth="1"/>
    <col min="14067" max="14067" width="6.85546875" style="178" bestFit="1" customWidth="1"/>
    <col min="14068" max="14068" width="11" style="178" customWidth="1"/>
    <col min="14069" max="14069" width="11.140625" style="178" bestFit="1" customWidth="1"/>
    <col min="14070" max="14070" width="10.85546875" style="178" customWidth="1"/>
    <col min="14071" max="14071" width="11.5703125" style="178" customWidth="1"/>
    <col min="14072" max="14072" width="11.140625" style="178" bestFit="1" customWidth="1"/>
    <col min="14073" max="14073" width="11" style="178" customWidth="1"/>
    <col min="14074" max="14074" width="10.42578125" style="178" customWidth="1"/>
    <col min="14075" max="14075" width="11.28515625" style="178" customWidth="1"/>
    <col min="14076" max="14077" width="9.140625" style="178" bestFit="1" customWidth="1"/>
    <col min="14078" max="14078" width="11.140625" style="178"/>
    <col min="14079" max="14080" width="5.42578125" style="178" customWidth="1"/>
    <col min="14081" max="14081" width="41.85546875" style="178" customWidth="1"/>
    <col min="14082" max="14084" width="12.140625" style="178" customWidth="1"/>
    <col min="14085" max="14085" width="7.28515625" style="178" customWidth="1"/>
    <col min="14086" max="14087" width="12.140625" style="178" customWidth="1"/>
    <col min="14088" max="14088" width="66" style="178" customWidth="1"/>
    <col min="14089" max="14321" width="10.28515625" style="178" customWidth="1"/>
    <col min="14322" max="14322" width="4.28515625" style="178" bestFit="1" customWidth="1"/>
    <col min="14323" max="14323" width="6.85546875" style="178" bestFit="1" customWidth="1"/>
    <col min="14324" max="14324" width="11" style="178" customWidth="1"/>
    <col min="14325" max="14325" width="11.140625" style="178" bestFit="1" customWidth="1"/>
    <col min="14326" max="14326" width="10.85546875" style="178" customWidth="1"/>
    <col min="14327" max="14327" width="11.5703125" style="178" customWidth="1"/>
    <col min="14328" max="14328" width="11.140625" style="178" bestFit="1" customWidth="1"/>
    <col min="14329" max="14329" width="11" style="178" customWidth="1"/>
    <col min="14330" max="14330" width="10.42578125" style="178" customWidth="1"/>
    <col min="14331" max="14331" width="11.28515625" style="178" customWidth="1"/>
    <col min="14332" max="14333" width="9.140625" style="178" bestFit="1" customWidth="1"/>
    <col min="14334" max="14334" width="11.140625" style="178"/>
    <col min="14335" max="14336" width="5.42578125" style="178" customWidth="1"/>
    <col min="14337" max="14337" width="41.85546875" style="178" customWidth="1"/>
    <col min="14338" max="14340" width="12.140625" style="178" customWidth="1"/>
    <col min="14341" max="14341" width="7.28515625" style="178" customWidth="1"/>
    <col min="14342" max="14343" width="12.140625" style="178" customWidth="1"/>
    <col min="14344" max="14344" width="66" style="178" customWidth="1"/>
    <col min="14345" max="14577" width="10.28515625" style="178" customWidth="1"/>
    <col min="14578" max="14578" width="4.28515625" style="178" bestFit="1" customWidth="1"/>
    <col min="14579" max="14579" width="6.85546875" style="178" bestFit="1" customWidth="1"/>
    <col min="14580" max="14580" width="11" style="178" customWidth="1"/>
    <col min="14581" max="14581" width="11.140625" style="178" bestFit="1" customWidth="1"/>
    <col min="14582" max="14582" width="10.85546875" style="178" customWidth="1"/>
    <col min="14583" max="14583" width="11.5703125" style="178" customWidth="1"/>
    <col min="14584" max="14584" width="11.140625" style="178" bestFit="1" customWidth="1"/>
    <col min="14585" max="14585" width="11" style="178" customWidth="1"/>
    <col min="14586" max="14586" width="10.42578125" style="178" customWidth="1"/>
    <col min="14587" max="14587" width="11.28515625" style="178" customWidth="1"/>
    <col min="14588" max="14589" width="9.140625" style="178" bestFit="1" customWidth="1"/>
    <col min="14590" max="14590" width="11.140625" style="178"/>
    <col min="14591" max="14592" width="5.42578125" style="178" customWidth="1"/>
    <col min="14593" max="14593" width="41.85546875" style="178" customWidth="1"/>
    <col min="14594" max="14596" width="12.140625" style="178" customWidth="1"/>
    <col min="14597" max="14597" width="7.28515625" style="178" customWidth="1"/>
    <col min="14598" max="14599" width="12.140625" style="178" customWidth="1"/>
    <col min="14600" max="14600" width="66" style="178" customWidth="1"/>
    <col min="14601" max="14833" width="10.28515625" style="178" customWidth="1"/>
    <col min="14834" max="14834" width="4.28515625" style="178" bestFit="1" customWidth="1"/>
    <col min="14835" max="14835" width="6.85546875" style="178" bestFit="1" customWidth="1"/>
    <col min="14836" max="14836" width="11" style="178" customWidth="1"/>
    <col min="14837" max="14837" width="11.140625" style="178" bestFit="1" customWidth="1"/>
    <col min="14838" max="14838" width="10.85546875" style="178" customWidth="1"/>
    <col min="14839" max="14839" width="11.5703125" style="178" customWidth="1"/>
    <col min="14840" max="14840" width="11.140625" style="178" bestFit="1" customWidth="1"/>
    <col min="14841" max="14841" width="11" style="178" customWidth="1"/>
    <col min="14842" max="14842" width="10.42578125" style="178" customWidth="1"/>
    <col min="14843" max="14843" width="11.28515625" style="178" customWidth="1"/>
    <col min="14844" max="14845" width="9.140625" style="178" bestFit="1" customWidth="1"/>
    <col min="14846" max="14846" width="11.140625" style="178"/>
    <col min="14847" max="14848" width="5.42578125" style="178" customWidth="1"/>
    <col min="14849" max="14849" width="41.85546875" style="178" customWidth="1"/>
    <col min="14850" max="14852" width="12.140625" style="178" customWidth="1"/>
    <col min="14853" max="14853" width="7.28515625" style="178" customWidth="1"/>
    <col min="14854" max="14855" width="12.140625" style="178" customWidth="1"/>
    <col min="14856" max="14856" width="66" style="178" customWidth="1"/>
    <col min="14857" max="15089" width="10.28515625" style="178" customWidth="1"/>
    <col min="15090" max="15090" width="4.28515625" style="178" bestFit="1" customWidth="1"/>
    <col min="15091" max="15091" width="6.85546875" style="178" bestFit="1" customWidth="1"/>
    <col min="15092" max="15092" width="11" style="178" customWidth="1"/>
    <col min="15093" max="15093" width="11.140625" style="178" bestFit="1" customWidth="1"/>
    <col min="15094" max="15094" width="10.85546875" style="178" customWidth="1"/>
    <col min="15095" max="15095" width="11.5703125" style="178" customWidth="1"/>
    <col min="15096" max="15096" width="11.140625" style="178" bestFit="1" customWidth="1"/>
    <col min="15097" max="15097" width="11" style="178" customWidth="1"/>
    <col min="15098" max="15098" width="10.42578125" style="178" customWidth="1"/>
    <col min="15099" max="15099" width="11.28515625" style="178" customWidth="1"/>
    <col min="15100" max="15101" width="9.140625" style="178" bestFit="1" customWidth="1"/>
    <col min="15102" max="15102" width="11.140625" style="178"/>
    <col min="15103" max="15104" width="5.42578125" style="178" customWidth="1"/>
    <col min="15105" max="15105" width="41.85546875" style="178" customWidth="1"/>
    <col min="15106" max="15108" width="12.140625" style="178" customWidth="1"/>
    <col min="15109" max="15109" width="7.28515625" style="178" customWidth="1"/>
    <col min="15110" max="15111" width="12.140625" style="178" customWidth="1"/>
    <col min="15112" max="15112" width="66" style="178" customWidth="1"/>
    <col min="15113" max="15345" width="10.28515625" style="178" customWidth="1"/>
    <col min="15346" max="15346" width="4.28515625" style="178" bestFit="1" customWidth="1"/>
    <col min="15347" max="15347" width="6.85546875" style="178" bestFit="1" customWidth="1"/>
    <col min="15348" max="15348" width="11" style="178" customWidth="1"/>
    <col min="15349" max="15349" width="11.140625" style="178" bestFit="1" customWidth="1"/>
    <col min="15350" max="15350" width="10.85546875" style="178" customWidth="1"/>
    <col min="15351" max="15351" width="11.5703125" style="178" customWidth="1"/>
    <col min="15352" max="15352" width="11.140625" style="178" bestFit="1" customWidth="1"/>
    <col min="15353" max="15353" width="11" style="178" customWidth="1"/>
    <col min="15354" max="15354" width="10.42578125" style="178" customWidth="1"/>
    <col min="15355" max="15355" width="11.28515625" style="178" customWidth="1"/>
    <col min="15356" max="15357" width="9.140625" style="178" bestFit="1" customWidth="1"/>
    <col min="15358" max="15358" width="11.140625" style="178"/>
    <col min="15359" max="15360" width="5.42578125" style="178" customWidth="1"/>
    <col min="15361" max="15361" width="41.85546875" style="178" customWidth="1"/>
    <col min="15362" max="15364" width="12.140625" style="178" customWidth="1"/>
    <col min="15365" max="15365" width="7.28515625" style="178" customWidth="1"/>
    <col min="15366" max="15367" width="12.140625" style="178" customWidth="1"/>
    <col min="15368" max="15368" width="66" style="178" customWidth="1"/>
    <col min="15369" max="15601" width="10.28515625" style="178" customWidth="1"/>
    <col min="15602" max="15602" width="4.28515625" style="178" bestFit="1" customWidth="1"/>
    <col min="15603" max="15603" width="6.85546875" style="178" bestFit="1" customWidth="1"/>
    <col min="15604" max="15604" width="11" style="178" customWidth="1"/>
    <col min="15605" max="15605" width="11.140625" style="178" bestFit="1" customWidth="1"/>
    <col min="15606" max="15606" width="10.85546875" style="178" customWidth="1"/>
    <col min="15607" max="15607" width="11.5703125" style="178" customWidth="1"/>
    <col min="15608" max="15608" width="11.140625" style="178" bestFit="1" customWidth="1"/>
    <col min="15609" max="15609" width="11" style="178" customWidth="1"/>
    <col min="15610" max="15610" width="10.42578125" style="178" customWidth="1"/>
    <col min="15611" max="15611" width="11.28515625" style="178" customWidth="1"/>
    <col min="15612" max="15613" width="9.140625" style="178" bestFit="1" customWidth="1"/>
    <col min="15614" max="15614" width="11.140625" style="178"/>
    <col min="15615" max="15616" width="5.42578125" style="178" customWidth="1"/>
    <col min="15617" max="15617" width="41.85546875" style="178" customWidth="1"/>
    <col min="15618" max="15620" width="12.140625" style="178" customWidth="1"/>
    <col min="15621" max="15621" width="7.28515625" style="178" customWidth="1"/>
    <col min="15622" max="15623" width="12.140625" style="178" customWidth="1"/>
    <col min="15624" max="15624" width="66" style="178" customWidth="1"/>
    <col min="15625" max="15857" width="10.28515625" style="178" customWidth="1"/>
    <col min="15858" max="15858" width="4.28515625" style="178" bestFit="1" customWidth="1"/>
    <col min="15859" max="15859" width="6.85546875" style="178" bestFit="1" customWidth="1"/>
    <col min="15860" max="15860" width="11" style="178" customWidth="1"/>
    <col min="15861" max="15861" width="11.140625" style="178" bestFit="1" customWidth="1"/>
    <col min="15862" max="15862" width="10.85546875" style="178" customWidth="1"/>
    <col min="15863" max="15863" width="11.5703125" style="178" customWidth="1"/>
    <col min="15864" max="15864" width="11.140625" style="178" bestFit="1" customWidth="1"/>
    <col min="15865" max="15865" width="11" style="178" customWidth="1"/>
    <col min="15866" max="15866" width="10.42578125" style="178" customWidth="1"/>
    <col min="15867" max="15867" width="11.28515625" style="178" customWidth="1"/>
    <col min="15868" max="15869" width="9.140625" style="178" bestFit="1" customWidth="1"/>
    <col min="15870" max="15870" width="11.140625" style="178"/>
    <col min="15871" max="15872" width="5.42578125" style="178" customWidth="1"/>
    <col min="15873" max="15873" width="41.85546875" style="178" customWidth="1"/>
    <col min="15874" max="15876" width="12.140625" style="178" customWidth="1"/>
    <col min="15877" max="15877" width="7.28515625" style="178" customWidth="1"/>
    <col min="15878" max="15879" width="12.140625" style="178" customWidth="1"/>
    <col min="15880" max="15880" width="66" style="178" customWidth="1"/>
    <col min="15881" max="16113" width="10.28515625" style="178" customWidth="1"/>
    <col min="16114" max="16114" width="4.28515625" style="178" bestFit="1" customWidth="1"/>
    <col min="16115" max="16115" width="6.85546875" style="178" bestFit="1" customWidth="1"/>
    <col min="16116" max="16116" width="11" style="178" customWidth="1"/>
    <col min="16117" max="16117" width="11.140625" style="178" bestFit="1" customWidth="1"/>
    <col min="16118" max="16118" width="10.85546875" style="178" customWidth="1"/>
    <col min="16119" max="16119" width="11.5703125" style="178" customWidth="1"/>
    <col min="16120" max="16120" width="11.140625" style="178" bestFit="1" customWidth="1"/>
    <col min="16121" max="16121" width="11" style="178" customWidth="1"/>
    <col min="16122" max="16122" width="10.42578125" style="178" customWidth="1"/>
    <col min="16123" max="16123" width="11.28515625" style="178" customWidth="1"/>
    <col min="16124" max="16125" width="9.140625" style="178" bestFit="1" customWidth="1"/>
    <col min="16126" max="16126" width="11.140625" style="178"/>
    <col min="16127" max="16128" width="5.42578125" style="178" customWidth="1"/>
    <col min="16129" max="16129" width="41.85546875" style="178" customWidth="1"/>
    <col min="16130" max="16132" width="12.140625" style="178" customWidth="1"/>
    <col min="16133" max="16133" width="7.28515625" style="178" customWidth="1"/>
    <col min="16134" max="16135" width="12.140625" style="178" customWidth="1"/>
    <col min="16136" max="16136" width="66" style="178" customWidth="1"/>
    <col min="16137" max="16369" width="10.28515625" style="178" customWidth="1"/>
    <col min="16370" max="16370" width="4.28515625" style="178" bestFit="1" customWidth="1"/>
    <col min="16371" max="16371" width="6.85546875" style="178" bestFit="1" customWidth="1"/>
    <col min="16372" max="16372" width="11" style="178" customWidth="1"/>
    <col min="16373" max="16373" width="11.140625" style="178" bestFit="1" customWidth="1"/>
    <col min="16374" max="16374" width="10.85546875" style="178" customWidth="1"/>
    <col min="16375" max="16375" width="11.5703125" style="178" customWidth="1"/>
    <col min="16376" max="16376" width="11.140625" style="178" bestFit="1" customWidth="1"/>
    <col min="16377" max="16377" width="11" style="178" customWidth="1"/>
    <col min="16378" max="16378" width="10.42578125" style="178" customWidth="1"/>
    <col min="16379" max="16384" width="11.28515625" style="178" customWidth="1"/>
  </cols>
  <sheetData>
    <row r="1" spans="1:13" ht="58.5" customHeight="1">
      <c r="A1" s="1983" t="s">
        <v>515</v>
      </c>
      <c r="B1" s="1984"/>
      <c r="C1" s="1984"/>
      <c r="D1" s="1984"/>
      <c r="E1" s="1984"/>
      <c r="F1" s="1984"/>
      <c r="G1" s="1984"/>
      <c r="H1" s="1984"/>
      <c r="I1" s="1984"/>
      <c r="J1" s="1984"/>
      <c r="K1" s="1984"/>
      <c r="L1" s="1984"/>
      <c r="M1" s="1984"/>
    </row>
    <row r="2" spans="1:13" ht="16.5" customHeight="1" thickBot="1">
      <c r="A2" s="795"/>
      <c r="B2" s="380"/>
      <c r="C2" s="380"/>
      <c r="D2" s="380"/>
      <c r="E2" s="380"/>
      <c r="F2" s="380"/>
      <c r="G2" s="380"/>
      <c r="H2" s="380"/>
      <c r="I2" s="759"/>
      <c r="J2" s="380"/>
      <c r="K2" s="380"/>
      <c r="L2" s="796"/>
      <c r="M2" s="992" t="s">
        <v>0</v>
      </c>
    </row>
    <row r="3" spans="1:13" s="179" customFormat="1" ht="53.25" customHeight="1" thickBot="1">
      <c r="A3" s="993" t="s">
        <v>37</v>
      </c>
      <c r="B3" s="2494" t="s">
        <v>3</v>
      </c>
      <c r="C3" s="2494"/>
      <c r="D3" s="994" t="s">
        <v>4</v>
      </c>
      <c r="E3" s="995" t="s">
        <v>355</v>
      </c>
      <c r="F3" s="995" t="s">
        <v>150</v>
      </c>
      <c r="G3" s="995" t="s">
        <v>516</v>
      </c>
      <c r="H3" s="996" t="s">
        <v>180</v>
      </c>
      <c r="I3" s="996" t="s">
        <v>39</v>
      </c>
      <c r="J3" s="997" t="s">
        <v>190</v>
      </c>
      <c r="K3" s="996" t="s">
        <v>166</v>
      </c>
      <c r="L3" s="998" t="s">
        <v>517</v>
      </c>
      <c r="M3" s="999" t="s">
        <v>358</v>
      </c>
    </row>
    <row r="4" spans="1:13" s="1005" customFormat="1" ht="14.25" customHeight="1" thickBot="1">
      <c r="A4" s="1000" t="s">
        <v>6</v>
      </c>
      <c r="B4" s="2495" t="s">
        <v>7</v>
      </c>
      <c r="C4" s="2495"/>
      <c r="D4" s="1000" t="s">
        <v>8</v>
      </c>
      <c r="E4" s="1001" t="s">
        <v>9</v>
      </c>
      <c r="F4" s="1001" t="s">
        <v>10</v>
      </c>
      <c r="G4" s="1001" t="s">
        <v>11</v>
      </c>
      <c r="H4" s="1002" t="s">
        <v>10</v>
      </c>
      <c r="I4" s="1001" t="s">
        <v>12</v>
      </c>
      <c r="J4" s="1003" t="s">
        <v>11</v>
      </c>
      <c r="K4" s="1001" t="s">
        <v>11</v>
      </c>
      <c r="L4" s="1004" t="s">
        <v>202</v>
      </c>
      <c r="M4" s="1521" t="s">
        <v>12</v>
      </c>
    </row>
    <row r="5" spans="1:13" s="381" customFormat="1" ht="21.75" customHeight="1">
      <c r="A5" s="799" t="s">
        <v>107</v>
      </c>
      <c r="B5" s="764"/>
      <c r="C5" s="1006" t="s">
        <v>518</v>
      </c>
      <c r="D5" s="1007"/>
      <c r="E5" s="1008">
        <f>SUM(E6)</f>
        <v>0</v>
      </c>
      <c r="F5" s="1008">
        <f>SUM(F6)</f>
        <v>6000</v>
      </c>
      <c r="G5" s="1008"/>
      <c r="H5" s="1008">
        <f>SUM(H6)</f>
        <v>0</v>
      </c>
      <c r="I5" s="1009"/>
      <c r="J5" s="1008">
        <f>SUM(J6)</f>
        <v>0</v>
      </c>
      <c r="K5" s="1008">
        <f>SUM(K6)</f>
        <v>0</v>
      </c>
      <c r="L5" s="1010"/>
      <c r="M5" s="2496"/>
    </row>
    <row r="6" spans="1:13" s="381" customFormat="1" ht="14.25">
      <c r="A6" s="1936"/>
      <c r="B6" s="1932" t="s">
        <v>230</v>
      </c>
      <c r="C6" s="660" t="s">
        <v>409</v>
      </c>
      <c r="D6" s="847"/>
      <c r="E6" s="848">
        <f>SUM(E7,E16)</f>
        <v>0</v>
      </c>
      <c r="F6" s="848">
        <f>SUM(F7,F16)</f>
        <v>6000</v>
      </c>
      <c r="G6" s="848"/>
      <c r="H6" s="848">
        <f>SUM(H7,H16)</f>
        <v>0</v>
      </c>
      <c r="I6" s="820"/>
      <c r="J6" s="848">
        <f>SUM(J7,J16)</f>
        <v>0</v>
      </c>
      <c r="K6" s="848">
        <f>SUM(K7,K16)</f>
        <v>0</v>
      </c>
      <c r="L6" s="850"/>
      <c r="M6" s="1950"/>
    </row>
    <row r="7" spans="1:13" s="381" customFormat="1" ht="14.25">
      <c r="A7" s="1936"/>
      <c r="B7" s="1932"/>
      <c r="C7" s="664" t="s">
        <v>18</v>
      </c>
      <c r="D7" s="851"/>
      <c r="E7" s="852">
        <f>SUM(E8,E11,E12,E13,E14,E15)</f>
        <v>0</v>
      </c>
      <c r="F7" s="852">
        <f>SUM(F8,F11,F12,F13,F14,F15)</f>
        <v>6000</v>
      </c>
      <c r="G7" s="852">
        <f>SUM(G8,G11,G12,G13,G14,G15)</f>
        <v>0</v>
      </c>
      <c r="H7" s="852">
        <f>SUM(H8,H11,H12,H13,H14,H15)</f>
        <v>0</v>
      </c>
      <c r="I7" s="1011"/>
      <c r="J7" s="852">
        <f>SUM(J8,J11,J12,J13,J14,J15)</f>
        <v>0</v>
      </c>
      <c r="K7" s="852">
        <f>SUM(K8,K11,K12,K13,K14,K15)</f>
        <v>0</v>
      </c>
      <c r="L7" s="854"/>
      <c r="M7" s="1950"/>
    </row>
    <row r="8" spans="1:13" s="381" customFormat="1" ht="14.25">
      <c r="A8" s="1936"/>
      <c r="B8" s="1932"/>
      <c r="C8" s="668" t="s">
        <v>19</v>
      </c>
      <c r="D8" s="929"/>
      <c r="E8" s="857"/>
      <c r="F8" s="857"/>
      <c r="G8" s="857"/>
      <c r="H8" s="857">
        <f>SUM(H9:H10)</f>
        <v>0</v>
      </c>
      <c r="I8" s="1011"/>
      <c r="J8" s="857">
        <f>SUM(J9:J10)</f>
        <v>0</v>
      </c>
      <c r="K8" s="857"/>
      <c r="L8" s="858"/>
      <c r="M8" s="1950"/>
    </row>
    <row r="9" spans="1:13" s="381" customFormat="1" ht="14.25">
      <c r="A9" s="1936"/>
      <c r="B9" s="1932"/>
      <c r="C9" s="668" t="s">
        <v>20</v>
      </c>
      <c r="D9" s="929"/>
      <c r="E9" s="857"/>
      <c r="F9" s="857"/>
      <c r="G9" s="857"/>
      <c r="H9" s="857"/>
      <c r="I9" s="1011"/>
      <c r="J9" s="857"/>
      <c r="K9" s="857"/>
      <c r="L9" s="858"/>
      <c r="M9" s="1950"/>
    </row>
    <row r="10" spans="1:13" s="381" customFormat="1" ht="11.25" customHeight="1">
      <c r="A10" s="1936"/>
      <c r="B10" s="1932"/>
      <c r="C10" s="672" t="s">
        <v>21</v>
      </c>
      <c r="D10" s="932"/>
      <c r="E10" s="857"/>
      <c r="F10" s="857"/>
      <c r="G10" s="857"/>
      <c r="H10" s="857"/>
      <c r="I10" s="1011"/>
      <c r="J10" s="857"/>
      <c r="K10" s="857"/>
      <c r="L10" s="858"/>
      <c r="M10" s="1950"/>
    </row>
    <row r="11" spans="1:13" s="381" customFormat="1" ht="14.25">
      <c r="A11" s="1936"/>
      <c r="B11" s="1932"/>
      <c r="C11" s="855" t="s">
        <v>23</v>
      </c>
      <c r="D11" s="929">
        <v>2800</v>
      </c>
      <c r="E11" s="857">
        <v>0</v>
      </c>
      <c r="F11" s="857">
        <v>6000</v>
      </c>
      <c r="G11" s="857"/>
      <c r="H11" s="857">
        <v>0</v>
      </c>
      <c r="I11" s="1011"/>
      <c r="J11" s="857"/>
      <c r="K11" s="857">
        <f t="shared" ref="K11" si="0">H11+J11</f>
        <v>0</v>
      </c>
      <c r="L11" s="858"/>
      <c r="M11" s="1950"/>
    </row>
    <row r="12" spans="1:13" s="381" customFormat="1" ht="14.25">
      <c r="A12" s="1936"/>
      <c r="B12" s="1932"/>
      <c r="C12" s="668" t="s">
        <v>24</v>
      </c>
      <c r="D12" s="929"/>
      <c r="E12" s="857"/>
      <c r="F12" s="857"/>
      <c r="G12" s="857"/>
      <c r="H12" s="857"/>
      <c r="I12" s="866"/>
      <c r="J12" s="857"/>
      <c r="K12" s="857"/>
      <c r="L12" s="858"/>
      <c r="M12" s="1950"/>
    </row>
    <row r="13" spans="1:13" s="381" customFormat="1" ht="22.5">
      <c r="A13" s="1936"/>
      <c r="B13" s="1932"/>
      <c r="C13" s="672" t="s">
        <v>25</v>
      </c>
      <c r="D13" s="929"/>
      <c r="E13" s="857"/>
      <c r="F13" s="857"/>
      <c r="G13" s="857"/>
      <c r="H13" s="857"/>
      <c r="I13" s="866"/>
      <c r="J13" s="857"/>
      <c r="K13" s="857"/>
      <c r="L13" s="858"/>
      <c r="M13" s="1950"/>
    </row>
    <row r="14" spans="1:13" s="381" customFormat="1" ht="14.25">
      <c r="A14" s="1936"/>
      <c r="B14" s="1932"/>
      <c r="C14" s="668" t="s">
        <v>26</v>
      </c>
      <c r="D14" s="929"/>
      <c r="E14" s="857"/>
      <c r="F14" s="857"/>
      <c r="G14" s="857"/>
      <c r="H14" s="857"/>
      <c r="I14" s="866"/>
      <c r="J14" s="857"/>
      <c r="K14" s="857"/>
      <c r="L14" s="858"/>
      <c r="M14" s="1950"/>
    </row>
    <row r="15" spans="1:13" s="381" customFormat="1" ht="14.25">
      <c r="A15" s="1936"/>
      <c r="B15" s="1932"/>
      <c r="C15" s="668" t="s">
        <v>27</v>
      </c>
      <c r="D15" s="929"/>
      <c r="E15" s="857"/>
      <c r="F15" s="857"/>
      <c r="G15" s="857"/>
      <c r="H15" s="857"/>
      <c r="I15" s="866"/>
      <c r="J15" s="857"/>
      <c r="K15" s="857"/>
      <c r="L15" s="858"/>
      <c r="M15" s="1950"/>
    </row>
    <row r="16" spans="1:13" s="381" customFormat="1" ht="14.25">
      <c r="A16" s="1936"/>
      <c r="B16" s="1932"/>
      <c r="C16" s="676" t="s">
        <v>28</v>
      </c>
      <c r="D16" s="938"/>
      <c r="E16" s="852">
        <f>SUM(E17,E19,E20)</f>
        <v>0</v>
      </c>
      <c r="F16" s="852">
        <f>SUM(F17,F19,F20)</f>
        <v>0</v>
      </c>
      <c r="G16" s="852">
        <f>SUM(G17,G19,G20)</f>
        <v>0</v>
      </c>
      <c r="H16" s="852">
        <f>SUM(H17,H19,H20)</f>
        <v>0</v>
      </c>
      <c r="I16" s="866"/>
      <c r="J16" s="852">
        <f>SUM(J17,J19,J20)</f>
        <v>0</v>
      </c>
      <c r="K16" s="852">
        <f>SUM(K17,K19,K20)</f>
        <v>0</v>
      </c>
      <c r="L16" s="854"/>
      <c r="M16" s="1950"/>
    </row>
    <row r="17" spans="1:14" s="381" customFormat="1" ht="14.25">
      <c r="A17" s="1936"/>
      <c r="B17" s="1932"/>
      <c r="C17" s="855" t="s">
        <v>29</v>
      </c>
      <c r="D17" s="929"/>
      <c r="E17" s="857"/>
      <c r="F17" s="857"/>
      <c r="G17" s="857"/>
      <c r="H17" s="857"/>
      <c r="I17" s="864"/>
      <c r="J17" s="857"/>
      <c r="K17" s="857"/>
      <c r="L17" s="858"/>
      <c r="M17" s="1950"/>
    </row>
    <row r="18" spans="1:14" s="381" customFormat="1" ht="22.5">
      <c r="A18" s="1936"/>
      <c r="B18" s="1932"/>
      <c r="C18" s="672" t="s">
        <v>30</v>
      </c>
      <c r="D18" s="932"/>
      <c r="E18" s="857"/>
      <c r="F18" s="857"/>
      <c r="G18" s="857"/>
      <c r="H18" s="857"/>
      <c r="I18" s="866"/>
      <c r="J18" s="857"/>
      <c r="K18" s="857"/>
      <c r="L18" s="858"/>
      <c r="M18" s="1950"/>
    </row>
    <row r="19" spans="1:14" s="381" customFormat="1" ht="14.25">
      <c r="A19" s="1936"/>
      <c r="B19" s="1932"/>
      <c r="C19" s="668" t="s">
        <v>31</v>
      </c>
      <c r="D19" s="929"/>
      <c r="E19" s="857"/>
      <c r="F19" s="857"/>
      <c r="G19" s="857"/>
      <c r="H19" s="857"/>
      <c r="I19" s="866"/>
      <c r="J19" s="857"/>
      <c r="K19" s="857"/>
      <c r="L19" s="858"/>
      <c r="M19" s="1950"/>
    </row>
    <row r="20" spans="1:14" s="381" customFormat="1" ht="14.25">
      <c r="A20" s="1936"/>
      <c r="B20" s="1932"/>
      <c r="C20" s="668" t="s">
        <v>32</v>
      </c>
      <c r="D20" s="929"/>
      <c r="E20" s="852"/>
      <c r="F20" s="852"/>
      <c r="G20" s="852"/>
      <c r="H20" s="852"/>
      <c r="I20" s="866"/>
      <c r="J20" s="852"/>
      <c r="K20" s="857"/>
      <c r="L20" s="858"/>
      <c r="M20" s="1950"/>
    </row>
    <row r="21" spans="1:14" ht="24" customHeight="1">
      <c r="A21" s="1012" t="s">
        <v>72</v>
      </c>
      <c r="B21" s="729"/>
      <c r="C21" s="1013" t="s">
        <v>73</v>
      </c>
      <c r="D21" s="1014"/>
      <c r="E21" s="1015">
        <f>SUM(E22,E39,E56,E73,E94,E111,E128,E146,E164,E181,)</f>
        <v>93544461</v>
      </c>
      <c r="F21" s="1015">
        <f>SUM(F22,F39,F56,F73,F94,F111,F128,F146,F164,F181,)</f>
        <v>108512644</v>
      </c>
      <c r="G21" s="1015" t="e">
        <f t="shared" ref="G21:K21" si="1">SUM(G22,G39,G56,G73,G94,G111,G128,G146,G164,G181,)</f>
        <v>#REF!</v>
      </c>
      <c r="H21" s="1015">
        <f t="shared" si="1"/>
        <v>99919707</v>
      </c>
      <c r="I21" s="882">
        <f>H21/E21</f>
        <v>1.0681520416264947</v>
      </c>
      <c r="J21" s="1015">
        <f t="shared" si="1"/>
        <v>9545536</v>
      </c>
      <c r="K21" s="1015">
        <f t="shared" si="1"/>
        <v>109465243</v>
      </c>
      <c r="L21" s="1016">
        <f>K21/E21</f>
        <v>1.1701948124967014</v>
      </c>
      <c r="M21" s="1017"/>
      <c r="N21" s="1018"/>
    </row>
    <row r="22" spans="1:14" ht="24" customHeight="1">
      <c r="A22" s="2042"/>
      <c r="B22" s="2457" t="s">
        <v>117</v>
      </c>
      <c r="C22" s="530" t="s">
        <v>118</v>
      </c>
      <c r="D22" s="1019"/>
      <c r="E22" s="819">
        <f>SUM(E23,E34)</f>
        <v>924000</v>
      </c>
      <c r="F22" s="819">
        <f>SUM(F23,F34)</f>
        <v>909500</v>
      </c>
      <c r="G22" s="819">
        <f>E22*0.95</f>
        <v>877800</v>
      </c>
      <c r="H22" s="819">
        <f>SUM(H23,H34)</f>
        <v>1027600</v>
      </c>
      <c r="I22" s="1020">
        <f>H22/E22</f>
        <v>1.1121212121212121</v>
      </c>
      <c r="J22" s="819">
        <f>SUM(J23,J34)</f>
        <v>0</v>
      </c>
      <c r="K22" s="819">
        <f>SUM(K23,K34)</f>
        <v>1027600</v>
      </c>
      <c r="L22" s="821">
        <f>K22/E22</f>
        <v>1.1121212121212121</v>
      </c>
      <c r="M22" s="2491" t="s">
        <v>519</v>
      </c>
    </row>
    <row r="23" spans="1:14" ht="12.75">
      <c r="A23" s="2042"/>
      <c r="B23" s="2457"/>
      <c r="C23" s="526" t="s">
        <v>18</v>
      </c>
      <c r="D23" s="1022"/>
      <c r="E23" s="823">
        <f>SUM(E24,E27,E28,E31,E32,E33)</f>
        <v>924000</v>
      </c>
      <c r="F23" s="823">
        <f>SUM(F24,F27,F28,F31,F32,F33)</f>
        <v>909500</v>
      </c>
      <c r="G23" s="823" t="e">
        <f>SUM(G24,G27,G28,G31,G32,G33)</f>
        <v>#REF!</v>
      </c>
      <c r="H23" s="823">
        <f>SUM(H24,H27,H28,H31,H32,H33)</f>
        <v>1027600</v>
      </c>
      <c r="I23" s="1023">
        <f t="shared" ref="I23:I30" si="2">H23/E23</f>
        <v>1.1121212121212121</v>
      </c>
      <c r="J23" s="823">
        <f>SUM(J24,J27,J28,J31,J32,J33)</f>
        <v>0</v>
      </c>
      <c r="K23" s="823">
        <f>SUM(K24,K27,K28,K31,K32,K33)</f>
        <v>1027600</v>
      </c>
      <c r="L23" s="825">
        <f>K23/E23</f>
        <v>1.1121212121212121</v>
      </c>
      <c r="M23" s="2487"/>
    </row>
    <row r="24" spans="1:14" ht="18" customHeight="1">
      <c r="A24" s="2042"/>
      <c r="B24" s="2457"/>
      <c r="C24" s="642" t="s">
        <v>19</v>
      </c>
      <c r="D24" s="1024"/>
      <c r="E24" s="830">
        <f>SUM(E25:E26)</f>
        <v>7000</v>
      </c>
      <c r="F24" s="830">
        <f>SUM(F25:F26)</f>
        <v>7000</v>
      </c>
      <c r="G24" s="830">
        <f>SUM(G25:G26)</f>
        <v>0</v>
      </c>
      <c r="H24" s="830">
        <f>SUM(H25:H26)</f>
        <v>7000</v>
      </c>
      <c r="I24" s="1025"/>
      <c r="J24" s="830">
        <f>SUM(J25:J26)</f>
        <v>0</v>
      </c>
      <c r="K24" s="830">
        <f>SUM(K25:K26)</f>
        <v>7000</v>
      </c>
      <c r="L24" s="829">
        <f>K24/E24</f>
        <v>1</v>
      </c>
      <c r="M24" s="2487"/>
    </row>
    <row r="25" spans="1:14" ht="18" customHeight="1">
      <c r="A25" s="2042"/>
      <c r="B25" s="2457"/>
      <c r="C25" s="642" t="s">
        <v>20</v>
      </c>
      <c r="D25" s="1024"/>
      <c r="E25" s="830"/>
      <c r="F25" s="830"/>
      <c r="G25" s="823"/>
      <c r="H25" s="830"/>
      <c r="I25" s="1025"/>
      <c r="J25" s="830"/>
      <c r="K25" s="830"/>
      <c r="L25" s="829"/>
      <c r="M25" s="2487"/>
    </row>
    <row r="26" spans="1:14" ht="18.75" customHeight="1">
      <c r="A26" s="2042"/>
      <c r="B26" s="2457"/>
      <c r="C26" s="643" t="s">
        <v>21</v>
      </c>
      <c r="D26" s="1027">
        <v>4300</v>
      </c>
      <c r="E26" s="830">
        <v>7000</v>
      </c>
      <c r="F26" s="830">
        <v>7000</v>
      </c>
      <c r="G26" s="823"/>
      <c r="H26" s="830">
        <v>7000</v>
      </c>
      <c r="I26" s="1028">
        <f t="shared" si="2"/>
        <v>1</v>
      </c>
      <c r="J26" s="830"/>
      <c r="K26" s="830">
        <f>H26+J26</f>
        <v>7000</v>
      </c>
      <c r="L26" s="829">
        <f t="shared" ref="L26:L89" si="3">K26/E26</f>
        <v>1</v>
      </c>
      <c r="M26" s="2487"/>
    </row>
    <row r="27" spans="1:14" ht="18.75" customHeight="1">
      <c r="A27" s="2042"/>
      <c r="B27" s="2457"/>
      <c r="C27" s="511" t="s">
        <v>23</v>
      </c>
      <c r="D27" s="1024">
        <v>2360</v>
      </c>
      <c r="E27" s="830">
        <v>700000</v>
      </c>
      <c r="F27" s="830">
        <v>632000</v>
      </c>
      <c r="G27" s="830" t="e">
        <f>#REF!+#REF!</f>
        <v>#REF!</v>
      </c>
      <c r="H27" s="830">
        <v>770000</v>
      </c>
      <c r="I27" s="1028">
        <f t="shared" si="2"/>
        <v>1.1000000000000001</v>
      </c>
      <c r="J27" s="830"/>
      <c r="K27" s="830">
        <f>H27+J27</f>
        <v>770000</v>
      </c>
      <c r="L27" s="829">
        <f t="shared" si="3"/>
        <v>1.1000000000000001</v>
      </c>
      <c r="M27" s="2487"/>
    </row>
    <row r="28" spans="1:14" ht="18.75" customHeight="1">
      <c r="A28" s="2042"/>
      <c r="B28" s="2457"/>
      <c r="C28" s="2479" t="s">
        <v>24</v>
      </c>
      <c r="D28" s="1024" t="s">
        <v>22</v>
      </c>
      <c r="E28" s="830">
        <f>SUM(E29:E30)</f>
        <v>217000</v>
      </c>
      <c r="F28" s="830">
        <f>SUM(F29:F30)</f>
        <v>270500</v>
      </c>
      <c r="G28" s="830">
        <f>SUM(G29:G30)</f>
        <v>0</v>
      </c>
      <c r="H28" s="830">
        <f>SUM(H29:H30)</f>
        <v>250600</v>
      </c>
      <c r="I28" s="1028">
        <f t="shared" si="2"/>
        <v>1.1548387096774193</v>
      </c>
      <c r="J28" s="836">
        <f>SUM(J29:J30)</f>
        <v>0</v>
      </c>
      <c r="K28" s="836">
        <f>SUM(K29:K30)</f>
        <v>250600</v>
      </c>
      <c r="L28" s="829">
        <f t="shared" si="3"/>
        <v>1.1548387096774193</v>
      </c>
      <c r="M28" s="2487"/>
    </row>
    <row r="29" spans="1:14" ht="18.75" customHeight="1">
      <c r="A29" s="2042"/>
      <c r="B29" s="2457"/>
      <c r="C29" s="2479"/>
      <c r="D29" s="1029">
        <v>3040</v>
      </c>
      <c r="E29" s="836">
        <v>193000</v>
      </c>
      <c r="F29" s="836">
        <v>220500</v>
      </c>
      <c r="G29" s="836"/>
      <c r="H29" s="836">
        <v>222000</v>
      </c>
      <c r="I29" s="1025">
        <f t="shared" si="2"/>
        <v>1.150259067357513</v>
      </c>
      <c r="J29" s="836"/>
      <c r="K29" s="836">
        <f>H29+J29</f>
        <v>222000</v>
      </c>
      <c r="L29" s="838">
        <f t="shared" si="3"/>
        <v>1.150259067357513</v>
      </c>
      <c r="M29" s="2487"/>
    </row>
    <row r="30" spans="1:14" ht="18.75" customHeight="1">
      <c r="A30" s="2042"/>
      <c r="B30" s="2457"/>
      <c r="C30" s="2479"/>
      <c r="D30" s="1029">
        <v>3250</v>
      </c>
      <c r="E30" s="836">
        <v>24000</v>
      </c>
      <c r="F30" s="836">
        <v>50000</v>
      </c>
      <c r="G30" s="836"/>
      <c r="H30" s="836">
        <v>28600</v>
      </c>
      <c r="I30" s="1025">
        <f t="shared" si="2"/>
        <v>1.1916666666666667</v>
      </c>
      <c r="J30" s="836"/>
      <c r="K30" s="836">
        <f>H30+J30</f>
        <v>28600</v>
      </c>
      <c r="L30" s="838">
        <f t="shared" si="3"/>
        <v>1.1916666666666667</v>
      </c>
      <c r="M30" s="2487"/>
    </row>
    <row r="31" spans="1:14" ht="22.5" customHeight="1">
      <c r="A31" s="2042"/>
      <c r="B31" s="2457"/>
      <c r="C31" s="643" t="s">
        <v>54</v>
      </c>
      <c r="D31" s="1027"/>
      <c r="E31" s="830"/>
      <c r="F31" s="830"/>
      <c r="G31" s="823"/>
      <c r="H31" s="830"/>
      <c r="I31" s="1023"/>
      <c r="J31" s="830"/>
      <c r="K31" s="830"/>
      <c r="L31" s="829"/>
      <c r="M31" s="2487"/>
    </row>
    <row r="32" spans="1:14" ht="18.75" customHeight="1">
      <c r="A32" s="2042"/>
      <c r="B32" s="2457"/>
      <c r="C32" s="642" t="s">
        <v>26</v>
      </c>
      <c r="D32" s="1024"/>
      <c r="E32" s="830"/>
      <c r="F32" s="830"/>
      <c r="G32" s="823"/>
      <c r="H32" s="830"/>
      <c r="I32" s="1023"/>
      <c r="J32" s="830"/>
      <c r="K32" s="830"/>
      <c r="L32" s="829"/>
      <c r="M32" s="2487"/>
    </row>
    <row r="33" spans="1:13" ht="18.75" customHeight="1">
      <c r="A33" s="2042"/>
      <c r="B33" s="2457"/>
      <c r="C33" s="642" t="s">
        <v>27</v>
      </c>
      <c r="D33" s="1024"/>
      <c r="E33" s="830"/>
      <c r="F33" s="830"/>
      <c r="G33" s="823"/>
      <c r="H33" s="830"/>
      <c r="I33" s="1023"/>
      <c r="J33" s="830"/>
      <c r="K33" s="830"/>
      <c r="L33" s="829"/>
      <c r="M33" s="2487"/>
    </row>
    <row r="34" spans="1:13" ht="18.75" customHeight="1">
      <c r="A34" s="2042"/>
      <c r="B34" s="2457"/>
      <c r="C34" s="644" t="s">
        <v>28</v>
      </c>
      <c r="D34" s="1030"/>
      <c r="E34" s="823">
        <f>SUM(E35,E37,E38)</f>
        <v>0</v>
      </c>
      <c r="F34" s="823">
        <f>SUM(F35,F37,F38)</f>
        <v>0</v>
      </c>
      <c r="G34" s="823">
        <f>SUM(G35,G37,G38)</f>
        <v>0</v>
      </c>
      <c r="H34" s="823">
        <f>SUM(H35,H37,H38)</f>
        <v>0</v>
      </c>
      <c r="I34" s="1023"/>
      <c r="J34" s="823">
        <f>SUM(J35,J37,J38)</f>
        <v>0</v>
      </c>
      <c r="K34" s="823">
        <f>SUM(K35,K37,K38)</f>
        <v>0</v>
      </c>
      <c r="L34" s="829"/>
      <c r="M34" s="2487"/>
    </row>
    <row r="35" spans="1:13" ht="15.75" customHeight="1">
      <c r="A35" s="2042"/>
      <c r="B35" s="2457"/>
      <c r="C35" s="642" t="s">
        <v>29</v>
      </c>
      <c r="D35" s="1029"/>
      <c r="E35" s="830"/>
      <c r="F35" s="830"/>
      <c r="G35" s="823"/>
      <c r="H35" s="830">
        <v>0</v>
      </c>
      <c r="I35" s="1023"/>
      <c r="J35" s="830"/>
      <c r="K35" s="830"/>
      <c r="L35" s="829"/>
      <c r="M35" s="2487"/>
    </row>
    <row r="36" spans="1:13" ht="23.25" customHeight="1">
      <c r="A36" s="2042"/>
      <c r="B36" s="2457"/>
      <c r="C36" s="643" t="s">
        <v>89</v>
      </c>
      <c r="D36" s="1027"/>
      <c r="E36" s="830"/>
      <c r="F36" s="830"/>
      <c r="G36" s="823"/>
      <c r="H36" s="830"/>
      <c r="I36" s="1023"/>
      <c r="J36" s="830"/>
      <c r="K36" s="830"/>
      <c r="L36" s="829"/>
      <c r="M36" s="2487"/>
    </row>
    <row r="37" spans="1:13" ht="18.75" customHeight="1">
      <c r="A37" s="2042"/>
      <c r="B37" s="2457"/>
      <c r="C37" s="642" t="s">
        <v>31</v>
      </c>
      <c r="D37" s="1024"/>
      <c r="E37" s="830"/>
      <c r="F37" s="830"/>
      <c r="G37" s="823"/>
      <c r="H37" s="830"/>
      <c r="I37" s="1023"/>
      <c r="J37" s="830"/>
      <c r="K37" s="830"/>
      <c r="L37" s="829"/>
      <c r="M37" s="2487"/>
    </row>
    <row r="38" spans="1:13" ht="14.25" customHeight="1">
      <c r="A38" s="2042"/>
      <c r="B38" s="2457"/>
      <c r="C38" s="642" t="s">
        <v>32</v>
      </c>
      <c r="D38" s="1024"/>
      <c r="E38" s="823"/>
      <c r="F38" s="823"/>
      <c r="G38" s="823"/>
      <c r="H38" s="823"/>
      <c r="I38" s="1023"/>
      <c r="J38" s="823"/>
      <c r="K38" s="823"/>
      <c r="L38" s="829"/>
      <c r="M38" s="2487"/>
    </row>
    <row r="39" spans="1:13" ht="21" customHeight="1">
      <c r="A39" s="2042"/>
      <c r="B39" s="2457" t="s">
        <v>520</v>
      </c>
      <c r="C39" s="1031" t="s">
        <v>521</v>
      </c>
      <c r="D39" s="1019"/>
      <c r="E39" s="819">
        <f>SUM(E40,E51)</f>
        <v>8905406</v>
      </c>
      <c r="F39" s="819">
        <f>SUM(F40,F51)</f>
        <v>9985324</v>
      </c>
      <c r="G39" s="819">
        <f>E39*0.95</f>
        <v>8460135.6999999993</v>
      </c>
      <c r="H39" s="819">
        <f>SUM(H40,H51)</f>
        <v>10119231</v>
      </c>
      <c r="I39" s="1020">
        <f>H39/E39</f>
        <v>1.1363020394578305</v>
      </c>
      <c r="J39" s="819">
        <f>SUM(J40,J51)</f>
        <v>3075000</v>
      </c>
      <c r="K39" s="819">
        <f>SUM(K40,K51)</f>
        <v>13194231</v>
      </c>
      <c r="L39" s="821">
        <f t="shared" si="3"/>
        <v>1.4815979192863302</v>
      </c>
      <c r="M39" s="2492" t="s">
        <v>522</v>
      </c>
    </row>
    <row r="40" spans="1:13" ht="21" customHeight="1">
      <c r="A40" s="2042"/>
      <c r="B40" s="2457"/>
      <c r="C40" s="526" t="s">
        <v>18</v>
      </c>
      <c r="D40" s="1022"/>
      <c r="E40" s="823">
        <f>SUM(E41,E44,E47,E48,E49,E50)</f>
        <v>7585406</v>
      </c>
      <c r="F40" s="823">
        <f>SUM(F41,F44,F47,F48,F49,F50)</f>
        <v>8639706</v>
      </c>
      <c r="G40" s="823">
        <f>SUM(G41,G44,G47,G48,G49,G50)</f>
        <v>0</v>
      </c>
      <c r="H40" s="823">
        <f>SUM(H41,H44,H47,H48,H49,H50)</f>
        <v>8307581</v>
      </c>
      <c r="I40" s="1023">
        <f>H40/E40</f>
        <v>1.0952058465954229</v>
      </c>
      <c r="J40" s="823">
        <f>SUM(J41,J44,J47,J48,J49,J50)</f>
        <v>0</v>
      </c>
      <c r="K40" s="823">
        <f>SUM(K41,K44,K47,K48,K49,K50)</f>
        <v>8307581</v>
      </c>
      <c r="L40" s="825">
        <f t="shared" si="3"/>
        <v>1.0952058465954229</v>
      </c>
      <c r="M40" s="2493"/>
    </row>
    <row r="41" spans="1:13" ht="21" customHeight="1">
      <c r="A41" s="2042"/>
      <c r="B41" s="2457"/>
      <c r="C41" s="642" t="s">
        <v>19</v>
      </c>
      <c r="D41" s="1024"/>
      <c r="E41" s="830"/>
      <c r="F41" s="830"/>
      <c r="G41" s="830"/>
      <c r="H41" s="830"/>
      <c r="I41" s="1028"/>
      <c r="J41" s="830"/>
      <c r="K41" s="830"/>
      <c r="L41" s="829"/>
      <c r="M41" s="2493"/>
    </row>
    <row r="42" spans="1:13" ht="21" customHeight="1">
      <c r="A42" s="2042"/>
      <c r="B42" s="2457"/>
      <c r="C42" s="642" t="s">
        <v>20</v>
      </c>
      <c r="D42" s="1024"/>
      <c r="E42" s="830"/>
      <c r="F42" s="830"/>
      <c r="G42" s="823"/>
      <c r="H42" s="830"/>
      <c r="I42" s="1028"/>
      <c r="J42" s="830"/>
      <c r="K42" s="830"/>
      <c r="L42" s="829"/>
      <c r="M42" s="2493"/>
    </row>
    <row r="43" spans="1:13" ht="21" customHeight="1">
      <c r="A43" s="2042"/>
      <c r="B43" s="2457"/>
      <c r="C43" s="643" t="s">
        <v>21</v>
      </c>
      <c r="D43" s="1027"/>
      <c r="E43" s="830"/>
      <c r="F43" s="830"/>
      <c r="G43" s="823"/>
      <c r="H43" s="830"/>
      <c r="I43" s="1028"/>
      <c r="J43" s="830"/>
      <c r="K43" s="830"/>
      <c r="L43" s="829"/>
      <c r="M43" s="2493"/>
    </row>
    <row r="44" spans="1:13" ht="21" customHeight="1">
      <c r="A44" s="2042"/>
      <c r="B44" s="2457"/>
      <c r="C44" s="2479" t="s">
        <v>23</v>
      </c>
      <c r="D44" s="1027" t="s">
        <v>22</v>
      </c>
      <c r="E44" s="830">
        <f>SUM(E45:E46)</f>
        <v>7585406</v>
      </c>
      <c r="F44" s="830">
        <f>SUM(F45:F46)</f>
        <v>8639706</v>
      </c>
      <c r="G44" s="830">
        <f>SUM(G45:G46)</f>
        <v>0</v>
      </c>
      <c r="H44" s="830">
        <f>SUM(H45:H46)</f>
        <v>8307581</v>
      </c>
      <c r="I44" s="1028">
        <f>H44/E44</f>
        <v>1.0952058465954229</v>
      </c>
      <c r="J44" s="830">
        <f>SUM(J45:J46)</f>
        <v>0</v>
      </c>
      <c r="K44" s="830">
        <f>SUM(K45:K46)</f>
        <v>8307581</v>
      </c>
      <c r="L44" s="829">
        <f t="shared" si="3"/>
        <v>1.0952058465954229</v>
      </c>
      <c r="M44" s="2493"/>
    </row>
    <row r="45" spans="1:13" ht="21" customHeight="1">
      <c r="A45" s="2042"/>
      <c r="B45" s="2457"/>
      <c r="C45" s="2479"/>
      <c r="D45" s="1032">
        <v>2480</v>
      </c>
      <c r="E45" s="836">
        <v>6585406</v>
      </c>
      <c r="F45" s="836">
        <v>7054406</v>
      </c>
      <c r="G45" s="836"/>
      <c r="H45" s="836">
        <v>7207581</v>
      </c>
      <c r="I45" s="1025">
        <f>H45/E45</f>
        <v>1.0944778499609591</v>
      </c>
      <c r="J45" s="836"/>
      <c r="K45" s="836">
        <f>H45+J45</f>
        <v>7207581</v>
      </c>
      <c r="L45" s="838">
        <f t="shared" si="3"/>
        <v>1.0944778499609591</v>
      </c>
      <c r="M45" s="2493"/>
    </row>
    <row r="46" spans="1:13" ht="21" customHeight="1">
      <c r="A46" s="2042"/>
      <c r="B46" s="2457"/>
      <c r="C46" s="2479"/>
      <c r="D46" s="1029">
        <v>2800</v>
      </c>
      <c r="E46" s="836">
        <v>1000000</v>
      </c>
      <c r="F46" s="836">
        <v>1585300</v>
      </c>
      <c r="G46" s="836"/>
      <c r="H46" s="836">
        <v>1100000</v>
      </c>
      <c r="I46" s="1028">
        <f>H46/E46</f>
        <v>1.1000000000000001</v>
      </c>
      <c r="J46" s="836"/>
      <c r="K46" s="836">
        <f>H46+J46</f>
        <v>1100000</v>
      </c>
      <c r="L46" s="838">
        <f t="shared" si="3"/>
        <v>1.1000000000000001</v>
      </c>
      <c r="M46" s="2493"/>
    </row>
    <row r="47" spans="1:13" ht="21" customHeight="1">
      <c r="A47" s="2042"/>
      <c r="B47" s="2457"/>
      <c r="C47" s="642" t="s">
        <v>24</v>
      </c>
      <c r="D47" s="1024"/>
      <c r="E47" s="830"/>
      <c r="F47" s="830"/>
      <c r="G47" s="823"/>
      <c r="H47" s="830"/>
      <c r="I47" s="1028"/>
      <c r="J47" s="830"/>
      <c r="K47" s="830"/>
      <c r="L47" s="829"/>
      <c r="M47" s="2493"/>
    </row>
    <row r="48" spans="1:13" ht="21" customHeight="1">
      <c r="A48" s="2042"/>
      <c r="B48" s="2457"/>
      <c r="C48" s="643" t="s">
        <v>25</v>
      </c>
      <c r="D48" s="1027"/>
      <c r="E48" s="830"/>
      <c r="F48" s="830"/>
      <c r="G48" s="823"/>
      <c r="H48" s="830"/>
      <c r="I48" s="1028"/>
      <c r="J48" s="830"/>
      <c r="K48" s="830"/>
      <c r="L48" s="829"/>
      <c r="M48" s="2493"/>
    </row>
    <row r="49" spans="1:13" ht="21" customHeight="1">
      <c r="A49" s="2042"/>
      <c r="B49" s="2457"/>
      <c r="C49" s="642" t="s">
        <v>26</v>
      </c>
      <c r="D49" s="1024"/>
      <c r="E49" s="830"/>
      <c r="F49" s="830"/>
      <c r="G49" s="823"/>
      <c r="H49" s="830"/>
      <c r="I49" s="1028"/>
      <c r="J49" s="830"/>
      <c r="K49" s="830"/>
      <c r="L49" s="829"/>
      <c r="M49" s="2493"/>
    </row>
    <row r="50" spans="1:13" ht="21" customHeight="1">
      <c r="A50" s="2042"/>
      <c r="B50" s="2457"/>
      <c r="C50" s="642" t="s">
        <v>27</v>
      </c>
      <c r="D50" s="1024"/>
      <c r="E50" s="830"/>
      <c r="F50" s="830"/>
      <c r="G50" s="823"/>
      <c r="H50" s="830"/>
      <c r="I50" s="1028"/>
      <c r="J50" s="830"/>
      <c r="K50" s="830"/>
      <c r="L50" s="829"/>
      <c r="M50" s="2493"/>
    </row>
    <row r="51" spans="1:13" ht="21" customHeight="1">
      <c r="A51" s="2042"/>
      <c r="B51" s="2457"/>
      <c r="C51" s="644" t="s">
        <v>28</v>
      </c>
      <c r="D51" s="1030"/>
      <c r="E51" s="823">
        <f>SUM(E52,E54,E55)</f>
        <v>1320000</v>
      </c>
      <c r="F51" s="823">
        <f>SUM(F52,F54,F55)</f>
        <v>1345618</v>
      </c>
      <c r="G51" s="823">
        <f>E51*0.95</f>
        <v>1254000</v>
      </c>
      <c r="H51" s="823">
        <f>SUM(H52,H54,H55)</f>
        <v>1811650</v>
      </c>
      <c r="I51" s="1023">
        <f>H51/E51</f>
        <v>1.3724621212121213</v>
      </c>
      <c r="J51" s="823">
        <f>SUM(J52,J54,J55)</f>
        <v>3075000</v>
      </c>
      <c r="K51" s="823">
        <f>SUM(K52,K54,K55)</f>
        <v>4886650</v>
      </c>
      <c r="L51" s="825">
        <f t="shared" si="3"/>
        <v>3.7020075757575759</v>
      </c>
      <c r="M51" s="2493"/>
    </row>
    <row r="52" spans="1:13" ht="21" customHeight="1">
      <c r="A52" s="2042"/>
      <c r="B52" s="2457"/>
      <c r="C52" s="642" t="s">
        <v>29</v>
      </c>
      <c r="D52" s="1024">
        <v>6220</v>
      </c>
      <c r="E52" s="830">
        <v>1320000</v>
      </c>
      <c r="F52" s="830">
        <v>1345618</v>
      </c>
      <c r="G52" s="823"/>
      <c r="H52" s="830">
        <v>1811650</v>
      </c>
      <c r="I52" s="1028">
        <f>H52/E52</f>
        <v>1.3724621212121213</v>
      </c>
      <c r="J52" s="830">
        <v>3075000</v>
      </c>
      <c r="K52" s="830">
        <f>H52+J52</f>
        <v>4886650</v>
      </c>
      <c r="L52" s="829">
        <f t="shared" si="3"/>
        <v>3.7020075757575759</v>
      </c>
      <c r="M52" s="2493"/>
    </row>
    <row r="53" spans="1:13" ht="21" customHeight="1">
      <c r="A53" s="2042"/>
      <c r="B53" s="2457"/>
      <c r="C53" s="643" t="s">
        <v>89</v>
      </c>
      <c r="D53" s="1027"/>
      <c r="E53" s="830"/>
      <c r="F53" s="830"/>
      <c r="G53" s="823"/>
      <c r="H53" s="830"/>
      <c r="I53" s="1028"/>
      <c r="J53" s="830"/>
      <c r="K53" s="830"/>
      <c r="L53" s="829"/>
      <c r="M53" s="2493"/>
    </row>
    <row r="54" spans="1:13" ht="21" customHeight="1">
      <c r="A54" s="2042"/>
      <c r="B54" s="2457"/>
      <c r="C54" s="642" t="s">
        <v>31</v>
      </c>
      <c r="D54" s="1024"/>
      <c r="E54" s="830"/>
      <c r="F54" s="830"/>
      <c r="G54" s="823"/>
      <c r="H54" s="830"/>
      <c r="I54" s="1028"/>
      <c r="J54" s="830"/>
      <c r="K54" s="830"/>
      <c r="L54" s="829"/>
      <c r="M54" s="2493"/>
    </row>
    <row r="55" spans="1:13" ht="21.75" customHeight="1">
      <c r="A55" s="2042"/>
      <c r="B55" s="2457"/>
      <c r="C55" s="642" t="s">
        <v>32</v>
      </c>
      <c r="D55" s="1024"/>
      <c r="E55" s="823"/>
      <c r="F55" s="823"/>
      <c r="G55" s="823"/>
      <c r="H55" s="823"/>
      <c r="I55" s="1028"/>
      <c r="J55" s="823"/>
      <c r="K55" s="823"/>
      <c r="L55" s="829"/>
      <c r="M55" s="2493"/>
    </row>
    <row r="56" spans="1:13" ht="15.75" customHeight="1">
      <c r="A56" s="2042"/>
      <c r="B56" s="2457" t="s">
        <v>523</v>
      </c>
      <c r="C56" s="530" t="s">
        <v>524</v>
      </c>
      <c r="D56" s="1019"/>
      <c r="E56" s="819">
        <f>SUM(E57,E68)</f>
        <v>8643006</v>
      </c>
      <c r="F56" s="819">
        <f>SUM(F57,F68)</f>
        <v>10957006</v>
      </c>
      <c r="G56" s="819">
        <f>SUM(G57,G68)</f>
        <v>0</v>
      </c>
      <c r="H56" s="819">
        <f>SUM(H57,H68)</f>
        <v>9527569</v>
      </c>
      <c r="I56" s="1020">
        <f>H56/E56</f>
        <v>1.1023443695399495</v>
      </c>
      <c r="J56" s="819">
        <f>SUM(J57,J68)</f>
        <v>1144000</v>
      </c>
      <c r="K56" s="819">
        <f>SUM(K57,K68)</f>
        <v>10671569</v>
      </c>
      <c r="L56" s="821">
        <f t="shared" si="3"/>
        <v>1.2347057262253434</v>
      </c>
      <c r="M56" s="2490" t="s">
        <v>604</v>
      </c>
    </row>
    <row r="57" spans="1:13" ht="15.75" customHeight="1">
      <c r="A57" s="2042"/>
      <c r="B57" s="2457"/>
      <c r="C57" s="526" t="s">
        <v>18</v>
      </c>
      <c r="D57" s="1022"/>
      <c r="E57" s="823">
        <f>SUM(E58,E61,E64,E65,E66,E67)</f>
        <v>8097006</v>
      </c>
      <c r="F57" s="823">
        <f>SUM(F58,F61,F64,F65,F66,F67)</f>
        <v>9851006</v>
      </c>
      <c r="G57" s="823">
        <f>SUM(G58,G61,G64,G65,G66,G67)</f>
        <v>0</v>
      </c>
      <c r="H57" s="823">
        <f>SUM(H58,H61,H64,H65,H66,H67)</f>
        <v>9079569</v>
      </c>
      <c r="I57" s="1023">
        <f>H57/E57</f>
        <v>1.121348928233473</v>
      </c>
      <c r="J57" s="823">
        <f>SUM(J58,J61,J64,J65,J66,J67)</f>
        <v>1144000</v>
      </c>
      <c r="K57" s="823">
        <f>SUM(K58,K61,K64,K65,K66,K67)</f>
        <v>10223569</v>
      </c>
      <c r="L57" s="825">
        <f t="shared" si="3"/>
        <v>1.26263571991919</v>
      </c>
      <c r="M57" s="2487"/>
    </row>
    <row r="58" spans="1:13" ht="15.75" customHeight="1">
      <c r="A58" s="2042"/>
      <c r="B58" s="2457"/>
      <c r="C58" s="642" t="s">
        <v>19</v>
      </c>
      <c r="D58" s="1024"/>
      <c r="E58" s="830"/>
      <c r="F58" s="830"/>
      <c r="G58" s="823"/>
      <c r="H58" s="830"/>
      <c r="I58" s="1023"/>
      <c r="J58" s="830"/>
      <c r="K58" s="830"/>
      <c r="L58" s="829"/>
      <c r="M58" s="2487"/>
    </row>
    <row r="59" spans="1:13" ht="15.75" customHeight="1">
      <c r="A59" s="2042"/>
      <c r="B59" s="2457"/>
      <c r="C59" s="642" t="s">
        <v>20</v>
      </c>
      <c r="D59" s="1024"/>
      <c r="E59" s="830"/>
      <c r="F59" s="830"/>
      <c r="G59" s="823"/>
      <c r="H59" s="830"/>
      <c r="I59" s="1023"/>
      <c r="J59" s="830"/>
      <c r="K59" s="830"/>
      <c r="L59" s="829"/>
      <c r="M59" s="2487"/>
    </row>
    <row r="60" spans="1:13" ht="15.75" customHeight="1">
      <c r="A60" s="2042"/>
      <c r="B60" s="2457"/>
      <c r="C60" s="643" t="s">
        <v>21</v>
      </c>
      <c r="D60" s="1027"/>
      <c r="E60" s="830"/>
      <c r="F60" s="830"/>
      <c r="G60" s="823"/>
      <c r="H60" s="830"/>
      <c r="I60" s="1023"/>
      <c r="J60" s="830"/>
      <c r="K60" s="830"/>
      <c r="L60" s="829"/>
      <c r="M60" s="2487"/>
    </row>
    <row r="61" spans="1:13" ht="15.75" customHeight="1">
      <c r="A61" s="2042"/>
      <c r="B61" s="2457"/>
      <c r="C61" s="2479" t="s">
        <v>23</v>
      </c>
      <c r="D61" s="1027" t="s">
        <v>22</v>
      </c>
      <c r="E61" s="830">
        <f>SUM(E62:E63)</f>
        <v>8097006</v>
      </c>
      <c r="F61" s="830">
        <f>SUM(F62:F63)</f>
        <v>9851006</v>
      </c>
      <c r="G61" s="830">
        <f>SUM(G62:G63)</f>
        <v>0</v>
      </c>
      <c r="H61" s="830">
        <f>SUM(H62:H63)</f>
        <v>9079569</v>
      </c>
      <c r="I61" s="1028">
        <f>H61/E61</f>
        <v>1.121348928233473</v>
      </c>
      <c r="J61" s="830">
        <f>SUM(J62:J63)</f>
        <v>1144000</v>
      </c>
      <c r="K61" s="830">
        <f>SUM(K62:K63)</f>
        <v>10223569</v>
      </c>
      <c r="L61" s="829">
        <f t="shared" si="3"/>
        <v>1.26263571991919</v>
      </c>
      <c r="M61" s="2487"/>
    </row>
    <row r="62" spans="1:13" ht="15.75" customHeight="1">
      <c r="A62" s="2042"/>
      <c r="B62" s="2457"/>
      <c r="C62" s="2479"/>
      <c r="D62" s="1032">
        <v>2480</v>
      </c>
      <c r="E62" s="836">
        <v>7947006</v>
      </c>
      <c r="F62" s="836">
        <v>8946006</v>
      </c>
      <c r="G62" s="836"/>
      <c r="H62" s="836">
        <v>8879569</v>
      </c>
      <c r="I62" s="1025">
        <f>H62/E62</f>
        <v>1.117347715605097</v>
      </c>
      <c r="J62" s="836">
        <f>294000+400000</f>
        <v>694000</v>
      </c>
      <c r="K62" s="836">
        <f>H62+J62</f>
        <v>9573569</v>
      </c>
      <c r="L62" s="838">
        <f t="shared" si="3"/>
        <v>1.2046762013266379</v>
      </c>
      <c r="M62" s="2487"/>
    </row>
    <row r="63" spans="1:13" ht="15.75" customHeight="1">
      <c r="A63" s="2042"/>
      <c r="B63" s="2457"/>
      <c r="C63" s="2479"/>
      <c r="D63" s="1029">
        <v>2800</v>
      </c>
      <c r="E63" s="836">
        <v>150000</v>
      </c>
      <c r="F63" s="836">
        <v>905000</v>
      </c>
      <c r="G63" s="836"/>
      <c r="H63" s="836">
        <v>200000</v>
      </c>
      <c r="I63" s="1025">
        <f>H63/E63</f>
        <v>1.3333333333333333</v>
      </c>
      <c r="J63" s="836">
        <f>400000+450000-400000</f>
        <v>450000</v>
      </c>
      <c r="K63" s="836">
        <f>H63+J63</f>
        <v>650000</v>
      </c>
      <c r="L63" s="838">
        <f t="shared" si="3"/>
        <v>4.333333333333333</v>
      </c>
      <c r="M63" s="2487"/>
    </row>
    <row r="64" spans="1:13" ht="15.75" customHeight="1">
      <c r="A64" s="2042"/>
      <c r="B64" s="2457"/>
      <c r="C64" s="642" t="s">
        <v>24</v>
      </c>
      <c r="D64" s="1024"/>
      <c r="E64" s="830"/>
      <c r="F64" s="830"/>
      <c r="G64" s="823">
        <f>E64*0.95</f>
        <v>0</v>
      </c>
      <c r="H64" s="830"/>
      <c r="I64" s="1025"/>
      <c r="J64" s="830"/>
      <c r="K64" s="830"/>
      <c r="L64" s="829"/>
      <c r="M64" s="2487"/>
    </row>
    <row r="65" spans="1:13" ht="23.25" customHeight="1">
      <c r="A65" s="2042"/>
      <c r="B65" s="2457"/>
      <c r="C65" s="643" t="s">
        <v>54</v>
      </c>
      <c r="D65" s="1027"/>
      <c r="E65" s="830"/>
      <c r="F65" s="830"/>
      <c r="G65" s="823"/>
      <c r="H65" s="830"/>
      <c r="I65" s="1025"/>
      <c r="J65" s="830"/>
      <c r="K65" s="830"/>
      <c r="L65" s="829"/>
      <c r="M65" s="2487"/>
    </row>
    <row r="66" spans="1:13" ht="15.75" customHeight="1">
      <c r="A66" s="2042"/>
      <c r="B66" s="2457"/>
      <c r="C66" s="642" t="s">
        <v>26</v>
      </c>
      <c r="D66" s="1024"/>
      <c r="E66" s="830"/>
      <c r="F66" s="830"/>
      <c r="G66" s="823"/>
      <c r="H66" s="830"/>
      <c r="I66" s="1025"/>
      <c r="J66" s="830"/>
      <c r="K66" s="830"/>
      <c r="L66" s="829"/>
      <c r="M66" s="2487"/>
    </row>
    <row r="67" spans="1:13" ht="15.75" customHeight="1">
      <c r="A67" s="2042"/>
      <c r="B67" s="2457"/>
      <c r="C67" s="642" t="s">
        <v>27</v>
      </c>
      <c r="D67" s="1024"/>
      <c r="E67" s="830"/>
      <c r="F67" s="830"/>
      <c r="G67" s="823"/>
      <c r="H67" s="830"/>
      <c r="I67" s="1025"/>
      <c r="J67" s="830"/>
      <c r="K67" s="830"/>
      <c r="L67" s="829"/>
      <c r="M67" s="2487"/>
    </row>
    <row r="68" spans="1:13" ht="19.5" customHeight="1">
      <c r="A68" s="2042"/>
      <c r="B68" s="2457"/>
      <c r="C68" s="644" t="s">
        <v>28</v>
      </c>
      <c r="D68" s="1024"/>
      <c r="E68" s="823">
        <f>SUM(E69)</f>
        <v>546000</v>
      </c>
      <c r="F68" s="823">
        <f>SUM(F69)</f>
        <v>1106000</v>
      </c>
      <c r="G68" s="823">
        <f>SUM(G69)</f>
        <v>0</v>
      </c>
      <c r="H68" s="823">
        <f>SUM(H69)</f>
        <v>448000</v>
      </c>
      <c r="I68" s="823"/>
      <c r="J68" s="823">
        <f>SUM(J69)</f>
        <v>0</v>
      </c>
      <c r="K68" s="823">
        <f>SUM(K69)</f>
        <v>448000</v>
      </c>
      <c r="L68" s="825">
        <f t="shared" si="3"/>
        <v>0.82051282051282048</v>
      </c>
      <c r="M68" s="2487"/>
    </row>
    <row r="69" spans="1:13" ht="15.75" customHeight="1">
      <c r="A69" s="2042"/>
      <c r="B69" s="2457"/>
      <c r="C69" s="511" t="s">
        <v>29</v>
      </c>
      <c r="D69" s="1024">
        <v>6220</v>
      </c>
      <c r="E69" s="830">
        <v>546000</v>
      </c>
      <c r="F69" s="830">
        <v>1106000</v>
      </c>
      <c r="G69" s="830"/>
      <c r="H69" s="830">
        <v>448000</v>
      </c>
      <c r="I69" s="1025"/>
      <c r="J69" s="830"/>
      <c r="K69" s="830">
        <f>H69+J69</f>
        <v>448000</v>
      </c>
      <c r="L69" s="829">
        <f t="shared" si="3"/>
        <v>0.82051282051282048</v>
      </c>
      <c r="M69" s="2487"/>
    </row>
    <row r="70" spans="1:13" ht="22.5" customHeight="1">
      <c r="A70" s="2042"/>
      <c r="B70" s="2457"/>
      <c r="C70" s="643" t="s">
        <v>89</v>
      </c>
      <c r="D70" s="1027"/>
      <c r="E70" s="830"/>
      <c r="F70" s="830"/>
      <c r="G70" s="823"/>
      <c r="H70" s="830"/>
      <c r="I70" s="1023"/>
      <c r="J70" s="830"/>
      <c r="K70" s="830"/>
      <c r="L70" s="829"/>
      <c r="M70" s="2487"/>
    </row>
    <row r="71" spans="1:13" ht="18" customHeight="1">
      <c r="A71" s="2042"/>
      <c r="B71" s="2457"/>
      <c r="C71" s="642" t="s">
        <v>31</v>
      </c>
      <c r="D71" s="1024"/>
      <c r="E71" s="830"/>
      <c r="F71" s="830"/>
      <c r="G71" s="823"/>
      <c r="H71" s="830"/>
      <c r="I71" s="1023"/>
      <c r="J71" s="830"/>
      <c r="K71" s="830"/>
      <c r="L71" s="829"/>
      <c r="M71" s="2487"/>
    </row>
    <row r="72" spans="1:13" ht="22.5" customHeight="1">
      <c r="A72" s="2042"/>
      <c r="B72" s="2457"/>
      <c r="C72" s="642" t="s">
        <v>32</v>
      </c>
      <c r="D72" s="1024"/>
      <c r="E72" s="823"/>
      <c r="F72" s="823"/>
      <c r="G72" s="823"/>
      <c r="H72" s="823"/>
      <c r="I72" s="1023"/>
      <c r="J72" s="823"/>
      <c r="K72" s="823"/>
      <c r="L72" s="829"/>
      <c r="M72" s="2487"/>
    </row>
    <row r="73" spans="1:13" ht="43.5" customHeight="1">
      <c r="A73" s="2042"/>
      <c r="B73" s="1959" t="s">
        <v>74</v>
      </c>
      <c r="C73" s="1031" t="s">
        <v>75</v>
      </c>
      <c r="D73" s="1019"/>
      <c r="E73" s="819">
        <f>SUM(E74,E85)</f>
        <v>19675779</v>
      </c>
      <c r="F73" s="819">
        <f>SUM(F74,F85)</f>
        <v>24518910</v>
      </c>
      <c r="G73" s="819">
        <f>SUM(G74,G85)</f>
        <v>0</v>
      </c>
      <c r="H73" s="819">
        <f>SUM(H74,H85)</f>
        <v>16994126</v>
      </c>
      <c r="I73" s="820">
        <f>H73/E73</f>
        <v>0.86370791214924703</v>
      </c>
      <c r="J73" s="819">
        <f>SUM(J74,J85)</f>
        <v>2612641</v>
      </c>
      <c r="K73" s="819">
        <f>SUM(K74,K85)</f>
        <v>19606767</v>
      </c>
      <c r="L73" s="821">
        <f t="shared" si="3"/>
        <v>0.99649254039700286</v>
      </c>
      <c r="M73" s="2483" t="s">
        <v>525</v>
      </c>
    </row>
    <row r="74" spans="1:13" ht="43.5" customHeight="1">
      <c r="A74" s="2042"/>
      <c r="B74" s="1960"/>
      <c r="C74" s="526" t="s">
        <v>18</v>
      </c>
      <c r="D74" s="1022"/>
      <c r="E74" s="823">
        <f>SUM(E75,E78,E81,E82,E83,E84)</f>
        <v>11670111</v>
      </c>
      <c r="F74" s="823">
        <f>SUM(F75,F78,F81,F82,F83,F84)</f>
        <v>12227928</v>
      </c>
      <c r="G74" s="823">
        <f>SUM(G75,G78,G81,G82,G83,G84)</f>
        <v>0</v>
      </c>
      <c r="H74" s="823">
        <f>SUM(H75,H78,H81,H82,H83,H84)</f>
        <v>13778588</v>
      </c>
      <c r="I74" s="824">
        <f>H74/E74</f>
        <v>1.1806732600915277</v>
      </c>
      <c r="J74" s="823">
        <f>SUM(J75,J78,J81,J82,J83,J84)</f>
        <v>2162641</v>
      </c>
      <c r="K74" s="823">
        <f>SUM(K75,K78,K81,K82,K83,K84)</f>
        <v>15941229</v>
      </c>
      <c r="L74" s="841">
        <f t="shared" si="3"/>
        <v>1.365987778522415</v>
      </c>
      <c r="M74" s="2483"/>
    </row>
    <row r="75" spans="1:13" ht="43.5" customHeight="1">
      <c r="A75" s="2042"/>
      <c r="B75" s="1960"/>
      <c r="C75" s="642" t="s">
        <v>19</v>
      </c>
      <c r="D75" s="1024"/>
      <c r="E75" s="830">
        <f>SUM(E76:E77)</f>
        <v>0</v>
      </c>
      <c r="F75" s="830">
        <f>SUM(F76:F77)</f>
        <v>0</v>
      </c>
      <c r="G75" s="830">
        <f>SUM(G76:G77)</f>
        <v>0</v>
      </c>
      <c r="H75" s="830">
        <f>SUM(H76:H77)</f>
        <v>0</v>
      </c>
      <c r="I75" s="824"/>
      <c r="J75" s="830">
        <f>SUM(J76:J77)</f>
        <v>0</v>
      </c>
      <c r="K75" s="830">
        <f>SUM(K76:K77)</f>
        <v>0</v>
      </c>
      <c r="L75" s="829"/>
      <c r="M75" s="2483"/>
    </row>
    <row r="76" spans="1:13" ht="48.75" customHeight="1">
      <c r="A76" s="2042"/>
      <c r="B76" s="1960"/>
      <c r="C76" s="642" t="s">
        <v>20</v>
      </c>
      <c r="D76" s="1024"/>
      <c r="E76" s="830"/>
      <c r="F76" s="830"/>
      <c r="G76" s="823"/>
      <c r="H76" s="830"/>
      <c r="I76" s="824"/>
      <c r="J76" s="830"/>
      <c r="K76" s="830"/>
      <c r="L76" s="829"/>
      <c r="M76" s="2483"/>
    </row>
    <row r="77" spans="1:13" ht="39.75" customHeight="1">
      <c r="A77" s="2042"/>
      <c r="B77" s="1960"/>
      <c r="C77" s="643" t="s">
        <v>21</v>
      </c>
      <c r="D77" s="1027"/>
      <c r="E77" s="830"/>
      <c r="F77" s="830"/>
      <c r="G77" s="823"/>
      <c r="H77" s="830"/>
      <c r="I77" s="824"/>
      <c r="J77" s="830"/>
      <c r="K77" s="830"/>
      <c r="L77" s="829"/>
      <c r="M77" s="2483"/>
    </row>
    <row r="78" spans="1:13" ht="43.5" customHeight="1">
      <c r="A78" s="2042"/>
      <c r="B78" s="1960"/>
      <c r="C78" s="2479" t="s">
        <v>23</v>
      </c>
      <c r="D78" s="1027" t="s">
        <v>22</v>
      </c>
      <c r="E78" s="830">
        <f>SUM(E79:E80)</f>
        <v>11670111</v>
      </c>
      <c r="F78" s="830">
        <f>SUM(F79:F80)</f>
        <v>12227928</v>
      </c>
      <c r="G78" s="830">
        <f>SUM(G79:G80)</f>
        <v>0</v>
      </c>
      <c r="H78" s="830">
        <f>SUM(H79:H80)</f>
        <v>13778588</v>
      </c>
      <c r="I78" s="828">
        <f>H78/E78</f>
        <v>1.1806732600915277</v>
      </c>
      <c r="J78" s="830">
        <f>SUM(J79:J80)</f>
        <v>2162641</v>
      </c>
      <c r="K78" s="830">
        <f>SUM(K79:K80)</f>
        <v>15941229</v>
      </c>
      <c r="L78" s="829">
        <f t="shared" si="3"/>
        <v>1.365987778522415</v>
      </c>
      <c r="M78" s="2483"/>
    </row>
    <row r="79" spans="1:13" ht="43.5" customHeight="1">
      <c r="A79" s="2042"/>
      <c r="B79" s="1960"/>
      <c r="C79" s="2479"/>
      <c r="D79" s="1032">
        <v>2480</v>
      </c>
      <c r="E79" s="836">
        <v>10738909</v>
      </c>
      <c r="F79" s="836">
        <v>10935682</v>
      </c>
      <c r="G79" s="836"/>
      <c r="H79" s="836">
        <v>12888588</v>
      </c>
      <c r="I79" s="837">
        <f>H79/E79</f>
        <v>1.2001766659909308</v>
      </c>
      <c r="J79" s="836">
        <f>695436+350000+250000+200000+600000-100000+50000</f>
        <v>2045436</v>
      </c>
      <c r="K79" s="836">
        <f>H79+J79</f>
        <v>14934024</v>
      </c>
      <c r="L79" s="838">
        <f t="shared" si="3"/>
        <v>1.3906462937715554</v>
      </c>
      <c r="M79" s="2483"/>
    </row>
    <row r="80" spans="1:13" ht="43.5" customHeight="1">
      <c r="A80" s="2042"/>
      <c r="B80" s="1960"/>
      <c r="C80" s="2479"/>
      <c r="D80" s="1029">
        <v>2800</v>
      </c>
      <c r="E80" s="836">
        <v>931202</v>
      </c>
      <c r="F80" s="836">
        <v>1292246</v>
      </c>
      <c r="G80" s="836"/>
      <c r="H80" s="836">
        <v>890000</v>
      </c>
      <c r="I80" s="837">
        <f>H80/E80</f>
        <v>0.95575396100953391</v>
      </c>
      <c r="J80" s="836">
        <f>50000+17205+20000+10000+20000</f>
        <v>117205</v>
      </c>
      <c r="K80" s="836">
        <f>H80+J80</f>
        <v>1007205</v>
      </c>
      <c r="L80" s="838">
        <f t="shared" si="3"/>
        <v>1.081618166627649</v>
      </c>
      <c r="M80" s="2483"/>
    </row>
    <row r="81" spans="1:13" ht="43.5" customHeight="1">
      <c r="A81" s="2042"/>
      <c r="B81" s="1960"/>
      <c r="C81" s="642" t="s">
        <v>24</v>
      </c>
      <c r="D81" s="1024"/>
      <c r="E81" s="830"/>
      <c r="F81" s="830"/>
      <c r="G81" s="823"/>
      <c r="H81" s="830"/>
      <c r="I81" s="824"/>
      <c r="J81" s="830"/>
      <c r="K81" s="830"/>
      <c r="L81" s="829"/>
      <c r="M81" s="2483"/>
    </row>
    <row r="82" spans="1:13" ht="43.5" customHeight="1">
      <c r="A82" s="2042"/>
      <c r="B82" s="1960"/>
      <c r="C82" s="643" t="s">
        <v>54</v>
      </c>
      <c r="D82" s="1027"/>
      <c r="E82" s="830"/>
      <c r="F82" s="830"/>
      <c r="G82" s="823"/>
      <c r="H82" s="830"/>
      <c r="I82" s="824"/>
      <c r="J82" s="830"/>
      <c r="K82" s="830"/>
      <c r="L82" s="829"/>
      <c r="M82" s="2483"/>
    </row>
    <row r="83" spans="1:13" ht="43.5" customHeight="1">
      <c r="A83" s="2042"/>
      <c r="B83" s="1960"/>
      <c r="C83" s="642" t="s">
        <v>26</v>
      </c>
      <c r="D83" s="1024"/>
      <c r="E83" s="830"/>
      <c r="F83" s="830"/>
      <c r="G83" s="823"/>
      <c r="H83" s="830"/>
      <c r="I83" s="824"/>
      <c r="J83" s="830"/>
      <c r="K83" s="830"/>
      <c r="L83" s="829"/>
      <c r="M83" s="2483"/>
    </row>
    <row r="84" spans="1:13" ht="43.5" customHeight="1">
      <c r="A84" s="2042"/>
      <c r="B84" s="1960"/>
      <c r="C84" s="642" t="s">
        <v>27</v>
      </c>
      <c r="D84" s="1024"/>
      <c r="E84" s="830"/>
      <c r="F84" s="830"/>
      <c r="G84" s="823"/>
      <c r="H84" s="830"/>
      <c r="I84" s="824"/>
      <c r="J84" s="830"/>
      <c r="K84" s="830"/>
      <c r="L84" s="829"/>
      <c r="M84" s="2483"/>
    </row>
    <row r="85" spans="1:13" ht="43.5" customHeight="1">
      <c r="A85" s="2042"/>
      <c r="B85" s="1960"/>
      <c r="C85" s="644" t="s">
        <v>28</v>
      </c>
      <c r="D85" s="1030"/>
      <c r="E85" s="823">
        <f>SUM(E86,E92,E93)</f>
        <v>8005668</v>
      </c>
      <c r="F85" s="823">
        <f>SUM(F86,F92,F93)</f>
        <v>12290982</v>
      </c>
      <c r="G85" s="823">
        <f>SUM(G86,G92,G93)</f>
        <v>0</v>
      </c>
      <c r="H85" s="823">
        <f>SUM(H86,H92,H93)</f>
        <v>3215538</v>
      </c>
      <c r="I85" s="824">
        <f t="shared" ref="I85:I91" si="4">H85/E85</f>
        <v>0.40165767553688214</v>
      </c>
      <c r="J85" s="823">
        <f>SUM(J86,J92,J93)</f>
        <v>450000</v>
      </c>
      <c r="K85" s="823">
        <f>SUM(K86,K92,K93)</f>
        <v>3665538</v>
      </c>
      <c r="L85" s="825">
        <f t="shared" si="3"/>
        <v>0.4578678506278302</v>
      </c>
      <c r="M85" s="2483"/>
    </row>
    <row r="86" spans="1:13" ht="38.25" customHeight="1">
      <c r="A86" s="2042"/>
      <c r="B86" s="1960"/>
      <c r="C86" s="2479" t="s">
        <v>29</v>
      </c>
      <c r="D86" s="1024" t="s">
        <v>22</v>
      </c>
      <c r="E86" s="830">
        <f>SUM(E87:E88)</f>
        <v>8005668</v>
      </c>
      <c r="F86" s="830">
        <f>SUM(F87:F88)</f>
        <v>12290982</v>
      </c>
      <c r="G86" s="830"/>
      <c r="H86" s="830">
        <f>SUM(H87:H88)</f>
        <v>3215538</v>
      </c>
      <c r="I86" s="828">
        <f t="shared" si="4"/>
        <v>0.40165767553688214</v>
      </c>
      <c r="J86" s="830">
        <f>SUM(J87:J88)</f>
        <v>450000</v>
      </c>
      <c r="K86" s="830">
        <f>SUM(K87:K88)</f>
        <v>3665538</v>
      </c>
      <c r="L86" s="829">
        <f t="shared" si="3"/>
        <v>0.4578678506278302</v>
      </c>
      <c r="M86" s="2483"/>
    </row>
    <row r="87" spans="1:13" ht="31.5" customHeight="1">
      <c r="A87" s="2042"/>
      <c r="B87" s="1960"/>
      <c r="C87" s="2479"/>
      <c r="D87" s="1029">
        <v>6220</v>
      </c>
      <c r="E87" s="836">
        <v>2530200</v>
      </c>
      <c r="F87" s="836">
        <v>4253982</v>
      </c>
      <c r="G87" s="836"/>
      <c r="H87" s="836">
        <v>3215538</v>
      </c>
      <c r="I87" s="837">
        <f t="shared" si="4"/>
        <v>1.2708631728717097</v>
      </c>
      <c r="J87" s="836">
        <f>100000</f>
        <v>100000</v>
      </c>
      <c r="K87" s="836">
        <f>H87+J87</f>
        <v>3315538</v>
      </c>
      <c r="L87" s="838">
        <f t="shared" si="3"/>
        <v>1.3103857402576871</v>
      </c>
      <c r="M87" s="2483"/>
    </row>
    <row r="88" spans="1:13" ht="36" customHeight="1">
      <c r="A88" s="2045"/>
      <c r="B88" s="1960"/>
      <c r="C88" s="2479"/>
      <c r="D88" s="1029">
        <v>6229</v>
      </c>
      <c r="E88" s="836">
        <v>5475468</v>
      </c>
      <c r="F88" s="836">
        <v>8037000</v>
      </c>
      <c r="G88" s="836"/>
      <c r="H88" s="836"/>
      <c r="I88" s="837">
        <f t="shared" si="4"/>
        <v>0</v>
      </c>
      <c r="J88" s="836">
        <v>350000</v>
      </c>
      <c r="K88" s="836">
        <f>H88+J88</f>
        <v>350000</v>
      </c>
      <c r="L88" s="838">
        <f t="shared" si="3"/>
        <v>6.3921476666469426E-2</v>
      </c>
      <c r="M88" s="2483"/>
    </row>
    <row r="89" spans="1:13" ht="44.25" customHeight="1">
      <c r="A89" s="2053"/>
      <c r="B89" s="1960"/>
      <c r="C89" s="2489" t="s">
        <v>89</v>
      </c>
      <c r="D89" s="1027" t="s">
        <v>22</v>
      </c>
      <c r="E89" s="830">
        <f>SUM(E90:E91)</f>
        <v>6201668</v>
      </c>
      <c r="F89" s="830">
        <f>SUM(F90:F91)</f>
        <v>9731714</v>
      </c>
      <c r="G89" s="830">
        <f>SUM(G90:G91)</f>
        <v>0</v>
      </c>
      <c r="H89" s="830">
        <f>SUM(H90:H91)</f>
        <v>0</v>
      </c>
      <c r="I89" s="837">
        <f t="shared" si="4"/>
        <v>0</v>
      </c>
      <c r="J89" s="830">
        <f>SUM(J90:J91)</f>
        <v>450000</v>
      </c>
      <c r="K89" s="830">
        <f>SUM(K90:K91)</f>
        <v>450000</v>
      </c>
      <c r="L89" s="829">
        <f t="shared" si="3"/>
        <v>7.2561123878285644E-2</v>
      </c>
      <c r="M89" s="2488"/>
    </row>
    <row r="90" spans="1:13" ht="44.25" customHeight="1">
      <c r="A90" s="2042"/>
      <c r="B90" s="1960"/>
      <c r="C90" s="2489"/>
      <c r="D90" s="1032">
        <v>6220</v>
      </c>
      <c r="E90" s="836">
        <v>726200</v>
      </c>
      <c r="F90" s="836">
        <v>1694714</v>
      </c>
      <c r="G90" s="1033"/>
      <c r="H90" s="836"/>
      <c r="I90" s="837">
        <f t="shared" si="4"/>
        <v>0</v>
      </c>
      <c r="J90" s="836">
        <v>100000</v>
      </c>
      <c r="K90" s="836">
        <f>H90+J90</f>
        <v>100000</v>
      </c>
      <c r="L90" s="838">
        <f t="shared" ref="L90:L152" si="5">K90/E90</f>
        <v>0.13770311209033323</v>
      </c>
      <c r="M90" s="2488"/>
    </row>
    <row r="91" spans="1:13" ht="44.25" customHeight="1">
      <c r="A91" s="2042"/>
      <c r="B91" s="1960"/>
      <c r="C91" s="2489"/>
      <c r="D91" s="1032">
        <v>6229</v>
      </c>
      <c r="E91" s="836">
        <v>5475468</v>
      </c>
      <c r="F91" s="836">
        <v>8037000</v>
      </c>
      <c r="G91" s="1033"/>
      <c r="H91" s="836"/>
      <c r="I91" s="837">
        <f t="shared" si="4"/>
        <v>0</v>
      </c>
      <c r="J91" s="836">
        <v>350000</v>
      </c>
      <c r="K91" s="836">
        <f>H91+J91</f>
        <v>350000</v>
      </c>
      <c r="L91" s="838">
        <f t="shared" si="5"/>
        <v>6.3921476666469426E-2</v>
      </c>
      <c r="M91" s="2488"/>
    </row>
    <row r="92" spans="1:13" ht="40.5" customHeight="1">
      <c r="A92" s="2042"/>
      <c r="B92" s="1960"/>
      <c r="C92" s="642" t="s">
        <v>31</v>
      </c>
      <c r="D92" s="1024"/>
      <c r="E92" s="830"/>
      <c r="F92" s="830"/>
      <c r="G92" s="823"/>
      <c r="H92" s="830"/>
      <c r="I92" s="824"/>
      <c r="J92" s="830"/>
      <c r="K92" s="830"/>
      <c r="L92" s="829"/>
      <c r="M92" s="2488"/>
    </row>
    <row r="93" spans="1:13" ht="37.5" customHeight="1">
      <c r="A93" s="2042"/>
      <c r="B93" s="1961"/>
      <c r="C93" s="642" t="s">
        <v>32</v>
      </c>
      <c r="D93" s="1024"/>
      <c r="E93" s="823"/>
      <c r="F93" s="823"/>
      <c r="G93" s="823"/>
      <c r="H93" s="823"/>
      <c r="I93" s="824"/>
      <c r="J93" s="823"/>
      <c r="K93" s="823"/>
      <c r="L93" s="829"/>
      <c r="M93" s="2488"/>
    </row>
    <row r="94" spans="1:13" ht="19.5" customHeight="1">
      <c r="A94" s="2042"/>
      <c r="B94" s="2457" t="s">
        <v>526</v>
      </c>
      <c r="C94" s="530" t="s">
        <v>527</v>
      </c>
      <c r="D94" s="1019"/>
      <c r="E94" s="819">
        <f>SUM(E95,E106)</f>
        <v>807544</v>
      </c>
      <c r="F94" s="819">
        <f>SUM(F95,F106)</f>
        <v>837544</v>
      </c>
      <c r="G94" s="819">
        <f>SUM(G95,G106)</f>
        <v>0</v>
      </c>
      <c r="H94" s="819">
        <f>SUM(H95,H106)</f>
        <v>829264</v>
      </c>
      <c r="I94" s="820">
        <f>H94/E94</f>
        <v>1.0268963672567686</v>
      </c>
      <c r="J94" s="819">
        <f>SUM(J95,J106)</f>
        <v>5250</v>
      </c>
      <c r="K94" s="819">
        <f>SUM(K95,K106)</f>
        <v>834514</v>
      </c>
      <c r="L94" s="821">
        <f t="shared" si="5"/>
        <v>1.0333975609997721</v>
      </c>
      <c r="M94" s="2490" t="s">
        <v>528</v>
      </c>
    </row>
    <row r="95" spans="1:13" ht="21" customHeight="1">
      <c r="A95" s="2042"/>
      <c r="B95" s="2457"/>
      <c r="C95" s="526" t="s">
        <v>18</v>
      </c>
      <c r="D95" s="1022"/>
      <c r="E95" s="823">
        <f>SUM(E96,E99,E102,E103,E104,E105)</f>
        <v>757544</v>
      </c>
      <c r="F95" s="823">
        <f>SUM(F96,F99,F102,F103,F104,F105)</f>
        <v>787544</v>
      </c>
      <c r="G95" s="823">
        <f>SUM(G96,G99,G102,G103,G104,G105)</f>
        <v>0</v>
      </c>
      <c r="H95" s="823">
        <f>SUM(H96,H99,H102,H103,H104,H105)</f>
        <v>749264</v>
      </c>
      <c r="I95" s="824">
        <f>H95/E95</f>
        <v>0.98906994181196073</v>
      </c>
      <c r="J95" s="823">
        <f>SUM(J96,J99,J102,J103,J104,J105)</f>
        <v>5250</v>
      </c>
      <c r="K95" s="823">
        <f>SUM(K96,K99,K102,K103,K104,K105)</f>
        <v>754514</v>
      </c>
      <c r="L95" s="825">
        <f t="shared" si="5"/>
        <v>0.99600023232973922</v>
      </c>
      <c r="M95" s="2487"/>
    </row>
    <row r="96" spans="1:13" ht="14.25" customHeight="1">
      <c r="A96" s="2042"/>
      <c r="B96" s="2457"/>
      <c r="C96" s="642" t="s">
        <v>19</v>
      </c>
      <c r="D96" s="1024"/>
      <c r="E96" s="830">
        <f>SUM(E97:E98)</f>
        <v>0</v>
      </c>
      <c r="F96" s="830">
        <f>SUM(F97:F98)</f>
        <v>0</v>
      </c>
      <c r="G96" s="830">
        <f>SUM(G97:G98)</f>
        <v>0</v>
      </c>
      <c r="H96" s="830">
        <f>SUM(H97:H98)</f>
        <v>0</v>
      </c>
      <c r="I96" s="828"/>
      <c r="J96" s="830">
        <f>SUM(J97:J98)</f>
        <v>0</v>
      </c>
      <c r="K96" s="830">
        <f>SUM(K97:K98)</f>
        <v>0</v>
      </c>
      <c r="L96" s="829"/>
      <c r="M96" s="2487"/>
    </row>
    <row r="97" spans="1:13" ht="14.25" customHeight="1">
      <c r="A97" s="2042"/>
      <c r="B97" s="2457"/>
      <c r="C97" s="642" t="s">
        <v>20</v>
      </c>
      <c r="D97" s="1024"/>
      <c r="E97" s="830"/>
      <c r="F97" s="830"/>
      <c r="G97" s="823"/>
      <c r="H97" s="830"/>
      <c r="I97" s="828"/>
      <c r="J97" s="830"/>
      <c r="K97" s="830"/>
      <c r="L97" s="829"/>
      <c r="M97" s="2487"/>
    </row>
    <row r="98" spans="1:13" ht="14.25" customHeight="1">
      <c r="A98" s="2042"/>
      <c r="B98" s="2457"/>
      <c r="C98" s="643" t="s">
        <v>21</v>
      </c>
      <c r="D98" s="1027"/>
      <c r="E98" s="830"/>
      <c r="F98" s="830"/>
      <c r="G98" s="823"/>
      <c r="H98" s="830"/>
      <c r="I98" s="828"/>
      <c r="J98" s="830"/>
      <c r="K98" s="830"/>
      <c r="L98" s="829"/>
      <c r="M98" s="2487"/>
    </row>
    <row r="99" spans="1:13" ht="14.25" customHeight="1">
      <c r="A99" s="2042"/>
      <c r="B99" s="2457"/>
      <c r="C99" s="2479" t="s">
        <v>23</v>
      </c>
      <c r="D99" s="1034" t="s">
        <v>22</v>
      </c>
      <c r="E99" s="830">
        <f>E100+E101</f>
        <v>757544</v>
      </c>
      <c r="F99" s="830">
        <f>F100+F101</f>
        <v>787544</v>
      </c>
      <c r="G99" s="830">
        <f>G100+G101</f>
        <v>0</v>
      </c>
      <c r="H99" s="830">
        <f>H100+H101</f>
        <v>749264</v>
      </c>
      <c r="I99" s="837">
        <f>H99/E99</f>
        <v>0.98906994181196073</v>
      </c>
      <c r="J99" s="830">
        <f>J100+J101</f>
        <v>5250</v>
      </c>
      <c r="K99" s="830">
        <f>K100+K101</f>
        <v>754514</v>
      </c>
      <c r="L99" s="829">
        <f t="shared" si="5"/>
        <v>0.99600023232973922</v>
      </c>
      <c r="M99" s="2487"/>
    </row>
    <row r="100" spans="1:13" s="977" customFormat="1" ht="15" customHeight="1">
      <c r="A100" s="2042"/>
      <c r="B100" s="2457"/>
      <c r="C100" s="2479"/>
      <c r="D100" s="1034">
        <v>2480</v>
      </c>
      <c r="E100" s="836">
        <v>732312</v>
      </c>
      <c r="F100" s="836">
        <v>762312</v>
      </c>
      <c r="G100" s="836"/>
      <c r="H100" s="836">
        <v>749264</v>
      </c>
      <c r="I100" s="837">
        <f>H100/E100</f>
        <v>1.0231486033275434</v>
      </c>
      <c r="J100" s="836">
        <v>5250</v>
      </c>
      <c r="K100" s="836">
        <f>H100+J100</f>
        <v>754514</v>
      </c>
      <c r="L100" s="838">
        <f t="shared" si="5"/>
        <v>1.0303176788035702</v>
      </c>
      <c r="M100" s="2487"/>
    </row>
    <row r="101" spans="1:13" s="977" customFormat="1" ht="12.75">
      <c r="A101" s="2042"/>
      <c r="B101" s="2457"/>
      <c r="C101" s="2479"/>
      <c r="D101" s="1034">
        <v>2800</v>
      </c>
      <c r="E101" s="836">
        <v>25232</v>
      </c>
      <c r="F101" s="836">
        <v>25232</v>
      </c>
      <c r="G101" s="836"/>
      <c r="H101" s="836">
        <v>0</v>
      </c>
      <c r="I101" s="837">
        <f>H101/E101</f>
        <v>0</v>
      </c>
      <c r="J101" s="836"/>
      <c r="K101" s="836">
        <f>H101+J101</f>
        <v>0</v>
      </c>
      <c r="L101" s="838">
        <f t="shared" si="5"/>
        <v>0</v>
      </c>
      <c r="M101" s="2487"/>
    </row>
    <row r="102" spans="1:13" ht="14.25" customHeight="1">
      <c r="A102" s="2042"/>
      <c r="B102" s="2457"/>
      <c r="C102" s="642" t="s">
        <v>24</v>
      </c>
      <c r="D102" s="1024"/>
      <c r="E102" s="830"/>
      <c r="F102" s="830"/>
      <c r="G102" s="823"/>
      <c r="H102" s="830"/>
      <c r="I102" s="824"/>
      <c r="J102" s="830"/>
      <c r="K102" s="830"/>
      <c r="L102" s="829"/>
      <c r="M102" s="2487"/>
    </row>
    <row r="103" spans="1:13" ht="26.25" customHeight="1">
      <c r="A103" s="2042"/>
      <c r="B103" s="2457"/>
      <c r="C103" s="643" t="s">
        <v>54</v>
      </c>
      <c r="D103" s="1027"/>
      <c r="E103" s="830"/>
      <c r="F103" s="830"/>
      <c r="G103" s="823"/>
      <c r="H103" s="830"/>
      <c r="I103" s="824"/>
      <c r="J103" s="830"/>
      <c r="K103" s="830"/>
      <c r="L103" s="829"/>
      <c r="M103" s="2487"/>
    </row>
    <row r="104" spans="1:13" ht="14.25" customHeight="1">
      <c r="A104" s="2042"/>
      <c r="B104" s="2457"/>
      <c r="C104" s="642" t="s">
        <v>26</v>
      </c>
      <c r="D104" s="1024"/>
      <c r="E104" s="830"/>
      <c r="F104" s="830"/>
      <c r="G104" s="823"/>
      <c r="H104" s="830"/>
      <c r="I104" s="824"/>
      <c r="J104" s="830"/>
      <c r="K104" s="830"/>
      <c r="L104" s="829"/>
      <c r="M104" s="2487"/>
    </row>
    <row r="105" spans="1:13" ht="14.25" customHeight="1">
      <c r="A105" s="2042"/>
      <c r="B105" s="2457"/>
      <c r="C105" s="642" t="s">
        <v>27</v>
      </c>
      <c r="D105" s="1024"/>
      <c r="E105" s="830"/>
      <c r="F105" s="830"/>
      <c r="G105" s="823"/>
      <c r="H105" s="830"/>
      <c r="I105" s="824"/>
      <c r="J105" s="830"/>
      <c r="K105" s="830"/>
      <c r="L105" s="829"/>
      <c r="M105" s="2487"/>
    </row>
    <row r="106" spans="1:13" ht="14.25" customHeight="1">
      <c r="A106" s="2042"/>
      <c r="B106" s="2457"/>
      <c r="C106" s="644" t="s">
        <v>28</v>
      </c>
      <c r="D106" s="1030"/>
      <c r="E106" s="823">
        <f>SUM(E107,E109,E110)</f>
        <v>50000</v>
      </c>
      <c r="F106" s="823">
        <f>SUM(F107,F109,F110)</f>
        <v>50000</v>
      </c>
      <c r="G106" s="823">
        <f>SUM(G107,G109,G110)</f>
        <v>0</v>
      </c>
      <c r="H106" s="823">
        <f>SUM(H107,H109,H110)</f>
        <v>80000</v>
      </c>
      <c r="I106" s="824"/>
      <c r="J106" s="823">
        <f>SUM(J107,J109,J110)</f>
        <v>0</v>
      </c>
      <c r="K106" s="823">
        <f>SUM(K107,K109,K110)</f>
        <v>80000</v>
      </c>
      <c r="L106" s="829">
        <f t="shared" si="5"/>
        <v>1.6</v>
      </c>
      <c r="M106" s="2487"/>
    </row>
    <row r="107" spans="1:13" ht="14.25" customHeight="1">
      <c r="A107" s="2042"/>
      <c r="B107" s="2457"/>
      <c r="C107" s="642" t="s">
        <v>29</v>
      </c>
      <c r="D107" s="1024">
        <v>6220</v>
      </c>
      <c r="E107" s="830">
        <v>50000</v>
      </c>
      <c r="F107" s="830">
        <v>50000</v>
      </c>
      <c r="G107" s="823"/>
      <c r="H107" s="830">
        <v>80000</v>
      </c>
      <c r="I107" s="824"/>
      <c r="J107" s="830"/>
      <c r="K107" s="830">
        <f>H107+J107</f>
        <v>80000</v>
      </c>
      <c r="L107" s="829">
        <f t="shared" si="5"/>
        <v>1.6</v>
      </c>
      <c r="M107" s="2487"/>
    </row>
    <row r="108" spans="1:13" ht="22.5">
      <c r="A108" s="2042"/>
      <c r="B108" s="2457"/>
      <c r="C108" s="643" t="s">
        <v>89</v>
      </c>
      <c r="D108" s="1027"/>
      <c r="E108" s="830"/>
      <c r="F108" s="830"/>
      <c r="G108" s="823"/>
      <c r="H108" s="830"/>
      <c r="I108" s="824"/>
      <c r="J108" s="830"/>
      <c r="K108" s="830"/>
      <c r="L108" s="829"/>
      <c r="M108" s="2487"/>
    </row>
    <row r="109" spans="1:13" ht="14.25" customHeight="1">
      <c r="A109" s="2042"/>
      <c r="B109" s="2457"/>
      <c r="C109" s="642" t="s">
        <v>31</v>
      </c>
      <c r="D109" s="1024"/>
      <c r="E109" s="830"/>
      <c r="F109" s="830"/>
      <c r="G109" s="823"/>
      <c r="H109" s="830"/>
      <c r="I109" s="824"/>
      <c r="J109" s="830"/>
      <c r="K109" s="830"/>
      <c r="L109" s="829"/>
      <c r="M109" s="2487"/>
    </row>
    <row r="110" spans="1:13" ht="14.25" customHeight="1">
      <c r="A110" s="2042"/>
      <c r="B110" s="2457"/>
      <c r="C110" s="642" t="s">
        <v>32</v>
      </c>
      <c r="D110" s="1024"/>
      <c r="E110" s="823"/>
      <c r="F110" s="823"/>
      <c r="G110" s="823"/>
      <c r="H110" s="823"/>
      <c r="I110" s="824"/>
      <c r="J110" s="823"/>
      <c r="K110" s="823"/>
      <c r="L110" s="829"/>
      <c r="M110" s="2487"/>
    </row>
    <row r="111" spans="1:13" ht="14.25" customHeight="1">
      <c r="A111" s="2042"/>
      <c r="B111" s="2457" t="s">
        <v>529</v>
      </c>
      <c r="C111" s="1031" t="s">
        <v>530</v>
      </c>
      <c r="D111" s="1019"/>
      <c r="E111" s="819">
        <f>SUM(E112,E123)</f>
        <v>3111346</v>
      </c>
      <c r="F111" s="819">
        <f>SUM(F112,F123)</f>
        <v>4569190</v>
      </c>
      <c r="G111" s="819">
        <f>SUM(G112,G123)</f>
        <v>0</v>
      </c>
      <c r="H111" s="819">
        <f>SUM(H112,H123)</f>
        <v>4219771</v>
      </c>
      <c r="I111" s="820">
        <f>H111/E111</f>
        <v>1.3562525672168895</v>
      </c>
      <c r="J111" s="819">
        <f>SUM(J112,J123)</f>
        <v>732400</v>
      </c>
      <c r="K111" s="819">
        <f>SUM(K112,K123)</f>
        <v>4952171</v>
      </c>
      <c r="L111" s="821">
        <f t="shared" si="5"/>
        <v>1.5916490804944228</v>
      </c>
      <c r="M111" s="2484" t="s">
        <v>531</v>
      </c>
    </row>
    <row r="112" spans="1:13" ht="14.25" customHeight="1">
      <c r="A112" s="2042"/>
      <c r="B112" s="2457"/>
      <c r="C112" s="526" t="s">
        <v>18</v>
      </c>
      <c r="D112" s="1022"/>
      <c r="E112" s="823">
        <f>SUM(E113,E116,E119,E120,E121,E122)</f>
        <v>2036346</v>
      </c>
      <c r="F112" s="823">
        <f>SUM(F113,F116,F119,F120,F121,F122)</f>
        <v>2509190</v>
      </c>
      <c r="G112" s="823">
        <f>SUM(G113,G116,G119,G120,G121,G122)</f>
        <v>0</v>
      </c>
      <c r="H112" s="823">
        <f>SUM(H113,H116,H119,H120,H121,H122)</f>
        <v>2378471</v>
      </c>
      <c r="I112" s="824">
        <f>H112/E112</f>
        <v>1.1680092675802638</v>
      </c>
      <c r="J112" s="823">
        <f>SUM(J113,J116,J119,J120,J121,J122)</f>
        <v>216900</v>
      </c>
      <c r="K112" s="823">
        <f>SUM(K113,K116,K119,K120,K121,K122)</f>
        <v>2595371</v>
      </c>
      <c r="L112" s="825">
        <f t="shared" si="5"/>
        <v>1.2745235829274593</v>
      </c>
      <c r="M112" s="2485"/>
    </row>
    <row r="113" spans="1:13" ht="14.25" customHeight="1">
      <c r="A113" s="2042"/>
      <c r="B113" s="2457"/>
      <c r="C113" s="642" t="s">
        <v>19</v>
      </c>
      <c r="D113" s="1024"/>
      <c r="E113" s="830">
        <f>SUM(E114:E115)</f>
        <v>0</v>
      </c>
      <c r="F113" s="830">
        <f>SUM(F114:F115)</f>
        <v>0</v>
      </c>
      <c r="G113" s="830">
        <f>SUM(G114:G115)</f>
        <v>0</v>
      </c>
      <c r="H113" s="830">
        <f>SUM(H114:H115)</f>
        <v>0</v>
      </c>
      <c r="I113" s="824"/>
      <c r="J113" s="830">
        <f>SUM(J114:J115)</f>
        <v>0</v>
      </c>
      <c r="K113" s="830">
        <f>SUM(K114:K115)</f>
        <v>0</v>
      </c>
      <c r="L113" s="829"/>
      <c r="M113" s="2485"/>
    </row>
    <row r="114" spans="1:13" ht="14.25" customHeight="1">
      <c r="A114" s="2042"/>
      <c r="B114" s="2457"/>
      <c r="C114" s="642" t="s">
        <v>20</v>
      </c>
      <c r="D114" s="1024"/>
      <c r="E114" s="830"/>
      <c r="F114" s="830"/>
      <c r="G114" s="823"/>
      <c r="H114" s="830"/>
      <c r="I114" s="824"/>
      <c r="J114" s="830"/>
      <c r="K114" s="830"/>
      <c r="L114" s="829"/>
      <c r="M114" s="2485"/>
    </row>
    <row r="115" spans="1:13" ht="14.25" customHeight="1">
      <c r="A115" s="2042"/>
      <c r="B115" s="2457"/>
      <c r="C115" s="643" t="s">
        <v>21</v>
      </c>
      <c r="D115" s="1027"/>
      <c r="E115" s="830"/>
      <c r="F115" s="830"/>
      <c r="G115" s="823"/>
      <c r="H115" s="830"/>
      <c r="I115" s="824"/>
      <c r="J115" s="830"/>
      <c r="K115" s="830"/>
      <c r="L115" s="829"/>
      <c r="M115" s="2485"/>
    </row>
    <row r="116" spans="1:13" ht="14.25" customHeight="1">
      <c r="A116" s="2042"/>
      <c r="B116" s="2457"/>
      <c r="C116" s="2479" t="s">
        <v>23</v>
      </c>
      <c r="D116" s="1027" t="s">
        <v>22</v>
      </c>
      <c r="E116" s="830">
        <f>SUM(E117:E118)</f>
        <v>2036346</v>
      </c>
      <c r="F116" s="830">
        <f>SUM(F117:F118)</f>
        <v>2509190</v>
      </c>
      <c r="G116" s="830">
        <f>SUM(G117:G118)</f>
        <v>0</v>
      </c>
      <c r="H116" s="830">
        <f>SUM(H117:H118)</f>
        <v>2378471</v>
      </c>
      <c r="I116" s="828">
        <f>H116/E116</f>
        <v>1.1680092675802638</v>
      </c>
      <c r="J116" s="830">
        <f>SUM(J117:J117)</f>
        <v>216900</v>
      </c>
      <c r="K116" s="830">
        <f>SUM(K117:K118)</f>
        <v>2595371</v>
      </c>
      <c r="L116" s="829">
        <f t="shared" si="5"/>
        <v>1.2745235829274593</v>
      </c>
      <c r="M116" s="2485"/>
    </row>
    <row r="117" spans="1:13" ht="14.25" customHeight="1">
      <c r="A117" s="2042"/>
      <c r="B117" s="2457"/>
      <c r="C117" s="2479"/>
      <c r="D117" s="1032">
        <v>2480</v>
      </c>
      <c r="E117" s="836">
        <v>2001346</v>
      </c>
      <c r="F117" s="836">
        <v>2433346</v>
      </c>
      <c r="G117" s="836"/>
      <c r="H117" s="836">
        <v>2323471</v>
      </c>
      <c r="I117" s="837">
        <f>H117/E117</f>
        <v>1.1609541778383148</v>
      </c>
      <c r="J117" s="836">
        <v>216900</v>
      </c>
      <c r="K117" s="836">
        <f>H117+J117</f>
        <v>2540371</v>
      </c>
      <c r="L117" s="838">
        <f t="shared" si="5"/>
        <v>1.2693312400754293</v>
      </c>
      <c r="M117" s="2485"/>
    </row>
    <row r="118" spans="1:13" ht="14.25" customHeight="1">
      <c r="A118" s="2042"/>
      <c r="B118" s="2457"/>
      <c r="C118" s="2479"/>
      <c r="D118" s="1029">
        <v>2800</v>
      </c>
      <c r="E118" s="836">
        <v>35000</v>
      </c>
      <c r="F118" s="836">
        <v>75844</v>
      </c>
      <c r="G118" s="836"/>
      <c r="H118" s="836">
        <v>55000</v>
      </c>
      <c r="I118" s="837">
        <f>H118/E118</f>
        <v>1.5714285714285714</v>
      </c>
      <c r="J118" s="836"/>
      <c r="K118" s="836">
        <f>H118+J118</f>
        <v>55000</v>
      </c>
      <c r="L118" s="838">
        <f t="shared" si="5"/>
        <v>1.5714285714285714</v>
      </c>
      <c r="M118" s="2485"/>
    </row>
    <row r="119" spans="1:13" ht="13.5" customHeight="1">
      <c r="A119" s="2042"/>
      <c r="B119" s="2457"/>
      <c r="C119" s="642" t="s">
        <v>24</v>
      </c>
      <c r="D119" s="1024"/>
      <c r="E119" s="830"/>
      <c r="F119" s="830"/>
      <c r="G119" s="823"/>
      <c r="H119" s="830"/>
      <c r="I119" s="824"/>
      <c r="J119" s="830"/>
      <c r="K119" s="830"/>
      <c r="L119" s="829"/>
      <c r="M119" s="2485"/>
    </row>
    <row r="120" spans="1:13" ht="24" customHeight="1">
      <c r="A120" s="2042"/>
      <c r="B120" s="2457"/>
      <c r="C120" s="643" t="s">
        <v>54</v>
      </c>
      <c r="D120" s="1027"/>
      <c r="E120" s="830"/>
      <c r="F120" s="830"/>
      <c r="G120" s="823"/>
      <c r="H120" s="830"/>
      <c r="I120" s="824"/>
      <c r="J120" s="830"/>
      <c r="K120" s="830"/>
      <c r="L120" s="829"/>
      <c r="M120" s="2485"/>
    </row>
    <row r="121" spans="1:13" ht="18" customHeight="1">
      <c r="A121" s="2042"/>
      <c r="B121" s="2457"/>
      <c r="C121" s="642" t="s">
        <v>26</v>
      </c>
      <c r="D121" s="1024"/>
      <c r="E121" s="830"/>
      <c r="F121" s="830"/>
      <c r="G121" s="823"/>
      <c r="H121" s="830"/>
      <c r="I121" s="824"/>
      <c r="J121" s="830"/>
      <c r="K121" s="830"/>
      <c r="L121" s="829"/>
      <c r="M121" s="2485"/>
    </row>
    <row r="122" spans="1:13" ht="18" customHeight="1">
      <c r="A122" s="2042"/>
      <c r="B122" s="2457"/>
      <c r="C122" s="642" t="s">
        <v>27</v>
      </c>
      <c r="D122" s="1024"/>
      <c r="E122" s="830"/>
      <c r="F122" s="830"/>
      <c r="G122" s="823"/>
      <c r="H122" s="830"/>
      <c r="I122" s="824"/>
      <c r="J122" s="830"/>
      <c r="K122" s="830"/>
      <c r="L122" s="829"/>
      <c r="M122" s="2485"/>
    </row>
    <row r="123" spans="1:13" ht="24.75" customHeight="1">
      <c r="A123" s="2042"/>
      <c r="B123" s="2457"/>
      <c r="C123" s="644" t="s">
        <v>28</v>
      </c>
      <c r="D123" s="1030"/>
      <c r="E123" s="823">
        <f>SUM(E124,E126,E127)</f>
        <v>1075000</v>
      </c>
      <c r="F123" s="823">
        <f>SUM(F124,F126,F127)</f>
        <v>2060000</v>
      </c>
      <c r="G123" s="823">
        <f>SUM(G124,G126,G127)</f>
        <v>0</v>
      </c>
      <c r="H123" s="823">
        <f>SUM(H124,H126,H127)</f>
        <v>1841300</v>
      </c>
      <c r="I123" s="824">
        <f>H123/E123</f>
        <v>1.7128372093023256</v>
      </c>
      <c r="J123" s="823">
        <f>SUM(J124,J126,J127)</f>
        <v>515500</v>
      </c>
      <c r="K123" s="823">
        <f>SUM(K124,K126,K127)</f>
        <v>2356800</v>
      </c>
      <c r="L123" s="825">
        <f t="shared" si="5"/>
        <v>2.192372093023256</v>
      </c>
      <c r="M123" s="2485"/>
    </row>
    <row r="124" spans="1:13" ht="24.75" customHeight="1">
      <c r="A124" s="2042"/>
      <c r="B124" s="2457"/>
      <c r="C124" s="642" t="s">
        <v>29</v>
      </c>
      <c r="D124" s="1024">
        <v>6220</v>
      </c>
      <c r="E124" s="830">
        <v>1075000</v>
      </c>
      <c r="F124" s="830">
        <v>2060000</v>
      </c>
      <c r="G124" s="830"/>
      <c r="H124" s="830">
        <v>1841300</v>
      </c>
      <c r="I124" s="828">
        <f>H124/E124</f>
        <v>1.7128372093023256</v>
      </c>
      <c r="J124" s="830">
        <f>400000+34200+81300</f>
        <v>515500</v>
      </c>
      <c r="K124" s="830">
        <f>H124+J124</f>
        <v>2356800</v>
      </c>
      <c r="L124" s="829">
        <f t="shared" si="5"/>
        <v>2.192372093023256</v>
      </c>
      <c r="M124" s="2485"/>
    </row>
    <row r="125" spans="1:13" ht="24.75" customHeight="1">
      <c r="A125" s="2042"/>
      <c r="B125" s="2457"/>
      <c r="C125" s="643" t="s">
        <v>89</v>
      </c>
      <c r="D125" s="1027"/>
      <c r="E125" s="830"/>
      <c r="F125" s="830"/>
      <c r="G125" s="823"/>
      <c r="H125" s="830"/>
      <c r="I125" s="824"/>
      <c r="J125" s="830"/>
      <c r="K125" s="830"/>
      <c r="L125" s="829"/>
      <c r="M125" s="2485"/>
    </row>
    <row r="126" spans="1:13" ht="24.75" customHeight="1">
      <c r="A126" s="2042"/>
      <c r="B126" s="2457"/>
      <c r="C126" s="642" t="s">
        <v>31</v>
      </c>
      <c r="D126" s="1024"/>
      <c r="E126" s="830"/>
      <c r="F126" s="830"/>
      <c r="G126" s="823"/>
      <c r="H126" s="830"/>
      <c r="I126" s="824"/>
      <c r="J126" s="830"/>
      <c r="K126" s="830"/>
      <c r="L126" s="829"/>
      <c r="M126" s="2485"/>
    </row>
    <row r="127" spans="1:13" ht="24.75" customHeight="1">
      <c r="A127" s="2042"/>
      <c r="B127" s="2457"/>
      <c r="C127" s="642" t="s">
        <v>32</v>
      </c>
      <c r="D127" s="1024"/>
      <c r="E127" s="823"/>
      <c r="F127" s="823"/>
      <c r="G127" s="823"/>
      <c r="H127" s="823"/>
      <c r="I127" s="824"/>
      <c r="J127" s="823"/>
      <c r="K127" s="823"/>
      <c r="L127" s="829"/>
      <c r="M127" s="2485"/>
    </row>
    <row r="128" spans="1:13" ht="15" customHeight="1">
      <c r="A128" s="2042"/>
      <c r="B128" s="2457" t="s">
        <v>140</v>
      </c>
      <c r="C128" s="530" t="s">
        <v>141</v>
      </c>
      <c r="D128" s="1019"/>
      <c r="E128" s="819">
        <f>SUM(E129,E141)</f>
        <v>10132618</v>
      </c>
      <c r="F128" s="819">
        <f>SUM(F129,F141)</f>
        <v>10985971</v>
      </c>
      <c r="G128" s="819">
        <f>SUM(G129,G141)</f>
        <v>0</v>
      </c>
      <c r="H128" s="819">
        <f>SUM(H129,H141)</f>
        <v>10586570</v>
      </c>
      <c r="I128" s="820">
        <f>H128/E128</f>
        <v>1.0448010573377975</v>
      </c>
      <c r="J128" s="819">
        <f>SUM(J129,J141)</f>
        <v>382000</v>
      </c>
      <c r="K128" s="819">
        <f>SUM(K129,K141)</f>
        <v>10968570</v>
      </c>
      <c r="L128" s="821">
        <f t="shared" si="5"/>
        <v>1.0825010870833185</v>
      </c>
      <c r="M128" s="2484" t="s">
        <v>532</v>
      </c>
    </row>
    <row r="129" spans="1:13" ht="16.5" customHeight="1">
      <c r="A129" s="2042"/>
      <c r="B129" s="2457"/>
      <c r="C129" s="526" t="s">
        <v>18</v>
      </c>
      <c r="D129" s="1022"/>
      <c r="E129" s="823">
        <f>SUM(E130,E133,E137,E138,E139,E140)</f>
        <v>9897618</v>
      </c>
      <c r="F129" s="823">
        <f>SUM(F130,F133,F137,F138,F139,F140)</f>
        <v>10644971</v>
      </c>
      <c r="G129" s="823">
        <f>SUM(G130,G133,G137,G138,G139,G140)</f>
        <v>0</v>
      </c>
      <c r="H129" s="823">
        <f>SUM(H130,H133,H137,H138,H139,H140)</f>
        <v>10514470</v>
      </c>
      <c r="I129" s="824">
        <f>H129/E129</f>
        <v>1.0623232781867313</v>
      </c>
      <c r="J129" s="823">
        <f>SUM(J130,J133,J137,J138,J139,J140)</f>
        <v>382000</v>
      </c>
      <c r="K129" s="823">
        <f>SUM(K130,K133,K137,K138,K139,K140)</f>
        <v>10896470</v>
      </c>
      <c r="L129" s="825">
        <f t="shared" si="5"/>
        <v>1.1009184229983415</v>
      </c>
      <c r="M129" s="2487"/>
    </row>
    <row r="130" spans="1:13" ht="16.5" customHeight="1">
      <c r="A130" s="2042"/>
      <c r="B130" s="2457"/>
      <c r="C130" s="642" t="s">
        <v>19</v>
      </c>
      <c r="D130" s="1024"/>
      <c r="E130" s="830">
        <f>SUM(E131:E132)</f>
        <v>0</v>
      </c>
      <c r="F130" s="830">
        <f>SUM(F131:F132)</f>
        <v>11</v>
      </c>
      <c r="G130" s="830">
        <f t="shared" ref="G130:K130" si="6">SUM(G131:G132)</f>
        <v>0</v>
      </c>
      <c r="H130" s="830">
        <f t="shared" si="6"/>
        <v>0</v>
      </c>
      <c r="I130" s="837"/>
      <c r="J130" s="830">
        <f t="shared" si="6"/>
        <v>0</v>
      </c>
      <c r="K130" s="830">
        <f t="shared" si="6"/>
        <v>0</v>
      </c>
      <c r="L130" s="829"/>
      <c r="M130" s="2487"/>
    </row>
    <row r="131" spans="1:13" ht="16.5" customHeight="1">
      <c r="A131" s="2042"/>
      <c r="B131" s="2457"/>
      <c r="C131" s="642" t="s">
        <v>20</v>
      </c>
      <c r="D131" s="1024"/>
      <c r="E131" s="830"/>
      <c r="F131" s="830"/>
      <c r="G131" s="823"/>
      <c r="H131" s="830"/>
      <c r="I131" s="837"/>
      <c r="J131" s="830"/>
      <c r="K131" s="830"/>
      <c r="L131" s="829"/>
      <c r="M131" s="2487"/>
    </row>
    <row r="132" spans="1:13" ht="16.5" customHeight="1">
      <c r="A132" s="2042"/>
      <c r="B132" s="2457"/>
      <c r="C132" s="643" t="s">
        <v>21</v>
      </c>
      <c r="D132" s="1027">
        <v>4560</v>
      </c>
      <c r="E132" s="830">
        <v>0</v>
      </c>
      <c r="F132" s="830">
        <v>11</v>
      </c>
      <c r="G132" s="823"/>
      <c r="H132" s="830"/>
      <c r="I132" s="837"/>
      <c r="J132" s="830"/>
      <c r="K132" s="830">
        <v>0</v>
      </c>
      <c r="L132" s="829"/>
      <c r="M132" s="2487"/>
    </row>
    <row r="133" spans="1:13" ht="16.5" customHeight="1">
      <c r="A133" s="2042"/>
      <c r="B133" s="2457"/>
      <c r="C133" s="2479" t="s">
        <v>23</v>
      </c>
      <c r="D133" s="1027" t="s">
        <v>22</v>
      </c>
      <c r="E133" s="830">
        <f>SUM(E134:E136)</f>
        <v>9897618</v>
      </c>
      <c r="F133" s="830">
        <f>SUM(F134:F136)</f>
        <v>10644960</v>
      </c>
      <c r="G133" s="830">
        <f>SUM(G134:G136)</f>
        <v>0</v>
      </c>
      <c r="H133" s="830">
        <f>SUM(H134:H136)</f>
        <v>10514470</v>
      </c>
      <c r="I133" s="837">
        <f>H133/E133</f>
        <v>1.0623232781867313</v>
      </c>
      <c r="J133" s="830">
        <f>SUM(J134:J136)</f>
        <v>382000</v>
      </c>
      <c r="K133" s="830">
        <f>SUM(K134:K136)</f>
        <v>10896470</v>
      </c>
      <c r="L133" s="829">
        <f t="shared" si="5"/>
        <v>1.1009184229983415</v>
      </c>
      <c r="M133" s="2487"/>
    </row>
    <row r="134" spans="1:13" ht="16.5" customHeight="1">
      <c r="A134" s="2042"/>
      <c r="B134" s="2457"/>
      <c r="C134" s="2479"/>
      <c r="D134" s="1032">
        <v>2480</v>
      </c>
      <c r="E134" s="836">
        <v>9787618</v>
      </c>
      <c r="F134" s="836">
        <v>10351113</v>
      </c>
      <c r="G134" s="836"/>
      <c r="H134" s="836">
        <v>10399470</v>
      </c>
      <c r="I134" s="837">
        <f>H134/E134</f>
        <v>1.062512860636776</v>
      </c>
      <c r="J134" s="836">
        <v>382000</v>
      </c>
      <c r="K134" s="836">
        <f>H134+J134</f>
        <v>10781470</v>
      </c>
      <c r="L134" s="838">
        <f t="shared" si="5"/>
        <v>1.101541764298525</v>
      </c>
      <c r="M134" s="2487"/>
    </row>
    <row r="135" spans="1:13" ht="16.5" customHeight="1">
      <c r="A135" s="2042"/>
      <c r="B135" s="2457"/>
      <c r="C135" s="2479"/>
      <c r="D135" s="1029">
        <v>2800</v>
      </c>
      <c r="E135" s="836">
        <v>110000</v>
      </c>
      <c r="F135" s="836">
        <v>293800</v>
      </c>
      <c r="G135" s="836"/>
      <c r="H135" s="836">
        <v>115000</v>
      </c>
      <c r="I135" s="837">
        <f>H135/E135</f>
        <v>1.0454545454545454</v>
      </c>
      <c r="J135" s="836"/>
      <c r="K135" s="836">
        <f>H135+J135</f>
        <v>115000</v>
      </c>
      <c r="L135" s="838">
        <f t="shared" si="5"/>
        <v>1.0454545454545454</v>
      </c>
      <c r="M135" s="2487"/>
    </row>
    <row r="136" spans="1:13" ht="16.5" customHeight="1">
      <c r="A136" s="2042"/>
      <c r="B136" s="2457"/>
      <c r="C136" s="2479"/>
      <c r="D136" s="1029">
        <v>2910</v>
      </c>
      <c r="E136" s="836">
        <v>0</v>
      </c>
      <c r="F136" s="836">
        <v>47</v>
      </c>
      <c r="G136" s="836"/>
      <c r="H136" s="836">
        <v>0</v>
      </c>
      <c r="I136" s="837"/>
      <c r="J136" s="836"/>
      <c r="K136" s="836">
        <v>0</v>
      </c>
      <c r="L136" s="838"/>
      <c r="M136" s="2487"/>
    </row>
    <row r="137" spans="1:13" ht="14.25" customHeight="1">
      <c r="A137" s="2042"/>
      <c r="B137" s="2457"/>
      <c r="C137" s="642" t="s">
        <v>24</v>
      </c>
      <c r="D137" s="1024"/>
      <c r="E137" s="830"/>
      <c r="F137" s="830"/>
      <c r="G137" s="823"/>
      <c r="H137" s="830"/>
      <c r="I137" s="837"/>
      <c r="J137" s="830"/>
      <c r="K137" s="830"/>
      <c r="L137" s="829"/>
      <c r="M137" s="2487"/>
    </row>
    <row r="138" spans="1:13" ht="21" customHeight="1">
      <c r="A138" s="2042"/>
      <c r="B138" s="2457"/>
      <c r="C138" s="643" t="s">
        <v>54</v>
      </c>
      <c r="D138" s="1027"/>
      <c r="E138" s="830"/>
      <c r="F138" s="830"/>
      <c r="G138" s="823"/>
      <c r="H138" s="830"/>
      <c r="I138" s="837"/>
      <c r="J138" s="830"/>
      <c r="K138" s="830"/>
      <c r="L138" s="829"/>
      <c r="M138" s="2487"/>
    </row>
    <row r="139" spans="1:13" ht="16.5" customHeight="1">
      <c r="A139" s="2042"/>
      <c r="B139" s="2457"/>
      <c r="C139" s="642" t="s">
        <v>26</v>
      </c>
      <c r="D139" s="1024"/>
      <c r="E139" s="830"/>
      <c r="F139" s="830"/>
      <c r="G139" s="823"/>
      <c r="H139" s="830"/>
      <c r="I139" s="837"/>
      <c r="J139" s="830"/>
      <c r="K139" s="830"/>
      <c r="L139" s="829"/>
      <c r="M139" s="2487"/>
    </row>
    <row r="140" spans="1:13" ht="16.5" customHeight="1">
      <c r="A140" s="2042"/>
      <c r="B140" s="2457"/>
      <c r="C140" s="642" t="s">
        <v>27</v>
      </c>
      <c r="D140" s="1024"/>
      <c r="E140" s="830"/>
      <c r="F140" s="830"/>
      <c r="G140" s="823"/>
      <c r="H140" s="830"/>
      <c r="I140" s="837"/>
      <c r="J140" s="830"/>
      <c r="K140" s="830"/>
      <c r="L140" s="829"/>
      <c r="M140" s="2487"/>
    </row>
    <row r="141" spans="1:13" ht="16.5" customHeight="1">
      <c r="A141" s="2042"/>
      <c r="B141" s="2457"/>
      <c r="C141" s="644" t="s">
        <v>28</v>
      </c>
      <c r="D141" s="1030"/>
      <c r="E141" s="823">
        <f>SUM(E142,E144,E145)</f>
        <v>235000</v>
      </c>
      <c r="F141" s="823">
        <f>SUM(F142,F144,F145)</f>
        <v>341000</v>
      </c>
      <c r="G141" s="823">
        <f>SUM(G142,G144,G145)</f>
        <v>0</v>
      </c>
      <c r="H141" s="823">
        <f>SUM(H142,H144,H145)</f>
        <v>72100</v>
      </c>
      <c r="I141" s="1035">
        <f>H141/E141</f>
        <v>0.30680851063829789</v>
      </c>
      <c r="J141" s="823">
        <f>SUM(J142,J144,J145)</f>
        <v>0</v>
      </c>
      <c r="K141" s="823">
        <f>SUM(K142,K144,K145)</f>
        <v>72100</v>
      </c>
      <c r="L141" s="825">
        <f t="shared" si="5"/>
        <v>0.30680851063829789</v>
      </c>
      <c r="M141" s="2487"/>
    </row>
    <row r="142" spans="1:13" ht="13.5" customHeight="1">
      <c r="A142" s="2042"/>
      <c r="B142" s="2457"/>
      <c r="C142" s="511" t="s">
        <v>29</v>
      </c>
      <c r="D142" s="1024">
        <v>6220</v>
      </c>
      <c r="E142" s="830">
        <v>235000</v>
      </c>
      <c r="F142" s="830">
        <v>341000</v>
      </c>
      <c r="G142" s="830"/>
      <c r="H142" s="830">
        <v>72100</v>
      </c>
      <c r="I142" s="837">
        <f>H142/E142</f>
        <v>0.30680851063829789</v>
      </c>
      <c r="J142" s="836"/>
      <c r="K142" s="830">
        <f>H142+J142</f>
        <v>72100</v>
      </c>
      <c r="L142" s="829">
        <f t="shared" si="5"/>
        <v>0.30680851063829789</v>
      </c>
      <c r="M142" s="2487"/>
    </row>
    <row r="143" spans="1:13" ht="23.25" customHeight="1">
      <c r="A143" s="2042"/>
      <c r="B143" s="2457"/>
      <c r="C143" s="643" t="s">
        <v>89</v>
      </c>
      <c r="D143" s="1027"/>
      <c r="E143" s="830"/>
      <c r="F143" s="830"/>
      <c r="G143" s="823"/>
      <c r="H143" s="830"/>
      <c r="I143" s="824"/>
      <c r="J143" s="830"/>
      <c r="K143" s="830"/>
      <c r="L143" s="829"/>
      <c r="M143" s="2487"/>
    </row>
    <row r="144" spans="1:13" ht="16.5" customHeight="1">
      <c r="A144" s="2042"/>
      <c r="B144" s="2457"/>
      <c r="C144" s="642" t="s">
        <v>31</v>
      </c>
      <c r="D144" s="1024"/>
      <c r="E144" s="830"/>
      <c r="F144" s="830"/>
      <c r="G144" s="823"/>
      <c r="H144" s="830"/>
      <c r="I144" s="824"/>
      <c r="J144" s="830"/>
      <c r="K144" s="830"/>
      <c r="L144" s="829"/>
      <c r="M144" s="2487"/>
    </row>
    <row r="145" spans="1:13" ht="12" customHeight="1">
      <c r="A145" s="2042"/>
      <c r="B145" s="2457"/>
      <c r="C145" s="642" t="s">
        <v>32</v>
      </c>
      <c r="D145" s="1024"/>
      <c r="E145" s="823"/>
      <c r="F145" s="823"/>
      <c r="G145" s="823"/>
      <c r="H145" s="823"/>
      <c r="I145" s="824"/>
      <c r="J145" s="823"/>
      <c r="K145" s="823"/>
      <c r="L145" s="829"/>
      <c r="M145" s="2487"/>
    </row>
    <row r="146" spans="1:13" ht="60" customHeight="1">
      <c r="A146" s="2042"/>
      <c r="B146" s="1959" t="s">
        <v>533</v>
      </c>
      <c r="C146" s="1031" t="s">
        <v>534</v>
      </c>
      <c r="D146" s="1019"/>
      <c r="E146" s="819">
        <f>SUM(E147,E159)</f>
        <v>36193012</v>
      </c>
      <c r="F146" s="819">
        <f>SUM(F147,F159)</f>
        <v>39500454</v>
      </c>
      <c r="G146" s="819">
        <f>SUM(G147,G159)</f>
        <v>29145018.649999999</v>
      </c>
      <c r="H146" s="819">
        <f>SUM(H147,H159)</f>
        <v>41000256</v>
      </c>
      <c r="I146" s="820">
        <f>H146/E146</f>
        <v>1.132822435446931</v>
      </c>
      <c r="J146" s="819">
        <f>SUM(J147,J159)</f>
        <v>1144245</v>
      </c>
      <c r="K146" s="819">
        <f>SUM(K147,K159)</f>
        <v>42144501</v>
      </c>
      <c r="L146" s="821">
        <f t="shared" si="5"/>
        <v>1.1644375162807672</v>
      </c>
      <c r="M146" s="2483" t="s">
        <v>535</v>
      </c>
    </row>
    <row r="147" spans="1:13" ht="74.25" customHeight="1">
      <c r="A147" s="2042"/>
      <c r="B147" s="1960"/>
      <c r="C147" s="526" t="s">
        <v>18</v>
      </c>
      <c r="D147" s="1022"/>
      <c r="E147" s="823">
        <f>SUM(E148,E155,E151,E156,E157,E158)</f>
        <v>30678967</v>
      </c>
      <c r="F147" s="823">
        <f>SUM(F148,F155,F151,F156,F157,F158)</f>
        <v>33205309</v>
      </c>
      <c r="G147" s="823">
        <f>E147*0.95</f>
        <v>29145018.649999999</v>
      </c>
      <c r="H147" s="823">
        <f>SUM(H148,H155,H151,H156,H157,H158)</f>
        <v>35823145</v>
      </c>
      <c r="I147" s="824">
        <f>H147/E147</f>
        <v>1.1676776796298258</v>
      </c>
      <c r="J147" s="823">
        <f>SUM(J148,J155,J151,J156,J157,J158)</f>
        <v>992601</v>
      </c>
      <c r="K147" s="823">
        <f>SUM(K148,K155,K151,K156,K157,K158)</f>
        <v>36815746</v>
      </c>
      <c r="L147" s="825">
        <f t="shared" si="5"/>
        <v>1.2000321262446678</v>
      </c>
      <c r="M147" s="2483"/>
    </row>
    <row r="148" spans="1:13" ht="93" customHeight="1">
      <c r="A148" s="2042"/>
      <c r="B148" s="1960"/>
      <c r="C148" s="642" t="s">
        <v>19</v>
      </c>
      <c r="D148" s="1024"/>
      <c r="E148" s="830"/>
      <c r="F148" s="830"/>
      <c r="G148" s="830"/>
      <c r="H148" s="830"/>
      <c r="I148" s="824"/>
      <c r="J148" s="830"/>
      <c r="K148" s="830"/>
      <c r="L148" s="829"/>
      <c r="M148" s="2483"/>
    </row>
    <row r="149" spans="1:13" ht="92.25" customHeight="1">
      <c r="A149" s="2042"/>
      <c r="B149" s="1960"/>
      <c r="C149" s="642" t="s">
        <v>20</v>
      </c>
      <c r="D149" s="1024"/>
      <c r="E149" s="830"/>
      <c r="F149" s="830"/>
      <c r="G149" s="823"/>
      <c r="H149" s="830"/>
      <c r="I149" s="824"/>
      <c r="J149" s="830"/>
      <c r="K149" s="830"/>
      <c r="L149" s="829"/>
      <c r="M149" s="1953"/>
    </row>
    <row r="150" spans="1:13" ht="74.25" customHeight="1">
      <c r="A150" s="2042"/>
      <c r="B150" s="1960"/>
      <c r="C150" s="643" t="s">
        <v>21</v>
      </c>
      <c r="D150" s="1027"/>
      <c r="E150" s="830"/>
      <c r="F150" s="830"/>
      <c r="G150" s="823"/>
      <c r="H150" s="830"/>
      <c r="I150" s="824"/>
      <c r="J150" s="830"/>
      <c r="K150" s="830"/>
      <c r="L150" s="829"/>
      <c r="M150" s="1975" t="s">
        <v>536</v>
      </c>
    </row>
    <row r="151" spans="1:13" ht="74.25" customHeight="1">
      <c r="A151" s="2042"/>
      <c r="B151" s="1960"/>
      <c r="C151" s="2479" t="s">
        <v>23</v>
      </c>
      <c r="D151" s="1027" t="s">
        <v>22</v>
      </c>
      <c r="E151" s="830">
        <f>SUM(E152:E154)</f>
        <v>30678967</v>
      </c>
      <c r="F151" s="830">
        <f>SUM(F152:F154)</f>
        <v>33205309</v>
      </c>
      <c r="G151" s="830">
        <f>SUM(G152:G154)</f>
        <v>0</v>
      </c>
      <c r="H151" s="830">
        <f>SUM(H152:H154)</f>
        <v>35823145</v>
      </c>
      <c r="I151" s="828">
        <f>H151/E151</f>
        <v>1.1676776796298258</v>
      </c>
      <c r="J151" s="830">
        <f>SUM(J152:J152,J154)</f>
        <v>992601</v>
      </c>
      <c r="K151" s="830">
        <f>SUM(K152:K152,K154)</f>
        <v>36815746</v>
      </c>
      <c r="L151" s="829">
        <f t="shared" si="5"/>
        <v>1.2000321262446678</v>
      </c>
      <c r="M151" s="2483"/>
    </row>
    <row r="152" spans="1:13" ht="67.5" customHeight="1">
      <c r="A152" s="2042"/>
      <c r="B152" s="1960"/>
      <c r="C152" s="2479"/>
      <c r="D152" s="1032">
        <v>2480</v>
      </c>
      <c r="E152" s="836">
        <v>30150806</v>
      </c>
      <c r="F152" s="836">
        <v>31875036</v>
      </c>
      <c r="G152" s="836"/>
      <c r="H152" s="836">
        <v>35223235</v>
      </c>
      <c r="I152" s="837">
        <f>H152/E152</f>
        <v>1.1682352703937666</v>
      </c>
      <c r="J152" s="836">
        <f>293101+650000</f>
        <v>943101</v>
      </c>
      <c r="K152" s="836">
        <f>H152+J152</f>
        <v>36166336</v>
      </c>
      <c r="L152" s="838">
        <f t="shared" si="5"/>
        <v>1.1995147327073115</v>
      </c>
      <c r="M152" s="2483"/>
    </row>
    <row r="153" spans="1:13" ht="60" customHeight="1">
      <c r="A153" s="2042"/>
      <c r="B153" s="1961"/>
      <c r="C153" s="2479"/>
      <c r="D153" s="1032">
        <v>2710</v>
      </c>
      <c r="E153" s="836">
        <v>0</v>
      </c>
      <c r="F153" s="836">
        <v>100000</v>
      </c>
      <c r="G153" s="836"/>
      <c r="H153" s="836">
        <v>0</v>
      </c>
      <c r="I153" s="837"/>
      <c r="J153" s="836"/>
      <c r="K153" s="836">
        <f>H153+J153</f>
        <v>0</v>
      </c>
      <c r="L153" s="838"/>
      <c r="M153" s="2483"/>
    </row>
    <row r="154" spans="1:13" ht="15" customHeight="1">
      <c r="A154" s="2042"/>
      <c r="B154" s="1959" t="s">
        <v>533</v>
      </c>
      <c r="C154" s="2479"/>
      <c r="D154" s="1029">
        <v>2800</v>
      </c>
      <c r="E154" s="836">
        <v>528161</v>
      </c>
      <c r="F154" s="836">
        <v>1230273</v>
      </c>
      <c r="G154" s="836"/>
      <c r="H154" s="836">
        <v>599910</v>
      </c>
      <c r="I154" s="837">
        <f>H154/E154</f>
        <v>1.1358468345826367</v>
      </c>
      <c r="J154" s="836">
        <f>49500</f>
        <v>49500</v>
      </c>
      <c r="K154" s="836">
        <f>H154+J154</f>
        <v>649410</v>
      </c>
      <c r="L154" s="838">
        <f t="shared" ref="L154:L207" si="7">K154/E154</f>
        <v>1.2295682566490143</v>
      </c>
      <c r="M154" s="2483"/>
    </row>
    <row r="155" spans="1:13" ht="64.5" customHeight="1">
      <c r="A155" s="2042"/>
      <c r="B155" s="1960"/>
      <c r="C155" s="642" t="s">
        <v>24</v>
      </c>
      <c r="D155" s="1024"/>
      <c r="E155" s="830"/>
      <c r="F155" s="830"/>
      <c r="G155" s="823"/>
      <c r="H155" s="830"/>
      <c r="I155" s="824"/>
      <c r="J155" s="830"/>
      <c r="K155" s="830"/>
      <c r="L155" s="829"/>
      <c r="M155" s="2483" t="s">
        <v>537</v>
      </c>
    </row>
    <row r="156" spans="1:13" ht="59.25" customHeight="1">
      <c r="A156" s="2042"/>
      <c r="B156" s="1960"/>
      <c r="C156" s="643" t="s">
        <v>54</v>
      </c>
      <c r="D156" s="1027"/>
      <c r="E156" s="830"/>
      <c r="F156" s="830"/>
      <c r="G156" s="823"/>
      <c r="H156" s="830"/>
      <c r="I156" s="824"/>
      <c r="J156" s="830"/>
      <c r="K156" s="830"/>
      <c r="L156" s="829"/>
      <c r="M156" s="2483"/>
    </row>
    <row r="157" spans="1:13" ht="50.25" customHeight="1">
      <c r="A157" s="2042"/>
      <c r="B157" s="1960"/>
      <c r="C157" s="642" t="s">
        <v>26</v>
      </c>
      <c r="D157" s="1024"/>
      <c r="E157" s="830"/>
      <c r="F157" s="830"/>
      <c r="G157" s="823"/>
      <c r="H157" s="830"/>
      <c r="I157" s="824"/>
      <c r="J157" s="830"/>
      <c r="K157" s="830"/>
      <c r="L157" s="829"/>
      <c r="M157" s="2483"/>
    </row>
    <row r="158" spans="1:13" ht="41.25" customHeight="1">
      <c r="A158" s="2042"/>
      <c r="B158" s="1960"/>
      <c r="C158" s="642" t="s">
        <v>27</v>
      </c>
      <c r="D158" s="1024"/>
      <c r="E158" s="830"/>
      <c r="F158" s="830"/>
      <c r="G158" s="823"/>
      <c r="H158" s="830"/>
      <c r="I158" s="824"/>
      <c r="J158" s="830"/>
      <c r="K158" s="830"/>
      <c r="L158" s="829"/>
      <c r="M158" s="2483"/>
    </row>
    <row r="159" spans="1:13" ht="75" customHeight="1">
      <c r="A159" s="2042"/>
      <c r="B159" s="1960"/>
      <c r="C159" s="644" t="s">
        <v>28</v>
      </c>
      <c r="D159" s="1030"/>
      <c r="E159" s="823">
        <f>SUM(E160,E162,E163)</f>
        <v>5514045</v>
      </c>
      <c r="F159" s="823">
        <f>SUM(F160,F162,F163)</f>
        <v>6295145</v>
      </c>
      <c r="G159" s="823">
        <f>SUM(G160,G162,G163)</f>
        <v>0</v>
      </c>
      <c r="H159" s="823">
        <f>SUM(H160,H162,H163)</f>
        <v>5177111</v>
      </c>
      <c r="I159" s="824">
        <f>H159/E159</f>
        <v>0.93889531188084252</v>
      </c>
      <c r="J159" s="823">
        <f>SUM(J160,J162,J163)</f>
        <v>151644</v>
      </c>
      <c r="K159" s="823">
        <f>SUM(K160,K162,K163)</f>
        <v>5328755</v>
      </c>
      <c r="L159" s="825">
        <f t="shared" si="7"/>
        <v>0.96639671964954943</v>
      </c>
      <c r="M159" s="2483" t="s">
        <v>538</v>
      </c>
    </row>
    <row r="160" spans="1:13" ht="75" customHeight="1">
      <c r="A160" s="2042"/>
      <c r="B160" s="1960"/>
      <c r="C160" s="642" t="s">
        <v>29</v>
      </c>
      <c r="D160" s="1024">
        <v>6220</v>
      </c>
      <c r="E160" s="830">
        <v>5514045</v>
      </c>
      <c r="F160" s="830">
        <v>6295145</v>
      </c>
      <c r="G160" s="830"/>
      <c r="H160" s="830">
        <f>5178755-1644</f>
        <v>5177111</v>
      </c>
      <c r="I160" s="828">
        <f>H160/E160</f>
        <v>0.93889531188084252</v>
      </c>
      <c r="J160" s="830">
        <f>1600000-400000-1048356</f>
        <v>151644</v>
      </c>
      <c r="K160" s="830">
        <f>H160+J160</f>
        <v>5328755</v>
      </c>
      <c r="L160" s="829">
        <f t="shared" si="7"/>
        <v>0.96639671964954943</v>
      </c>
      <c r="M160" s="2483"/>
    </row>
    <row r="161" spans="1:13" ht="72" customHeight="1">
      <c r="A161" s="2042"/>
      <c r="B161" s="1960"/>
      <c r="C161" s="643" t="s">
        <v>89</v>
      </c>
      <c r="D161" s="1027"/>
      <c r="E161" s="830"/>
      <c r="F161" s="830"/>
      <c r="G161" s="823"/>
      <c r="H161" s="830"/>
      <c r="I161" s="824"/>
      <c r="J161" s="830"/>
      <c r="K161" s="830"/>
      <c r="L161" s="829"/>
      <c r="M161" s="2483"/>
    </row>
    <row r="162" spans="1:13" ht="77.25" customHeight="1">
      <c r="A162" s="2042"/>
      <c r="B162" s="1960"/>
      <c r="C162" s="642" t="s">
        <v>31</v>
      </c>
      <c r="D162" s="1024"/>
      <c r="E162" s="830"/>
      <c r="F162" s="830"/>
      <c r="G162" s="823"/>
      <c r="H162" s="830"/>
      <c r="I162" s="824"/>
      <c r="J162" s="830"/>
      <c r="K162" s="830"/>
      <c r="L162" s="829"/>
      <c r="M162" s="2483"/>
    </row>
    <row r="163" spans="1:13" ht="84.75" customHeight="1">
      <c r="A163" s="2042"/>
      <c r="B163" s="1961"/>
      <c r="C163" s="642" t="s">
        <v>32</v>
      </c>
      <c r="D163" s="1024"/>
      <c r="E163" s="823"/>
      <c r="F163" s="823"/>
      <c r="G163" s="823"/>
      <c r="H163" s="823"/>
      <c r="I163" s="824"/>
      <c r="J163" s="823"/>
      <c r="K163" s="823"/>
      <c r="L163" s="829"/>
      <c r="M163" s="2483"/>
    </row>
    <row r="164" spans="1:13" ht="15" customHeight="1">
      <c r="A164" s="2042"/>
      <c r="B164" s="2457" t="s">
        <v>123</v>
      </c>
      <c r="C164" s="530" t="s">
        <v>124</v>
      </c>
      <c r="D164" s="1019"/>
      <c r="E164" s="819">
        <f>SUM(E165,E176)</f>
        <v>4000000</v>
      </c>
      <c r="F164" s="819">
        <f>SUM(F165,F176)</f>
        <v>4905000</v>
      </c>
      <c r="G164" s="819">
        <f>SUM(G165,G176)</f>
        <v>0</v>
      </c>
      <c r="H164" s="819">
        <f>SUM(H165,H176)</f>
        <v>4400000</v>
      </c>
      <c r="I164" s="820">
        <f>H164/E164</f>
        <v>1.1000000000000001</v>
      </c>
      <c r="J164" s="819">
        <f>SUM(J165,J176)</f>
        <v>0</v>
      </c>
      <c r="K164" s="819">
        <f>SUM(K165,K176)</f>
        <v>4400000</v>
      </c>
      <c r="L164" s="821">
        <f>K164/E164</f>
        <v>1.1000000000000001</v>
      </c>
      <c r="M164" s="2484" t="s">
        <v>539</v>
      </c>
    </row>
    <row r="165" spans="1:13" ht="15" customHeight="1">
      <c r="A165" s="2042"/>
      <c r="B165" s="2457"/>
      <c r="C165" s="526" t="s">
        <v>18</v>
      </c>
      <c r="D165" s="1022"/>
      <c r="E165" s="823">
        <f>SUM(E166,E169,E172,E173,E174,E175)</f>
        <v>4000000</v>
      </c>
      <c r="F165" s="823">
        <f>SUM(F166,F169,F172,F173,F174,F175)</f>
        <v>4905000</v>
      </c>
      <c r="G165" s="823">
        <f>SUM(G166,G169,G172,G173,G174,G175)</f>
        <v>0</v>
      </c>
      <c r="H165" s="823">
        <f>SUM(H166,H169,H172,H173,H174,H175)</f>
        <v>4400000</v>
      </c>
      <c r="I165" s="824">
        <f>H165/E165</f>
        <v>1.1000000000000001</v>
      </c>
      <c r="J165" s="823">
        <f>SUM(J166,J169,J172,J173,J174,J175)</f>
        <v>0</v>
      </c>
      <c r="K165" s="823">
        <f>SUM(K166,K169,K172,K173,K174,K175)</f>
        <v>4400000</v>
      </c>
      <c r="L165" s="825">
        <f t="shared" si="7"/>
        <v>1.1000000000000001</v>
      </c>
      <c r="M165" s="2485"/>
    </row>
    <row r="166" spans="1:13" ht="14.25" customHeight="1">
      <c r="A166" s="2042"/>
      <c r="B166" s="2457"/>
      <c r="C166" s="642" t="s">
        <v>19</v>
      </c>
      <c r="D166" s="1024"/>
      <c r="E166" s="830">
        <f>SUM(E167:E168)</f>
        <v>0</v>
      </c>
      <c r="F166" s="830">
        <f>SUM(F167:F168)</f>
        <v>0</v>
      </c>
      <c r="G166" s="830">
        <f>SUM(G167:G168)</f>
        <v>0</v>
      </c>
      <c r="H166" s="830">
        <f>SUM(H167:H168)</f>
        <v>0</v>
      </c>
      <c r="I166" s="824"/>
      <c r="J166" s="830">
        <f>SUM(J167:J168)</f>
        <v>0</v>
      </c>
      <c r="K166" s="830">
        <f>SUM(K167:K168)</f>
        <v>0</v>
      </c>
      <c r="L166" s="829"/>
      <c r="M166" s="2485"/>
    </row>
    <row r="167" spans="1:13" ht="14.25" customHeight="1">
      <c r="A167" s="2042"/>
      <c r="B167" s="2457"/>
      <c r="C167" s="642" t="s">
        <v>20</v>
      </c>
      <c r="D167" s="1024"/>
      <c r="E167" s="830"/>
      <c r="F167" s="830"/>
      <c r="G167" s="823"/>
      <c r="H167" s="830"/>
      <c r="I167" s="824"/>
      <c r="J167" s="830"/>
      <c r="K167" s="830"/>
      <c r="L167" s="829"/>
      <c r="M167" s="2485"/>
    </row>
    <row r="168" spans="1:13" ht="14.25" customHeight="1">
      <c r="A168" s="2042"/>
      <c r="B168" s="2457"/>
      <c r="C168" s="643" t="s">
        <v>21</v>
      </c>
      <c r="D168" s="1027"/>
      <c r="E168" s="830"/>
      <c r="F168" s="830"/>
      <c r="G168" s="823"/>
      <c r="H168" s="830"/>
      <c r="I168" s="824"/>
      <c r="J168" s="830"/>
      <c r="K168" s="830"/>
      <c r="L168" s="829"/>
      <c r="M168" s="2485"/>
    </row>
    <row r="169" spans="1:13" ht="14.25" customHeight="1">
      <c r="A169" s="2042"/>
      <c r="B169" s="2457"/>
      <c r="C169" s="2479" t="s">
        <v>23</v>
      </c>
      <c r="D169" s="1027" t="s">
        <v>22</v>
      </c>
      <c r="E169" s="830">
        <f>SUM(E170:E171)</f>
        <v>4000000</v>
      </c>
      <c r="F169" s="830">
        <f>SUM(F170:F171)</f>
        <v>4905000</v>
      </c>
      <c r="G169" s="830">
        <f>SUM(G170:G171)</f>
        <v>0</v>
      </c>
      <c r="H169" s="830">
        <f>SUM(H170:H171)</f>
        <v>4400000</v>
      </c>
      <c r="I169" s="828">
        <f>H169/E169</f>
        <v>1.1000000000000001</v>
      </c>
      <c r="J169" s="830">
        <f>SUM(J170:J171)</f>
        <v>0</v>
      </c>
      <c r="K169" s="830">
        <f>SUM(K170:K171)</f>
        <v>4400000</v>
      </c>
      <c r="L169" s="829">
        <f t="shared" si="7"/>
        <v>1.1000000000000001</v>
      </c>
      <c r="M169" s="2485"/>
    </row>
    <row r="170" spans="1:13" ht="14.25" customHeight="1">
      <c r="A170" s="2042"/>
      <c r="B170" s="2457"/>
      <c r="C170" s="2479"/>
      <c r="D170" s="1032">
        <v>2720</v>
      </c>
      <c r="E170" s="836">
        <v>4000000</v>
      </c>
      <c r="F170" s="836">
        <v>4411000</v>
      </c>
      <c r="G170" s="836"/>
      <c r="H170" s="836">
        <v>4400000</v>
      </c>
      <c r="I170" s="837">
        <f>H170/E170</f>
        <v>1.1000000000000001</v>
      </c>
      <c r="J170" s="836"/>
      <c r="K170" s="836">
        <f>H170+J170</f>
        <v>4400000</v>
      </c>
      <c r="L170" s="838">
        <f t="shared" si="7"/>
        <v>1.1000000000000001</v>
      </c>
      <c r="M170" s="2485"/>
    </row>
    <row r="171" spans="1:13" ht="14.25" customHeight="1">
      <c r="A171" s="2042"/>
      <c r="B171" s="2457"/>
      <c r="C171" s="2479"/>
      <c r="D171" s="1029">
        <v>2730</v>
      </c>
      <c r="E171" s="836">
        <v>0</v>
      </c>
      <c r="F171" s="836">
        <v>494000</v>
      </c>
      <c r="G171" s="836"/>
      <c r="H171" s="836">
        <v>0</v>
      </c>
      <c r="I171" s="837"/>
      <c r="J171" s="836"/>
      <c r="K171" s="836"/>
      <c r="L171" s="838"/>
      <c r="M171" s="2485"/>
    </row>
    <row r="172" spans="1:13" ht="14.25" customHeight="1">
      <c r="A172" s="2042"/>
      <c r="B172" s="2457"/>
      <c r="C172" s="642" t="s">
        <v>24</v>
      </c>
      <c r="D172" s="1024"/>
      <c r="E172" s="830"/>
      <c r="F172" s="830"/>
      <c r="G172" s="823"/>
      <c r="H172" s="830"/>
      <c r="I172" s="824"/>
      <c r="J172" s="830"/>
      <c r="K172" s="830"/>
      <c r="L172" s="829"/>
      <c r="M172" s="2485"/>
    </row>
    <row r="173" spans="1:13" ht="22.5">
      <c r="A173" s="2042"/>
      <c r="B173" s="2457"/>
      <c r="C173" s="643" t="s">
        <v>540</v>
      </c>
      <c r="D173" s="1027"/>
      <c r="E173" s="830"/>
      <c r="F173" s="830"/>
      <c r="G173" s="823"/>
      <c r="H173" s="830"/>
      <c r="I173" s="824"/>
      <c r="J173" s="830"/>
      <c r="K173" s="830"/>
      <c r="L173" s="829"/>
      <c r="M173" s="2485"/>
    </row>
    <row r="174" spans="1:13" ht="14.25" customHeight="1">
      <c r="A174" s="2042"/>
      <c r="B174" s="2457"/>
      <c r="C174" s="642" t="s">
        <v>26</v>
      </c>
      <c r="D174" s="1024"/>
      <c r="E174" s="830"/>
      <c r="F174" s="830"/>
      <c r="G174" s="823"/>
      <c r="H174" s="830"/>
      <c r="I174" s="824"/>
      <c r="J174" s="830"/>
      <c r="K174" s="830"/>
      <c r="L174" s="829"/>
      <c r="M174" s="2485"/>
    </row>
    <row r="175" spans="1:13" ht="14.25" customHeight="1">
      <c r="A175" s="2042"/>
      <c r="B175" s="2457"/>
      <c r="C175" s="642" t="s">
        <v>27</v>
      </c>
      <c r="D175" s="1024"/>
      <c r="E175" s="830"/>
      <c r="F175" s="830"/>
      <c r="G175" s="823"/>
      <c r="H175" s="830"/>
      <c r="I175" s="824"/>
      <c r="J175" s="830"/>
      <c r="K175" s="830"/>
      <c r="L175" s="829"/>
      <c r="M175" s="2485"/>
    </row>
    <row r="176" spans="1:13" ht="14.25" customHeight="1">
      <c r="A176" s="2042"/>
      <c r="B176" s="2457"/>
      <c r="C176" s="644" t="s">
        <v>28</v>
      </c>
      <c r="D176" s="1030"/>
      <c r="E176" s="823">
        <f>SUM(E177,E179,E180)</f>
        <v>0</v>
      </c>
      <c r="F176" s="823"/>
      <c r="G176" s="823">
        <f>E176*0.95</f>
        <v>0</v>
      </c>
      <c r="H176" s="823">
        <f>SUM(H177,H179,H180)</f>
        <v>0</v>
      </c>
      <c r="I176" s="824"/>
      <c r="J176" s="823">
        <f>SUM(J177,J179,J180)</f>
        <v>0</v>
      </c>
      <c r="K176" s="823">
        <f>SUM(K177,K179,K180)</f>
        <v>0</v>
      </c>
      <c r="L176" s="829"/>
      <c r="M176" s="2485"/>
    </row>
    <row r="177" spans="1:13" ht="14.25" customHeight="1">
      <c r="A177" s="2042"/>
      <c r="B177" s="2457"/>
      <c r="C177" s="642" t="s">
        <v>29</v>
      </c>
      <c r="D177" s="1024"/>
      <c r="E177" s="830"/>
      <c r="F177" s="830"/>
      <c r="G177" s="823"/>
      <c r="H177" s="830"/>
      <c r="I177" s="824"/>
      <c r="J177" s="830"/>
      <c r="K177" s="830"/>
      <c r="L177" s="829"/>
      <c r="M177" s="2485"/>
    </row>
    <row r="178" spans="1:13" ht="22.5">
      <c r="A178" s="2042"/>
      <c r="B178" s="2457"/>
      <c r="C178" s="643" t="s">
        <v>89</v>
      </c>
      <c r="D178" s="1027"/>
      <c r="E178" s="830"/>
      <c r="F178" s="830"/>
      <c r="G178" s="823"/>
      <c r="H178" s="830"/>
      <c r="I178" s="824"/>
      <c r="J178" s="830"/>
      <c r="K178" s="830"/>
      <c r="L178" s="829"/>
      <c r="M178" s="2485"/>
    </row>
    <row r="179" spans="1:13" ht="14.25" customHeight="1">
      <c r="A179" s="2042"/>
      <c r="B179" s="2457"/>
      <c r="C179" s="642" t="s">
        <v>31</v>
      </c>
      <c r="D179" s="1024"/>
      <c r="E179" s="830"/>
      <c r="F179" s="830"/>
      <c r="G179" s="823"/>
      <c r="H179" s="830"/>
      <c r="I179" s="824"/>
      <c r="J179" s="830"/>
      <c r="K179" s="830"/>
      <c r="L179" s="829"/>
      <c r="M179" s="2485"/>
    </row>
    <row r="180" spans="1:13" ht="14.25" customHeight="1">
      <c r="A180" s="2045"/>
      <c r="B180" s="1959"/>
      <c r="C180" s="253" t="s">
        <v>32</v>
      </c>
      <c r="D180" s="1036"/>
      <c r="E180" s="889"/>
      <c r="F180" s="889"/>
      <c r="G180" s="889"/>
      <c r="H180" s="889"/>
      <c r="I180" s="1037"/>
      <c r="J180" s="889"/>
      <c r="K180" s="889"/>
      <c r="L180" s="1038"/>
      <c r="M180" s="2486"/>
    </row>
    <row r="181" spans="1:13" ht="22.5" customHeight="1">
      <c r="A181" s="2045"/>
      <c r="B181" s="2457" t="s">
        <v>76</v>
      </c>
      <c r="C181" s="1031" t="s">
        <v>17</v>
      </c>
      <c r="D181" s="1019"/>
      <c r="E181" s="819">
        <f>SUM(E182,E210)</f>
        <v>1151750</v>
      </c>
      <c r="F181" s="819">
        <f>SUM(F182,F210)</f>
        <v>1343745</v>
      </c>
      <c r="G181" s="819" t="e">
        <f>SUM(G182,G210)</f>
        <v>#REF!</v>
      </c>
      <c r="H181" s="819">
        <f>SUM(H182,H210)</f>
        <v>1215320</v>
      </c>
      <c r="I181" s="820">
        <f t="shared" ref="I181:I190" si="8">H181/E181</f>
        <v>1.0551942695897547</v>
      </c>
      <c r="J181" s="819">
        <f>SUM(J182,J210)</f>
        <v>450000</v>
      </c>
      <c r="K181" s="819">
        <f>SUM(K182,K210)</f>
        <v>1665320</v>
      </c>
      <c r="L181" s="821">
        <f t="shared" si="7"/>
        <v>1.4459040590405905</v>
      </c>
      <c r="M181" s="2480" t="s">
        <v>541</v>
      </c>
    </row>
    <row r="182" spans="1:13" ht="15.75" customHeight="1">
      <c r="A182" s="2046"/>
      <c r="B182" s="2457"/>
      <c r="C182" s="526" t="s">
        <v>18</v>
      </c>
      <c r="D182" s="1022"/>
      <c r="E182" s="823">
        <f>SUM(E183,E191,E192,E193,E208,E209)</f>
        <v>1151750</v>
      </c>
      <c r="F182" s="823">
        <f>SUM(F183,F191,F192,F193,F208,F209)</f>
        <v>1254745</v>
      </c>
      <c r="G182" s="823">
        <f>SUM(G183,G191,G192,G193,G208,G209)</f>
        <v>864025</v>
      </c>
      <c r="H182" s="823">
        <f>SUM(H183,H191,H192,H193,H208,H209)</f>
        <v>1215320</v>
      </c>
      <c r="I182" s="828">
        <f t="shared" si="8"/>
        <v>1.0551942695897547</v>
      </c>
      <c r="J182" s="823">
        <f>SUM(J183,J191,J192,J193,J208,J209)</f>
        <v>450000</v>
      </c>
      <c r="K182" s="823">
        <f>SUM(K183,K191,K192,K193,K208,K209)</f>
        <v>1665320</v>
      </c>
      <c r="L182" s="825">
        <f t="shared" si="7"/>
        <v>1.4459040590405905</v>
      </c>
      <c r="M182" s="2481"/>
    </row>
    <row r="183" spans="1:13" ht="15.75" customHeight="1">
      <c r="A183" s="2046"/>
      <c r="B183" s="2457"/>
      <c r="C183" s="642" t="s">
        <v>19</v>
      </c>
      <c r="D183" s="1024"/>
      <c r="E183" s="830">
        <f>SUM(E188+E184)</f>
        <v>1056800</v>
      </c>
      <c r="F183" s="830">
        <f>SUM(F188+F184)</f>
        <v>1156800</v>
      </c>
      <c r="G183" s="830">
        <f>SUM(G188+G184)</f>
        <v>864025</v>
      </c>
      <c r="H183" s="830">
        <f>SUM(H188+H184)</f>
        <v>1215320</v>
      </c>
      <c r="I183" s="828">
        <f t="shared" si="8"/>
        <v>1.1499999999999999</v>
      </c>
      <c r="J183" s="830">
        <f>SUM(J188+J184)</f>
        <v>450000</v>
      </c>
      <c r="K183" s="830">
        <f>SUM(K188+K184)</f>
        <v>1665320</v>
      </c>
      <c r="L183" s="829">
        <f t="shared" si="7"/>
        <v>1.5758137774413323</v>
      </c>
      <c r="M183" s="2481"/>
    </row>
    <row r="184" spans="1:13" ht="15.75" customHeight="1">
      <c r="A184" s="2046"/>
      <c r="B184" s="2457"/>
      <c r="C184" s="2054" t="s">
        <v>20</v>
      </c>
      <c r="D184" s="1024" t="s">
        <v>22</v>
      </c>
      <c r="E184" s="830">
        <f>SUM(E185:E187)</f>
        <v>147300</v>
      </c>
      <c r="F184" s="830">
        <f>SUM(F185:F187)</f>
        <v>232300</v>
      </c>
      <c r="G184" s="830">
        <f>SUM(G185:G187)</f>
        <v>0</v>
      </c>
      <c r="H184" s="830">
        <f>SUM(H185:H187)</f>
        <v>147300</v>
      </c>
      <c r="I184" s="828">
        <f t="shared" si="8"/>
        <v>1</v>
      </c>
      <c r="J184" s="830">
        <f>SUM(J185:J187)</f>
        <v>0</v>
      </c>
      <c r="K184" s="830">
        <f>SUM(K185:K187)</f>
        <v>147300</v>
      </c>
      <c r="L184" s="829">
        <f t="shared" si="7"/>
        <v>1</v>
      </c>
      <c r="M184" s="2481"/>
    </row>
    <row r="185" spans="1:13" ht="15.75" customHeight="1">
      <c r="A185" s="2046"/>
      <c r="B185" s="2457"/>
      <c r="C185" s="2440"/>
      <c r="D185" s="1029">
        <v>4110</v>
      </c>
      <c r="E185" s="836">
        <v>11224</v>
      </c>
      <c r="F185" s="836">
        <v>15136</v>
      </c>
      <c r="G185" s="1033"/>
      <c r="H185" s="836">
        <v>11224</v>
      </c>
      <c r="I185" s="837">
        <f t="shared" si="8"/>
        <v>1</v>
      </c>
      <c r="J185" s="830"/>
      <c r="K185" s="830">
        <f>H185+J185</f>
        <v>11224</v>
      </c>
      <c r="L185" s="838">
        <f t="shared" si="7"/>
        <v>1</v>
      </c>
      <c r="M185" s="2481"/>
    </row>
    <row r="186" spans="1:13" ht="15.75" customHeight="1">
      <c r="A186" s="2046"/>
      <c r="B186" s="2457"/>
      <c r="C186" s="2440"/>
      <c r="D186" s="1029">
        <v>4120</v>
      </c>
      <c r="E186" s="836">
        <v>1149</v>
      </c>
      <c r="F186" s="836">
        <v>1227</v>
      </c>
      <c r="G186" s="1033"/>
      <c r="H186" s="836">
        <v>1149</v>
      </c>
      <c r="I186" s="837">
        <f t="shared" si="8"/>
        <v>1</v>
      </c>
      <c r="J186" s="830"/>
      <c r="K186" s="830">
        <f>H186+J186</f>
        <v>1149</v>
      </c>
      <c r="L186" s="838">
        <f t="shared" si="7"/>
        <v>1</v>
      </c>
      <c r="M186" s="2481"/>
    </row>
    <row r="187" spans="1:13" ht="15.75" customHeight="1">
      <c r="A187" s="2046"/>
      <c r="B187" s="2457"/>
      <c r="C187" s="2056"/>
      <c r="D187" s="1029">
        <v>4170</v>
      </c>
      <c r="E187" s="836">
        <v>134927</v>
      </c>
      <c r="F187" s="836">
        <v>215937</v>
      </c>
      <c r="G187" s="1033"/>
      <c r="H187" s="836">
        <v>134927</v>
      </c>
      <c r="I187" s="837">
        <f t="shared" si="8"/>
        <v>1</v>
      </c>
      <c r="J187" s="830"/>
      <c r="K187" s="830">
        <f>H187+J187</f>
        <v>134927</v>
      </c>
      <c r="L187" s="838">
        <f t="shared" si="7"/>
        <v>1</v>
      </c>
      <c r="M187" s="2481"/>
    </row>
    <row r="188" spans="1:13" ht="15.75" customHeight="1">
      <c r="A188" s="2046"/>
      <c r="B188" s="2457"/>
      <c r="C188" s="2175" t="s">
        <v>21</v>
      </c>
      <c r="D188" s="1024" t="s">
        <v>22</v>
      </c>
      <c r="E188" s="830">
        <f>SUM(E189:E190)</f>
        <v>909500</v>
      </c>
      <c r="F188" s="830">
        <f>SUM(F189:F190)</f>
        <v>924500</v>
      </c>
      <c r="G188" s="830">
        <f>E188*0.95</f>
        <v>864025</v>
      </c>
      <c r="H188" s="830">
        <f>SUM(H189:H190)</f>
        <v>1068020</v>
      </c>
      <c r="I188" s="828">
        <f t="shared" si="8"/>
        <v>1.1742935678944475</v>
      </c>
      <c r="J188" s="830">
        <f>SUM(J189:J190)</f>
        <v>450000</v>
      </c>
      <c r="K188" s="830">
        <f>SUM(K189:K190)</f>
        <v>1518020</v>
      </c>
      <c r="L188" s="829">
        <f t="shared" si="7"/>
        <v>1.6690709180868608</v>
      </c>
      <c r="M188" s="2481"/>
    </row>
    <row r="189" spans="1:13" ht="15.75" customHeight="1">
      <c r="A189" s="2046"/>
      <c r="B189" s="2457"/>
      <c r="C189" s="2436"/>
      <c r="D189" s="1032">
        <v>4210</v>
      </c>
      <c r="E189" s="836">
        <v>7000</v>
      </c>
      <c r="F189" s="836">
        <v>13500</v>
      </c>
      <c r="G189" s="836"/>
      <c r="H189" s="836">
        <v>8050</v>
      </c>
      <c r="I189" s="837">
        <f t="shared" si="8"/>
        <v>1.1499999999999999</v>
      </c>
      <c r="J189" s="836"/>
      <c r="K189" s="836">
        <f>H189+J189</f>
        <v>8050</v>
      </c>
      <c r="L189" s="838">
        <f t="shared" si="7"/>
        <v>1.1499999999999999</v>
      </c>
      <c r="M189" s="2481"/>
    </row>
    <row r="190" spans="1:13" ht="15.75" customHeight="1">
      <c r="A190" s="2046"/>
      <c r="B190" s="2457"/>
      <c r="C190" s="2467"/>
      <c r="D190" s="1032">
        <v>4300</v>
      </c>
      <c r="E190" s="836">
        <v>902500</v>
      </c>
      <c r="F190" s="836">
        <v>911000</v>
      </c>
      <c r="G190" s="836"/>
      <c r="H190" s="836">
        <v>1059970</v>
      </c>
      <c r="I190" s="837">
        <f t="shared" si="8"/>
        <v>1.1744819944598337</v>
      </c>
      <c r="J190" s="836">
        <v>450000</v>
      </c>
      <c r="K190" s="836">
        <f>H190+J190</f>
        <v>1509970</v>
      </c>
      <c r="L190" s="838">
        <f t="shared" si="7"/>
        <v>1.6730969529085873</v>
      </c>
      <c r="M190" s="2481"/>
    </row>
    <row r="191" spans="1:13" ht="15.75" customHeight="1">
      <c r="A191" s="2046"/>
      <c r="B191" s="2457"/>
      <c r="C191" s="642" t="s">
        <v>23</v>
      </c>
      <c r="D191" s="1024"/>
      <c r="E191" s="830"/>
      <c r="F191" s="830"/>
      <c r="G191" s="823"/>
      <c r="H191" s="830"/>
      <c r="I191" s="837"/>
      <c r="J191" s="830"/>
      <c r="K191" s="830"/>
      <c r="L191" s="829"/>
      <c r="M191" s="2481"/>
    </row>
    <row r="192" spans="1:13" ht="15.75" customHeight="1">
      <c r="A192" s="2046"/>
      <c r="B192" s="2457"/>
      <c r="C192" s="642" t="s">
        <v>24</v>
      </c>
      <c r="D192" s="1024"/>
      <c r="E192" s="830"/>
      <c r="F192" s="830"/>
      <c r="G192" s="823"/>
      <c r="H192" s="830"/>
      <c r="I192" s="837"/>
      <c r="J192" s="830"/>
      <c r="K192" s="830"/>
      <c r="L192" s="829"/>
      <c r="M192" s="2481"/>
    </row>
    <row r="193" spans="1:13" ht="15.75" customHeight="1">
      <c r="A193" s="2046"/>
      <c r="B193" s="2457"/>
      <c r="C193" s="2175" t="s">
        <v>54</v>
      </c>
      <c r="D193" s="1024" t="s">
        <v>366</v>
      </c>
      <c r="E193" s="830">
        <f>SUM(E194:E207)</f>
        <v>94950</v>
      </c>
      <c r="F193" s="830">
        <f>SUM(F194:F208)</f>
        <v>97945</v>
      </c>
      <c r="G193" s="830">
        <f>SUM(G194:G207)</f>
        <v>0</v>
      </c>
      <c r="H193" s="830">
        <f>SUM(H194:H207)</f>
        <v>0</v>
      </c>
      <c r="I193" s="837">
        <f t="shared" ref="I193:I207" si="9">H193/E193</f>
        <v>0</v>
      </c>
      <c r="J193" s="830">
        <f>SUM(J194:J207)</f>
        <v>0</v>
      </c>
      <c r="K193" s="830">
        <f>SUM(K194:K207)</f>
        <v>0</v>
      </c>
      <c r="L193" s="829">
        <f t="shared" si="7"/>
        <v>0</v>
      </c>
      <c r="M193" s="2481"/>
    </row>
    <row r="194" spans="1:13" ht="15.75" customHeight="1">
      <c r="A194" s="2046"/>
      <c r="B194" s="2457"/>
      <c r="C194" s="2436"/>
      <c r="D194" s="1029">
        <v>4018</v>
      </c>
      <c r="E194" s="836">
        <v>50150</v>
      </c>
      <c r="F194" s="836">
        <v>52020</v>
      </c>
      <c r="G194" s="1033"/>
      <c r="H194" s="836">
        <v>0</v>
      </c>
      <c r="I194" s="837">
        <f t="shared" si="9"/>
        <v>0</v>
      </c>
      <c r="J194" s="836"/>
      <c r="K194" s="836">
        <f t="shared" ref="K194:K207" si="10">H194+J194</f>
        <v>0</v>
      </c>
      <c r="L194" s="829">
        <f t="shared" si="7"/>
        <v>0</v>
      </c>
      <c r="M194" s="2481"/>
    </row>
    <row r="195" spans="1:13" ht="15.75" customHeight="1">
      <c r="A195" s="2046"/>
      <c r="B195" s="2457"/>
      <c r="C195" s="2436"/>
      <c r="D195" s="1029">
        <v>4019</v>
      </c>
      <c r="E195" s="836">
        <v>8850</v>
      </c>
      <c r="F195" s="836">
        <v>9180</v>
      </c>
      <c r="G195" s="1033"/>
      <c r="H195" s="836">
        <v>0</v>
      </c>
      <c r="I195" s="837">
        <f t="shared" si="9"/>
        <v>0</v>
      </c>
      <c r="J195" s="836"/>
      <c r="K195" s="836">
        <f t="shared" si="10"/>
        <v>0</v>
      </c>
      <c r="L195" s="829">
        <f t="shared" si="7"/>
        <v>0</v>
      </c>
      <c r="M195" s="2481"/>
    </row>
    <row r="196" spans="1:13" ht="15.75" customHeight="1">
      <c r="A196" s="2046"/>
      <c r="B196" s="2457"/>
      <c r="C196" s="2436"/>
      <c r="D196" s="1029">
        <v>4118</v>
      </c>
      <c r="E196" s="836">
        <v>8092</v>
      </c>
      <c r="F196" s="836">
        <v>8549</v>
      </c>
      <c r="G196" s="1033"/>
      <c r="H196" s="836">
        <v>0</v>
      </c>
      <c r="I196" s="837">
        <f t="shared" si="9"/>
        <v>0</v>
      </c>
      <c r="J196" s="836"/>
      <c r="K196" s="836">
        <f t="shared" si="10"/>
        <v>0</v>
      </c>
      <c r="L196" s="829">
        <f t="shared" si="7"/>
        <v>0</v>
      </c>
      <c r="M196" s="2481"/>
    </row>
    <row r="197" spans="1:13" ht="15.75" customHeight="1">
      <c r="A197" s="2046"/>
      <c r="B197" s="2457"/>
      <c r="C197" s="2436"/>
      <c r="D197" s="1029">
        <v>4119</v>
      </c>
      <c r="E197" s="836">
        <v>1428</v>
      </c>
      <c r="F197" s="836">
        <v>1509</v>
      </c>
      <c r="G197" s="1033"/>
      <c r="H197" s="836">
        <v>0</v>
      </c>
      <c r="I197" s="837">
        <f t="shared" si="9"/>
        <v>0</v>
      </c>
      <c r="J197" s="836"/>
      <c r="K197" s="836">
        <f t="shared" si="10"/>
        <v>0</v>
      </c>
      <c r="L197" s="829">
        <f t="shared" si="7"/>
        <v>0</v>
      </c>
      <c r="M197" s="2481"/>
    </row>
    <row r="198" spans="1:13" ht="15.75" customHeight="1">
      <c r="A198" s="2046"/>
      <c r="B198" s="2457"/>
      <c r="C198" s="2436"/>
      <c r="D198" s="1029">
        <v>4128</v>
      </c>
      <c r="E198" s="836">
        <v>1190</v>
      </c>
      <c r="F198" s="836">
        <v>1208</v>
      </c>
      <c r="G198" s="1033"/>
      <c r="H198" s="836">
        <v>0</v>
      </c>
      <c r="I198" s="837">
        <f t="shared" si="9"/>
        <v>0</v>
      </c>
      <c r="J198" s="836"/>
      <c r="K198" s="836">
        <f t="shared" si="10"/>
        <v>0</v>
      </c>
      <c r="L198" s="829">
        <f t="shared" si="7"/>
        <v>0</v>
      </c>
      <c r="M198" s="2481"/>
    </row>
    <row r="199" spans="1:13" ht="15.75" customHeight="1">
      <c r="A199" s="2046"/>
      <c r="B199" s="2457"/>
      <c r="C199" s="2436"/>
      <c r="D199" s="1029">
        <v>4129</v>
      </c>
      <c r="E199" s="836">
        <v>210</v>
      </c>
      <c r="F199" s="836">
        <v>213</v>
      </c>
      <c r="G199" s="1033"/>
      <c r="H199" s="836">
        <v>0</v>
      </c>
      <c r="I199" s="837">
        <f t="shared" si="9"/>
        <v>0</v>
      </c>
      <c r="J199" s="836"/>
      <c r="K199" s="836">
        <f t="shared" si="10"/>
        <v>0</v>
      </c>
      <c r="L199" s="829">
        <f t="shared" si="7"/>
        <v>0</v>
      </c>
      <c r="M199" s="2481"/>
    </row>
    <row r="200" spans="1:13" ht="15.75" customHeight="1">
      <c r="A200" s="2046"/>
      <c r="B200" s="2457"/>
      <c r="C200" s="2436"/>
      <c r="D200" s="1029">
        <v>4178</v>
      </c>
      <c r="E200" s="836">
        <v>11628</v>
      </c>
      <c r="F200" s="836">
        <v>11628</v>
      </c>
      <c r="G200" s="1033"/>
      <c r="H200" s="836">
        <v>0</v>
      </c>
      <c r="I200" s="837">
        <f t="shared" si="9"/>
        <v>0</v>
      </c>
      <c r="J200" s="836"/>
      <c r="K200" s="836">
        <f t="shared" si="10"/>
        <v>0</v>
      </c>
      <c r="L200" s="829">
        <f t="shared" si="7"/>
        <v>0</v>
      </c>
      <c r="M200" s="2481"/>
    </row>
    <row r="201" spans="1:13" ht="15.75" customHeight="1">
      <c r="A201" s="2046"/>
      <c r="B201" s="2457"/>
      <c r="C201" s="2436"/>
      <c r="D201" s="1029">
        <v>4179</v>
      </c>
      <c r="E201" s="836">
        <v>2052</v>
      </c>
      <c r="F201" s="836">
        <v>2052</v>
      </c>
      <c r="G201" s="1033"/>
      <c r="H201" s="836">
        <v>0</v>
      </c>
      <c r="I201" s="837">
        <f t="shared" si="9"/>
        <v>0</v>
      </c>
      <c r="J201" s="836"/>
      <c r="K201" s="836">
        <f t="shared" si="10"/>
        <v>0</v>
      </c>
      <c r="L201" s="829">
        <f t="shared" si="7"/>
        <v>0</v>
      </c>
      <c r="M201" s="2481"/>
    </row>
    <row r="202" spans="1:13" ht="15.75" customHeight="1">
      <c r="A202" s="2046"/>
      <c r="B202" s="2457"/>
      <c r="C202" s="2436"/>
      <c r="D202" s="1029">
        <v>4218</v>
      </c>
      <c r="E202" s="836">
        <v>9066</v>
      </c>
      <c r="F202" s="836">
        <v>9267</v>
      </c>
      <c r="G202" s="1033"/>
      <c r="H202" s="836">
        <v>0</v>
      </c>
      <c r="I202" s="837">
        <f t="shared" si="9"/>
        <v>0</v>
      </c>
      <c r="J202" s="836"/>
      <c r="K202" s="836">
        <f t="shared" si="10"/>
        <v>0</v>
      </c>
      <c r="L202" s="829">
        <f t="shared" si="7"/>
        <v>0</v>
      </c>
      <c r="M202" s="2481"/>
    </row>
    <row r="203" spans="1:13" ht="15.75" customHeight="1">
      <c r="A203" s="2046"/>
      <c r="B203" s="2457"/>
      <c r="C203" s="2436"/>
      <c r="D203" s="1029">
        <v>4219</v>
      </c>
      <c r="E203" s="836">
        <v>1600</v>
      </c>
      <c r="F203" s="836">
        <v>1635</v>
      </c>
      <c r="G203" s="1033"/>
      <c r="H203" s="836">
        <v>0</v>
      </c>
      <c r="I203" s="837">
        <f t="shared" si="9"/>
        <v>0</v>
      </c>
      <c r="J203" s="836"/>
      <c r="K203" s="836">
        <f t="shared" si="10"/>
        <v>0</v>
      </c>
      <c r="L203" s="829">
        <f t="shared" si="7"/>
        <v>0</v>
      </c>
      <c r="M203" s="2481"/>
    </row>
    <row r="204" spans="1:13" ht="13.5" customHeight="1">
      <c r="A204" s="2046"/>
      <c r="B204" s="2457"/>
      <c r="C204" s="2436"/>
      <c r="D204" s="1029">
        <v>4418</v>
      </c>
      <c r="E204" s="836">
        <v>581</v>
      </c>
      <c r="F204" s="836">
        <v>581</v>
      </c>
      <c r="G204" s="1033"/>
      <c r="H204" s="836">
        <v>0</v>
      </c>
      <c r="I204" s="837">
        <f t="shared" si="9"/>
        <v>0</v>
      </c>
      <c r="J204" s="836"/>
      <c r="K204" s="836">
        <f t="shared" si="10"/>
        <v>0</v>
      </c>
      <c r="L204" s="829">
        <f t="shared" si="7"/>
        <v>0</v>
      </c>
      <c r="M204" s="2481"/>
    </row>
    <row r="205" spans="1:13" ht="19.5" customHeight="1">
      <c r="A205" s="2046"/>
      <c r="B205" s="2457"/>
      <c r="C205" s="2436"/>
      <c r="D205" s="1029">
        <v>4419</v>
      </c>
      <c r="E205" s="836">
        <v>103</v>
      </c>
      <c r="F205" s="836">
        <v>103</v>
      </c>
      <c r="G205" s="1033"/>
      <c r="H205" s="836">
        <v>0</v>
      </c>
      <c r="I205" s="837">
        <f t="shared" si="9"/>
        <v>0</v>
      </c>
      <c r="J205" s="836"/>
      <c r="K205" s="836">
        <f t="shared" si="10"/>
        <v>0</v>
      </c>
      <c r="L205" s="829">
        <f t="shared" si="7"/>
        <v>0</v>
      </c>
      <c r="M205" s="2481"/>
    </row>
    <row r="206" spans="1:13" ht="12.75" hidden="1" customHeight="1">
      <c r="A206" s="2046"/>
      <c r="B206" s="2457"/>
      <c r="C206" s="2436"/>
      <c r="D206" s="1032">
        <v>4428</v>
      </c>
      <c r="E206" s="836"/>
      <c r="F206" s="836"/>
      <c r="G206" s="1033"/>
      <c r="H206" s="836"/>
      <c r="I206" s="837" t="e">
        <f t="shared" si="9"/>
        <v>#DIV/0!</v>
      </c>
      <c r="J206" s="836"/>
      <c r="K206" s="836">
        <f t="shared" si="10"/>
        <v>0</v>
      </c>
      <c r="L206" s="829" t="e">
        <f t="shared" si="7"/>
        <v>#DIV/0!</v>
      </c>
      <c r="M206" s="2481"/>
    </row>
    <row r="207" spans="1:13" ht="12.75" hidden="1" customHeight="1">
      <c r="A207" s="2046"/>
      <c r="B207" s="2457"/>
      <c r="C207" s="2467"/>
      <c r="D207" s="1032">
        <v>4429</v>
      </c>
      <c r="E207" s="836"/>
      <c r="F207" s="836"/>
      <c r="G207" s="1033"/>
      <c r="H207" s="836"/>
      <c r="I207" s="837" t="e">
        <f t="shared" si="9"/>
        <v>#DIV/0!</v>
      </c>
      <c r="J207" s="836"/>
      <c r="K207" s="836">
        <f t="shared" si="10"/>
        <v>0</v>
      </c>
      <c r="L207" s="829" t="e">
        <f t="shared" si="7"/>
        <v>#DIV/0!</v>
      </c>
      <c r="M207" s="2481"/>
    </row>
    <row r="208" spans="1:13" ht="26.25" customHeight="1">
      <c r="A208" s="2046"/>
      <c r="B208" s="2457"/>
      <c r="C208" s="642" t="s">
        <v>26</v>
      </c>
      <c r="D208" s="1024"/>
      <c r="E208" s="830"/>
      <c r="F208" s="836"/>
      <c r="G208" s="823"/>
      <c r="H208" s="830"/>
      <c r="I208" s="837"/>
      <c r="J208" s="830"/>
      <c r="K208" s="830"/>
      <c r="L208" s="829"/>
      <c r="M208" s="2481"/>
    </row>
    <row r="209" spans="1:13" ht="28.5" customHeight="1">
      <c r="A209" s="2046"/>
      <c r="B209" s="2457"/>
      <c r="C209" s="642" t="s">
        <v>27</v>
      </c>
      <c r="D209" s="1024"/>
      <c r="E209" s="830"/>
      <c r="F209" s="830"/>
      <c r="G209" s="823"/>
      <c r="H209" s="830"/>
      <c r="I209" s="837"/>
      <c r="J209" s="830"/>
      <c r="K209" s="830"/>
      <c r="L209" s="829"/>
      <c r="M209" s="2481"/>
    </row>
    <row r="210" spans="1:13" ht="36" customHeight="1">
      <c r="A210" s="2046"/>
      <c r="B210" s="2457"/>
      <c r="C210" s="644" t="s">
        <v>28</v>
      </c>
      <c r="D210" s="1030"/>
      <c r="E210" s="823">
        <f>E211</f>
        <v>0</v>
      </c>
      <c r="F210" s="823">
        <f>F211</f>
        <v>89000</v>
      </c>
      <c r="G210" s="823" t="e">
        <f t="shared" ref="G210:H210" si="11">G211</f>
        <v>#REF!</v>
      </c>
      <c r="H210" s="823">
        <f t="shared" si="11"/>
        <v>0</v>
      </c>
      <c r="I210" s="1035"/>
      <c r="J210" s="823">
        <f t="shared" ref="J210:K210" si="12">J211</f>
        <v>0</v>
      </c>
      <c r="K210" s="823">
        <f t="shared" si="12"/>
        <v>0</v>
      </c>
      <c r="L210" s="829"/>
      <c r="M210" s="2481"/>
    </row>
    <row r="211" spans="1:13" ht="36" customHeight="1">
      <c r="A211" s="2046"/>
      <c r="B211" s="2457"/>
      <c r="C211" s="450" t="s">
        <v>29</v>
      </c>
      <c r="D211" s="1024">
        <v>6300</v>
      </c>
      <c r="E211" s="830">
        <v>0</v>
      </c>
      <c r="F211" s="830">
        <v>89000</v>
      </c>
      <c r="G211" s="830" t="e">
        <f>SUM(#REF!)</f>
        <v>#REF!</v>
      </c>
      <c r="H211" s="830">
        <v>0</v>
      </c>
      <c r="I211" s="837"/>
      <c r="J211" s="830"/>
      <c r="K211" s="830">
        <v>0</v>
      </c>
      <c r="L211" s="829"/>
      <c r="M211" s="2481"/>
    </row>
    <row r="212" spans="1:13" ht="37.5" customHeight="1">
      <c r="A212" s="2046"/>
      <c r="B212" s="2457"/>
      <c r="C212" s="451" t="s">
        <v>89</v>
      </c>
      <c r="D212" s="1029"/>
      <c r="E212" s="836"/>
      <c r="F212" s="836"/>
      <c r="G212" s="836" t="e">
        <f>SUM(#REF!)</f>
        <v>#REF!</v>
      </c>
      <c r="H212" s="836">
        <v>0</v>
      </c>
      <c r="I212" s="837"/>
      <c r="J212" s="836"/>
      <c r="K212" s="836"/>
      <c r="L212" s="829"/>
      <c r="M212" s="2481"/>
    </row>
    <row r="213" spans="1:13" ht="35.25" customHeight="1">
      <c r="A213" s="2046"/>
      <c r="B213" s="2457"/>
      <c r="C213" s="642" t="s">
        <v>31</v>
      </c>
      <c r="D213" s="1024"/>
      <c r="E213" s="830"/>
      <c r="F213" s="830"/>
      <c r="G213" s="823"/>
      <c r="H213" s="830"/>
      <c r="I213" s="824"/>
      <c r="J213" s="830"/>
      <c r="K213" s="830"/>
      <c r="L213" s="829"/>
      <c r="M213" s="2481"/>
    </row>
    <row r="214" spans="1:13" ht="30" customHeight="1" thickBot="1">
      <c r="A214" s="2047"/>
      <c r="B214" s="2086"/>
      <c r="C214" s="1039" t="s">
        <v>32</v>
      </c>
      <c r="D214" s="1040"/>
      <c r="E214" s="888"/>
      <c r="F214" s="888"/>
      <c r="G214" s="888"/>
      <c r="H214" s="888"/>
      <c r="I214" s="887"/>
      <c r="J214" s="888"/>
      <c r="K214" s="888"/>
      <c r="L214" s="1041"/>
      <c r="M214" s="2482"/>
    </row>
    <row r="215" spans="1:13" s="1044" customFormat="1" ht="22.15" customHeight="1" thickBot="1">
      <c r="A215" s="2473" t="s">
        <v>33</v>
      </c>
      <c r="B215" s="2475"/>
      <c r="C215" s="2475"/>
      <c r="D215" s="1042"/>
      <c r="E215" s="896">
        <f>SUM(E21+E5)</f>
        <v>93544461</v>
      </c>
      <c r="F215" s="896">
        <f>SUM(F21+F5)</f>
        <v>108518644</v>
      </c>
      <c r="G215" s="896" t="e">
        <f>SUM(G21+G5)</f>
        <v>#REF!</v>
      </c>
      <c r="H215" s="896">
        <f>SUM(H21+H5)</f>
        <v>99919707</v>
      </c>
      <c r="I215" s="897">
        <f>H215/F215</f>
        <v>0.92076074043092537</v>
      </c>
      <c r="J215" s="896">
        <f>SUM(J21+J5)</f>
        <v>9545536</v>
      </c>
      <c r="K215" s="896">
        <f>SUM(K21+K5)</f>
        <v>109465243</v>
      </c>
      <c r="L215" s="898">
        <f>K215/E215</f>
        <v>1.1701948124967014</v>
      </c>
      <c r="M215" s="1043"/>
    </row>
    <row r="216" spans="1:13" ht="3" customHeight="1">
      <c r="A216" s="2476"/>
      <c r="B216" s="2476"/>
      <c r="C216" s="2476"/>
      <c r="D216" s="2476"/>
      <c r="E216" s="2476"/>
      <c r="F216" s="2476"/>
      <c r="G216" s="2476"/>
      <c r="H216" s="2476"/>
      <c r="I216" s="2476"/>
      <c r="J216" s="2476"/>
      <c r="K216" s="2476"/>
      <c r="L216" s="2476"/>
      <c r="M216" s="2476"/>
    </row>
    <row r="217" spans="1:13" ht="1.5" customHeight="1">
      <c r="A217" s="2477" t="s">
        <v>349</v>
      </c>
      <c r="B217" s="2478"/>
      <c r="C217" s="2478"/>
      <c r="D217" s="1045"/>
      <c r="E217" s="1046"/>
      <c r="F217" s="1046"/>
      <c r="G217" s="1046"/>
      <c r="H217" s="1047"/>
      <c r="I217" s="1048"/>
      <c r="J217" s="1047"/>
      <c r="K217" s="1049"/>
      <c r="L217" s="1049"/>
      <c r="M217" s="1050"/>
    </row>
    <row r="218" spans="1:13">
      <c r="I218" s="1056"/>
    </row>
    <row r="220" spans="1:13">
      <c r="H220" s="645"/>
    </row>
    <row r="221" spans="1:13">
      <c r="H221" s="645"/>
    </row>
    <row r="222" spans="1:13">
      <c r="K222" s="645"/>
    </row>
  </sheetData>
  <mergeCells count="55">
    <mergeCell ref="A1:M1"/>
    <mergeCell ref="B3:C3"/>
    <mergeCell ref="B4:C4"/>
    <mergeCell ref="M5:M20"/>
    <mergeCell ref="A6:A20"/>
    <mergeCell ref="B6:B20"/>
    <mergeCell ref="A22:A38"/>
    <mergeCell ref="B22:B38"/>
    <mergeCell ref="M22:M38"/>
    <mergeCell ref="C28:C30"/>
    <mergeCell ref="A39:A72"/>
    <mergeCell ref="B39:B55"/>
    <mergeCell ref="M39:M55"/>
    <mergeCell ref="C44:C46"/>
    <mergeCell ref="B56:B72"/>
    <mergeCell ref="M56:M72"/>
    <mergeCell ref="C61:C63"/>
    <mergeCell ref="A73:A88"/>
    <mergeCell ref="B73:B93"/>
    <mergeCell ref="M73:M93"/>
    <mergeCell ref="C78:C80"/>
    <mergeCell ref="C86:C88"/>
    <mergeCell ref="A89:A127"/>
    <mergeCell ref="C89:C91"/>
    <mergeCell ref="B94:B110"/>
    <mergeCell ref="M94:M110"/>
    <mergeCell ref="C99:C101"/>
    <mergeCell ref="B111:B127"/>
    <mergeCell ref="M111:M127"/>
    <mergeCell ref="C116:C118"/>
    <mergeCell ref="A150:A158"/>
    <mergeCell ref="M150:M154"/>
    <mergeCell ref="C151:C154"/>
    <mergeCell ref="M155:M158"/>
    <mergeCell ref="A128:A149"/>
    <mergeCell ref="B128:B145"/>
    <mergeCell ref="M128:M145"/>
    <mergeCell ref="C133:C136"/>
    <mergeCell ref="M146:M149"/>
    <mergeCell ref="A215:C215"/>
    <mergeCell ref="A216:M216"/>
    <mergeCell ref="A217:C217"/>
    <mergeCell ref="B146:B153"/>
    <mergeCell ref="B154:B163"/>
    <mergeCell ref="C169:C171"/>
    <mergeCell ref="A181:A214"/>
    <mergeCell ref="B181:B214"/>
    <mergeCell ref="M181:M214"/>
    <mergeCell ref="C184:C187"/>
    <mergeCell ref="C188:C190"/>
    <mergeCell ref="C193:C207"/>
    <mergeCell ref="A159:A180"/>
    <mergeCell ref="M159:M163"/>
    <mergeCell ref="B164:B180"/>
    <mergeCell ref="M164:M180"/>
  </mergeCells>
  <printOptions horizontalCentered="1"/>
  <pageMargins left="0" right="0" top="0.59055118110236227" bottom="0.31496062992125984" header="0.15748031496062992" footer="0.23622047244094491"/>
  <pageSetup paperSize="9" scale="73" fitToHeight="0" orientation="landscape" horizontalDpi="4294967295" verticalDpi="4294967295" r:id="rId1"/>
  <headerFooter alignWithMargins="0"/>
  <rowBreaks count="4" manualBreakCount="4">
    <brk id="110" max="12" man="1"/>
    <brk id="145" max="12" man="1"/>
    <brk id="153" max="12" man="1"/>
    <brk id="163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FFFF"/>
  </sheetPr>
  <dimension ref="A1:N368"/>
  <sheetViews>
    <sheetView view="pageBreakPreview" topLeftCell="A20" zoomScale="85" zoomScaleNormal="80" zoomScaleSheetLayoutView="85" workbookViewId="0">
      <selection activeCell="R114" sqref="R114"/>
    </sheetView>
  </sheetViews>
  <sheetFormatPr defaultColWidth="11.140625" defaultRowHeight="15" outlineLevelCol="1"/>
  <cols>
    <col min="1" max="1" width="4.85546875" style="178" customWidth="1"/>
    <col min="2" max="2" width="5.42578125" style="178" customWidth="1"/>
    <col min="3" max="3" width="41" style="178" customWidth="1"/>
    <col min="4" max="4" width="6.7109375" style="179" customWidth="1"/>
    <col min="5" max="5" width="11.85546875" style="179" customWidth="1"/>
    <col min="6" max="6" width="12" style="431" customWidth="1"/>
    <col min="7" max="7" width="9.5703125" style="179" hidden="1" customWidth="1" outlineLevel="1"/>
    <col min="8" max="8" width="19.28515625" style="179" hidden="1" customWidth="1" collapsed="1"/>
    <col min="9" max="9" width="8" style="791" hidden="1" customWidth="1"/>
    <col min="10" max="10" width="27" style="179" hidden="1" customWidth="1"/>
    <col min="11" max="11" width="12.28515625" style="179" customWidth="1"/>
    <col min="12" max="12" width="12.28515625" style="1104" hidden="1" customWidth="1"/>
    <col min="13" max="13" width="97.7109375" style="1105" customWidth="1"/>
    <col min="14" max="14" width="0.28515625" style="178" customWidth="1"/>
    <col min="15" max="237" width="10.28515625" style="178" customWidth="1"/>
    <col min="238" max="238" width="4.28515625" style="178" bestFit="1" customWidth="1"/>
    <col min="239" max="239" width="6.85546875" style="178" bestFit="1" customWidth="1"/>
    <col min="240" max="240" width="11" style="178" customWidth="1"/>
    <col min="241" max="241" width="11.140625" style="178" bestFit="1" customWidth="1"/>
    <col min="242" max="242" width="10.85546875" style="178" customWidth="1"/>
    <col min="243" max="243" width="11.5703125" style="178" customWidth="1"/>
    <col min="244" max="244" width="11.140625" style="178" bestFit="1" customWidth="1"/>
    <col min="245" max="245" width="11" style="178" customWidth="1"/>
    <col min="246" max="246" width="10.42578125" style="178" customWidth="1"/>
    <col min="247" max="247" width="11.28515625" style="178" customWidth="1"/>
    <col min="248" max="249" width="9.140625" style="178" bestFit="1" customWidth="1"/>
    <col min="250" max="250" width="11.140625" style="178"/>
    <col min="251" max="251" width="4.85546875" style="178" customWidth="1"/>
    <col min="252" max="252" width="5.42578125" style="178" customWidth="1"/>
    <col min="253" max="253" width="41.85546875" style="178" customWidth="1"/>
    <col min="254" max="256" width="12.140625" style="178" customWidth="1"/>
    <col min="257" max="257" width="7.28515625" style="178" customWidth="1"/>
    <col min="258" max="259" width="12.140625" style="178" customWidth="1"/>
    <col min="260" max="260" width="67" style="178" customWidth="1"/>
    <col min="261" max="493" width="10.28515625" style="178" customWidth="1"/>
    <col min="494" max="494" width="4.28515625" style="178" bestFit="1" customWidth="1"/>
    <col min="495" max="495" width="6.85546875" style="178" bestFit="1" customWidth="1"/>
    <col min="496" max="496" width="11" style="178" customWidth="1"/>
    <col min="497" max="497" width="11.140625" style="178" bestFit="1" customWidth="1"/>
    <col min="498" max="498" width="10.85546875" style="178" customWidth="1"/>
    <col min="499" max="499" width="11.5703125" style="178" customWidth="1"/>
    <col min="500" max="500" width="11.140625" style="178" bestFit="1" customWidth="1"/>
    <col min="501" max="501" width="11" style="178" customWidth="1"/>
    <col min="502" max="502" width="10.42578125" style="178" customWidth="1"/>
    <col min="503" max="503" width="11.28515625" style="178" customWidth="1"/>
    <col min="504" max="505" width="9.140625" style="178" bestFit="1" customWidth="1"/>
    <col min="506" max="506" width="11.140625" style="178"/>
    <col min="507" max="507" width="4.85546875" style="178" customWidth="1"/>
    <col min="508" max="508" width="5.42578125" style="178" customWidth="1"/>
    <col min="509" max="509" width="41.85546875" style="178" customWidth="1"/>
    <col min="510" max="512" width="12.140625" style="178" customWidth="1"/>
    <col min="513" max="513" width="7.28515625" style="178" customWidth="1"/>
    <col min="514" max="515" width="12.140625" style="178" customWidth="1"/>
    <col min="516" max="516" width="67" style="178" customWidth="1"/>
    <col min="517" max="749" width="10.28515625" style="178" customWidth="1"/>
    <col min="750" max="750" width="4.28515625" style="178" bestFit="1" customWidth="1"/>
    <col min="751" max="751" width="6.85546875" style="178" bestFit="1" customWidth="1"/>
    <col min="752" max="752" width="11" style="178" customWidth="1"/>
    <col min="753" max="753" width="11.140625" style="178" bestFit="1" customWidth="1"/>
    <col min="754" max="754" width="10.85546875" style="178" customWidth="1"/>
    <col min="755" max="755" width="11.5703125" style="178" customWidth="1"/>
    <col min="756" max="756" width="11.140625" style="178" bestFit="1" customWidth="1"/>
    <col min="757" max="757" width="11" style="178" customWidth="1"/>
    <col min="758" max="758" width="10.42578125" style="178" customWidth="1"/>
    <col min="759" max="759" width="11.28515625" style="178" customWidth="1"/>
    <col min="760" max="761" width="9.140625" style="178" bestFit="1" customWidth="1"/>
    <col min="762" max="762" width="11.140625" style="178"/>
    <col min="763" max="763" width="4.85546875" style="178" customWidth="1"/>
    <col min="764" max="764" width="5.42578125" style="178" customWidth="1"/>
    <col min="765" max="765" width="41.85546875" style="178" customWidth="1"/>
    <col min="766" max="768" width="12.140625" style="178" customWidth="1"/>
    <col min="769" max="769" width="7.28515625" style="178" customWidth="1"/>
    <col min="770" max="771" width="12.140625" style="178" customWidth="1"/>
    <col min="772" max="772" width="67" style="178" customWidth="1"/>
    <col min="773" max="1005" width="10.28515625" style="178" customWidth="1"/>
    <col min="1006" max="1006" width="4.28515625" style="178" bestFit="1" customWidth="1"/>
    <col min="1007" max="1007" width="6.85546875" style="178" bestFit="1" customWidth="1"/>
    <col min="1008" max="1008" width="11" style="178" customWidth="1"/>
    <col min="1009" max="1009" width="11.140625" style="178" bestFit="1" customWidth="1"/>
    <col min="1010" max="1010" width="10.85546875" style="178" customWidth="1"/>
    <col min="1011" max="1011" width="11.5703125" style="178" customWidth="1"/>
    <col min="1012" max="1012" width="11.140625" style="178" bestFit="1" customWidth="1"/>
    <col min="1013" max="1013" width="11" style="178" customWidth="1"/>
    <col min="1014" max="1014" width="10.42578125" style="178" customWidth="1"/>
    <col min="1015" max="1015" width="11.28515625" style="178" customWidth="1"/>
    <col min="1016" max="1017" width="9.140625" style="178" bestFit="1" customWidth="1"/>
    <col min="1018" max="1018" width="11.140625" style="178"/>
    <col min="1019" max="1019" width="4.85546875" style="178" customWidth="1"/>
    <col min="1020" max="1020" width="5.42578125" style="178" customWidth="1"/>
    <col min="1021" max="1021" width="41.85546875" style="178" customWidth="1"/>
    <col min="1022" max="1024" width="12.140625" style="178" customWidth="1"/>
    <col min="1025" max="1025" width="7.28515625" style="178" customWidth="1"/>
    <col min="1026" max="1027" width="12.140625" style="178" customWidth="1"/>
    <col min="1028" max="1028" width="67" style="178" customWidth="1"/>
    <col min="1029" max="1261" width="10.28515625" style="178" customWidth="1"/>
    <col min="1262" max="1262" width="4.28515625" style="178" bestFit="1" customWidth="1"/>
    <col min="1263" max="1263" width="6.85546875" style="178" bestFit="1" customWidth="1"/>
    <col min="1264" max="1264" width="11" style="178" customWidth="1"/>
    <col min="1265" max="1265" width="11.140625" style="178" bestFit="1" customWidth="1"/>
    <col min="1266" max="1266" width="10.85546875" style="178" customWidth="1"/>
    <col min="1267" max="1267" width="11.5703125" style="178" customWidth="1"/>
    <col min="1268" max="1268" width="11.140625" style="178" bestFit="1" customWidth="1"/>
    <col min="1269" max="1269" width="11" style="178" customWidth="1"/>
    <col min="1270" max="1270" width="10.42578125" style="178" customWidth="1"/>
    <col min="1271" max="1271" width="11.28515625" style="178" customWidth="1"/>
    <col min="1272" max="1273" width="9.140625" style="178" bestFit="1" customWidth="1"/>
    <col min="1274" max="1274" width="11.140625" style="178"/>
    <col min="1275" max="1275" width="4.85546875" style="178" customWidth="1"/>
    <col min="1276" max="1276" width="5.42578125" style="178" customWidth="1"/>
    <col min="1277" max="1277" width="41.85546875" style="178" customWidth="1"/>
    <col min="1278" max="1280" width="12.140625" style="178" customWidth="1"/>
    <col min="1281" max="1281" width="7.28515625" style="178" customWidth="1"/>
    <col min="1282" max="1283" width="12.140625" style="178" customWidth="1"/>
    <col min="1284" max="1284" width="67" style="178" customWidth="1"/>
    <col min="1285" max="1517" width="10.28515625" style="178" customWidth="1"/>
    <col min="1518" max="1518" width="4.28515625" style="178" bestFit="1" customWidth="1"/>
    <col min="1519" max="1519" width="6.85546875" style="178" bestFit="1" customWidth="1"/>
    <col min="1520" max="1520" width="11" style="178" customWidth="1"/>
    <col min="1521" max="1521" width="11.140625" style="178" bestFit="1" customWidth="1"/>
    <col min="1522" max="1522" width="10.85546875" style="178" customWidth="1"/>
    <col min="1523" max="1523" width="11.5703125" style="178" customWidth="1"/>
    <col min="1524" max="1524" width="11.140625" style="178" bestFit="1" customWidth="1"/>
    <col min="1525" max="1525" width="11" style="178" customWidth="1"/>
    <col min="1526" max="1526" width="10.42578125" style="178" customWidth="1"/>
    <col min="1527" max="1527" width="11.28515625" style="178" customWidth="1"/>
    <col min="1528" max="1529" width="9.140625" style="178" bestFit="1" customWidth="1"/>
    <col min="1530" max="1530" width="11.140625" style="178"/>
    <col min="1531" max="1531" width="4.85546875" style="178" customWidth="1"/>
    <col min="1532" max="1532" width="5.42578125" style="178" customWidth="1"/>
    <col min="1533" max="1533" width="41.85546875" style="178" customWidth="1"/>
    <col min="1534" max="1536" width="12.140625" style="178" customWidth="1"/>
    <col min="1537" max="1537" width="7.28515625" style="178" customWidth="1"/>
    <col min="1538" max="1539" width="12.140625" style="178" customWidth="1"/>
    <col min="1540" max="1540" width="67" style="178" customWidth="1"/>
    <col min="1541" max="1773" width="10.28515625" style="178" customWidth="1"/>
    <col min="1774" max="1774" width="4.28515625" style="178" bestFit="1" customWidth="1"/>
    <col min="1775" max="1775" width="6.85546875" style="178" bestFit="1" customWidth="1"/>
    <col min="1776" max="1776" width="11" style="178" customWidth="1"/>
    <col min="1777" max="1777" width="11.140625" style="178" bestFit="1" customWidth="1"/>
    <col min="1778" max="1778" width="10.85546875" style="178" customWidth="1"/>
    <col min="1779" max="1779" width="11.5703125" style="178" customWidth="1"/>
    <col min="1780" max="1780" width="11.140625" style="178" bestFit="1" customWidth="1"/>
    <col min="1781" max="1781" width="11" style="178" customWidth="1"/>
    <col min="1782" max="1782" width="10.42578125" style="178" customWidth="1"/>
    <col min="1783" max="1783" width="11.28515625" style="178" customWidth="1"/>
    <col min="1784" max="1785" width="9.140625" style="178" bestFit="1" customWidth="1"/>
    <col min="1786" max="1786" width="11.140625" style="178"/>
    <col min="1787" max="1787" width="4.85546875" style="178" customWidth="1"/>
    <col min="1788" max="1788" width="5.42578125" style="178" customWidth="1"/>
    <col min="1789" max="1789" width="41.85546875" style="178" customWidth="1"/>
    <col min="1790" max="1792" width="12.140625" style="178" customWidth="1"/>
    <col min="1793" max="1793" width="7.28515625" style="178" customWidth="1"/>
    <col min="1794" max="1795" width="12.140625" style="178" customWidth="1"/>
    <col min="1796" max="1796" width="67" style="178" customWidth="1"/>
    <col min="1797" max="2029" width="10.28515625" style="178" customWidth="1"/>
    <col min="2030" max="2030" width="4.28515625" style="178" bestFit="1" customWidth="1"/>
    <col min="2031" max="2031" width="6.85546875" style="178" bestFit="1" customWidth="1"/>
    <col min="2032" max="2032" width="11" style="178" customWidth="1"/>
    <col min="2033" max="2033" width="11.140625" style="178" bestFit="1" customWidth="1"/>
    <col min="2034" max="2034" width="10.85546875" style="178" customWidth="1"/>
    <col min="2035" max="2035" width="11.5703125" style="178" customWidth="1"/>
    <col min="2036" max="2036" width="11.140625" style="178" bestFit="1" customWidth="1"/>
    <col min="2037" max="2037" width="11" style="178" customWidth="1"/>
    <col min="2038" max="2038" width="10.42578125" style="178" customWidth="1"/>
    <col min="2039" max="2039" width="11.28515625" style="178" customWidth="1"/>
    <col min="2040" max="2041" width="9.140625" style="178" bestFit="1" customWidth="1"/>
    <col min="2042" max="2042" width="11.140625" style="178"/>
    <col min="2043" max="2043" width="4.85546875" style="178" customWidth="1"/>
    <col min="2044" max="2044" width="5.42578125" style="178" customWidth="1"/>
    <col min="2045" max="2045" width="41.85546875" style="178" customWidth="1"/>
    <col min="2046" max="2048" width="12.140625" style="178" customWidth="1"/>
    <col min="2049" max="2049" width="7.28515625" style="178" customWidth="1"/>
    <col min="2050" max="2051" width="12.140625" style="178" customWidth="1"/>
    <col min="2052" max="2052" width="67" style="178" customWidth="1"/>
    <col min="2053" max="2285" width="10.28515625" style="178" customWidth="1"/>
    <col min="2286" max="2286" width="4.28515625" style="178" bestFit="1" customWidth="1"/>
    <col min="2287" max="2287" width="6.85546875" style="178" bestFit="1" customWidth="1"/>
    <col min="2288" max="2288" width="11" style="178" customWidth="1"/>
    <col min="2289" max="2289" width="11.140625" style="178" bestFit="1" customWidth="1"/>
    <col min="2290" max="2290" width="10.85546875" style="178" customWidth="1"/>
    <col min="2291" max="2291" width="11.5703125" style="178" customWidth="1"/>
    <col min="2292" max="2292" width="11.140625" style="178" bestFit="1" customWidth="1"/>
    <col min="2293" max="2293" width="11" style="178" customWidth="1"/>
    <col min="2294" max="2294" width="10.42578125" style="178" customWidth="1"/>
    <col min="2295" max="2295" width="11.28515625" style="178" customWidth="1"/>
    <col min="2296" max="2297" width="9.140625" style="178" bestFit="1" customWidth="1"/>
    <col min="2298" max="2298" width="11.140625" style="178"/>
    <col min="2299" max="2299" width="4.85546875" style="178" customWidth="1"/>
    <col min="2300" max="2300" width="5.42578125" style="178" customWidth="1"/>
    <col min="2301" max="2301" width="41.85546875" style="178" customWidth="1"/>
    <col min="2302" max="2304" width="12.140625" style="178" customWidth="1"/>
    <col min="2305" max="2305" width="7.28515625" style="178" customWidth="1"/>
    <col min="2306" max="2307" width="12.140625" style="178" customWidth="1"/>
    <col min="2308" max="2308" width="67" style="178" customWidth="1"/>
    <col min="2309" max="2541" width="10.28515625" style="178" customWidth="1"/>
    <col min="2542" max="2542" width="4.28515625" style="178" bestFit="1" customWidth="1"/>
    <col min="2543" max="2543" width="6.85546875" style="178" bestFit="1" customWidth="1"/>
    <col min="2544" max="2544" width="11" style="178" customWidth="1"/>
    <col min="2545" max="2545" width="11.140625" style="178" bestFit="1" customWidth="1"/>
    <col min="2546" max="2546" width="10.85546875" style="178" customWidth="1"/>
    <col min="2547" max="2547" width="11.5703125" style="178" customWidth="1"/>
    <col min="2548" max="2548" width="11.140625" style="178" bestFit="1" customWidth="1"/>
    <col min="2549" max="2549" width="11" style="178" customWidth="1"/>
    <col min="2550" max="2550" width="10.42578125" style="178" customWidth="1"/>
    <col min="2551" max="2551" width="11.28515625" style="178" customWidth="1"/>
    <col min="2552" max="2553" width="9.140625" style="178" bestFit="1" customWidth="1"/>
    <col min="2554" max="2554" width="11.140625" style="178"/>
    <col min="2555" max="2555" width="4.85546875" style="178" customWidth="1"/>
    <col min="2556" max="2556" width="5.42578125" style="178" customWidth="1"/>
    <col min="2557" max="2557" width="41.85546875" style="178" customWidth="1"/>
    <col min="2558" max="2560" width="12.140625" style="178" customWidth="1"/>
    <col min="2561" max="2561" width="7.28515625" style="178" customWidth="1"/>
    <col min="2562" max="2563" width="12.140625" style="178" customWidth="1"/>
    <col min="2564" max="2564" width="67" style="178" customWidth="1"/>
    <col min="2565" max="2797" width="10.28515625" style="178" customWidth="1"/>
    <col min="2798" max="2798" width="4.28515625" style="178" bestFit="1" customWidth="1"/>
    <col min="2799" max="2799" width="6.85546875" style="178" bestFit="1" customWidth="1"/>
    <col min="2800" max="2800" width="11" style="178" customWidth="1"/>
    <col min="2801" max="2801" width="11.140625" style="178" bestFit="1" customWidth="1"/>
    <col min="2802" max="2802" width="10.85546875" style="178" customWidth="1"/>
    <col min="2803" max="2803" width="11.5703125" style="178" customWidth="1"/>
    <col min="2804" max="2804" width="11.140625" style="178" bestFit="1" customWidth="1"/>
    <col min="2805" max="2805" width="11" style="178" customWidth="1"/>
    <col min="2806" max="2806" width="10.42578125" style="178" customWidth="1"/>
    <col min="2807" max="2807" width="11.28515625" style="178" customWidth="1"/>
    <col min="2808" max="2809" width="9.140625" style="178" bestFit="1" customWidth="1"/>
    <col min="2810" max="2810" width="11.140625" style="178"/>
    <col min="2811" max="2811" width="4.85546875" style="178" customWidth="1"/>
    <col min="2812" max="2812" width="5.42578125" style="178" customWidth="1"/>
    <col min="2813" max="2813" width="41.85546875" style="178" customWidth="1"/>
    <col min="2814" max="2816" width="12.140625" style="178" customWidth="1"/>
    <col min="2817" max="2817" width="7.28515625" style="178" customWidth="1"/>
    <col min="2818" max="2819" width="12.140625" style="178" customWidth="1"/>
    <col min="2820" max="2820" width="67" style="178" customWidth="1"/>
    <col min="2821" max="3053" width="10.28515625" style="178" customWidth="1"/>
    <col min="3054" max="3054" width="4.28515625" style="178" bestFit="1" customWidth="1"/>
    <col min="3055" max="3055" width="6.85546875" style="178" bestFit="1" customWidth="1"/>
    <col min="3056" max="3056" width="11" style="178" customWidth="1"/>
    <col min="3057" max="3057" width="11.140625" style="178" bestFit="1" customWidth="1"/>
    <col min="3058" max="3058" width="10.85546875" style="178" customWidth="1"/>
    <col min="3059" max="3059" width="11.5703125" style="178" customWidth="1"/>
    <col min="3060" max="3060" width="11.140625" style="178" bestFit="1" customWidth="1"/>
    <col min="3061" max="3061" width="11" style="178" customWidth="1"/>
    <col min="3062" max="3062" width="10.42578125" style="178" customWidth="1"/>
    <col min="3063" max="3063" width="11.28515625" style="178" customWidth="1"/>
    <col min="3064" max="3065" width="9.140625" style="178" bestFit="1" customWidth="1"/>
    <col min="3066" max="3066" width="11.140625" style="178"/>
    <col min="3067" max="3067" width="4.85546875" style="178" customWidth="1"/>
    <col min="3068" max="3068" width="5.42578125" style="178" customWidth="1"/>
    <col min="3069" max="3069" width="41.85546875" style="178" customWidth="1"/>
    <col min="3070" max="3072" width="12.140625" style="178" customWidth="1"/>
    <col min="3073" max="3073" width="7.28515625" style="178" customWidth="1"/>
    <col min="3074" max="3075" width="12.140625" style="178" customWidth="1"/>
    <col min="3076" max="3076" width="67" style="178" customWidth="1"/>
    <col min="3077" max="3309" width="10.28515625" style="178" customWidth="1"/>
    <col min="3310" max="3310" width="4.28515625" style="178" bestFit="1" customWidth="1"/>
    <col min="3311" max="3311" width="6.85546875" style="178" bestFit="1" customWidth="1"/>
    <col min="3312" max="3312" width="11" style="178" customWidth="1"/>
    <col min="3313" max="3313" width="11.140625" style="178" bestFit="1" customWidth="1"/>
    <col min="3314" max="3314" width="10.85546875" style="178" customWidth="1"/>
    <col min="3315" max="3315" width="11.5703125" style="178" customWidth="1"/>
    <col min="3316" max="3316" width="11.140625" style="178" bestFit="1" customWidth="1"/>
    <col min="3317" max="3317" width="11" style="178" customWidth="1"/>
    <col min="3318" max="3318" width="10.42578125" style="178" customWidth="1"/>
    <col min="3319" max="3319" width="11.28515625" style="178" customWidth="1"/>
    <col min="3320" max="3321" width="9.140625" style="178" bestFit="1" customWidth="1"/>
    <col min="3322" max="3322" width="11.140625" style="178"/>
    <col min="3323" max="3323" width="4.85546875" style="178" customWidth="1"/>
    <col min="3324" max="3324" width="5.42578125" style="178" customWidth="1"/>
    <col min="3325" max="3325" width="41.85546875" style="178" customWidth="1"/>
    <col min="3326" max="3328" width="12.140625" style="178" customWidth="1"/>
    <col min="3329" max="3329" width="7.28515625" style="178" customWidth="1"/>
    <col min="3330" max="3331" width="12.140625" style="178" customWidth="1"/>
    <col min="3332" max="3332" width="67" style="178" customWidth="1"/>
    <col min="3333" max="3565" width="10.28515625" style="178" customWidth="1"/>
    <col min="3566" max="3566" width="4.28515625" style="178" bestFit="1" customWidth="1"/>
    <col min="3567" max="3567" width="6.85546875" style="178" bestFit="1" customWidth="1"/>
    <col min="3568" max="3568" width="11" style="178" customWidth="1"/>
    <col min="3569" max="3569" width="11.140625" style="178" bestFit="1" customWidth="1"/>
    <col min="3570" max="3570" width="10.85546875" style="178" customWidth="1"/>
    <col min="3571" max="3571" width="11.5703125" style="178" customWidth="1"/>
    <col min="3572" max="3572" width="11.140625" style="178" bestFit="1" customWidth="1"/>
    <col min="3573" max="3573" width="11" style="178" customWidth="1"/>
    <col min="3574" max="3574" width="10.42578125" style="178" customWidth="1"/>
    <col min="3575" max="3575" width="11.28515625" style="178" customWidth="1"/>
    <col min="3576" max="3577" width="9.140625" style="178" bestFit="1" customWidth="1"/>
    <col min="3578" max="3578" width="11.140625" style="178"/>
    <col min="3579" max="3579" width="4.85546875" style="178" customWidth="1"/>
    <col min="3580" max="3580" width="5.42578125" style="178" customWidth="1"/>
    <col min="3581" max="3581" width="41.85546875" style="178" customWidth="1"/>
    <col min="3582" max="3584" width="12.140625" style="178" customWidth="1"/>
    <col min="3585" max="3585" width="7.28515625" style="178" customWidth="1"/>
    <col min="3586" max="3587" width="12.140625" style="178" customWidth="1"/>
    <col min="3588" max="3588" width="67" style="178" customWidth="1"/>
    <col min="3589" max="3821" width="10.28515625" style="178" customWidth="1"/>
    <col min="3822" max="3822" width="4.28515625" style="178" bestFit="1" customWidth="1"/>
    <col min="3823" max="3823" width="6.85546875" style="178" bestFit="1" customWidth="1"/>
    <col min="3824" max="3824" width="11" style="178" customWidth="1"/>
    <col min="3825" max="3825" width="11.140625" style="178" bestFit="1" customWidth="1"/>
    <col min="3826" max="3826" width="10.85546875" style="178" customWidth="1"/>
    <col min="3827" max="3827" width="11.5703125" style="178" customWidth="1"/>
    <col min="3828" max="3828" width="11.140625" style="178" bestFit="1" customWidth="1"/>
    <col min="3829" max="3829" width="11" style="178" customWidth="1"/>
    <col min="3830" max="3830" width="10.42578125" style="178" customWidth="1"/>
    <col min="3831" max="3831" width="11.28515625" style="178" customWidth="1"/>
    <col min="3832" max="3833" width="9.140625" style="178" bestFit="1" customWidth="1"/>
    <col min="3834" max="3834" width="11.140625" style="178"/>
    <col min="3835" max="3835" width="4.85546875" style="178" customWidth="1"/>
    <col min="3836" max="3836" width="5.42578125" style="178" customWidth="1"/>
    <col min="3837" max="3837" width="41.85546875" style="178" customWidth="1"/>
    <col min="3838" max="3840" width="12.140625" style="178" customWidth="1"/>
    <col min="3841" max="3841" width="7.28515625" style="178" customWidth="1"/>
    <col min="3842" max="3843" width="12.140625" style="178" customWidth="1"/>
    <col min="3844" max="3844" width="67" style="178" customWidth="1"/>
    <col min="3845" max="4077" width="10.28515625" style="178" customWidth="1"/>
    <col min="4078" max="4078" width="4.28515625" style="178" bestFit="1" customWidth="1"/>
    <col min="4079" max="4079" width="6.85546875" style="178" bestFit="1" customWidth="1"/>
    <col min="4080" max="4080" width="11" style="178" customWidth="1"/>
    <col min="4081" max="4081" width="11.140625" style="178" bestFit="1" customWidth="1"/>
    <col min="4082" max="4082" width="10.85546875" style="178" customWidth="1"/>
    <col min="4083" max="4083" width="11.5703125" style="178" customWidth="1"/>
    <col min="4084" max="4084" width="11.140625" style="178" bestFit="1" customWidth="1"/>
    <col min="4085" max="4085" width="11" style="178" customWidth="1"/>
    <col min="4086" max="4086" width="10.42578125" style="178" customWidth="1"/>
    <col min="4087" max="4087" width="11.28515625" style="178" customWidth="1"/>
    <col min="4088" max="4089" width="9.140625" style="178" bestFit="1" customWidth="1"/>
    <col min="4090" max="4090" width="11.140625" style="178"/>
    <col min="4091" max="4091" width="4.85546875" style="178" customWidth="1"/>
    <col min="4092" max="4092" width="5.42578125" style="178" customWidth="1"/>
    <col min="4093" max="4093" width="41.85546875" style="178" customWidth="1"/>
    <col min="4094" max="4096" width="12.140625" style="178" customWidth="1"/>
    <col min="4097" max="4097" width="7.28515625" style="178" customWidth="1"/>
    <col min="4098" max="4099" width="12.140625" style="178" customWidth="1"/>
    <col min="4100" max="4100" width="67" style="178" customWidth="1"/>
    <col min="4101" max="4333" width="10.28515625" style="178" customWidth="1"/>
    <col min="4334" max="4334" width="4.28515625" style="178" bestFit="1" customWidth="1"/>
    <col min="4335" max="4335" width="6.85546875" style="178" bestFit="1" customWidth="1"/>
    <col min="4336" max="4336" width="11" style="178" customWidth="1"/>
    <col min="4337" max="4337" width="11.140625" style="178" bestFit="1" customWidth="1"/>
    <col min="4338" max="4338" width="10.85546875" style="178" customWidth="1"/>
    <col min="4339" max="4339" width="11.5703125" style="178" customWidth="1"/>
    <col min="4340" max="4340" width="11.140625" style="178" bestFit="1" customWidth="1"/>
    <col min="4341" max="4341" width="11" style="178" customWidth="1"/>
    <col min="4342" max="4342" width="10.42578125" style="178" customWidth="1"/>
    <col min="4343" max="4343" width="11.28515625" style="178" customWidth="1"/>
    <col min="4344" max="4345" width="9.140625" style="178" bestFit="1" customWidth="1"/>
    <col min="4346" max="4346" width="11.140625" style="178"/>
    <col min="4347" max="4347" width="4.85546875" style="178" customWidth="1"/>
    <col min="4348" max="4348" width="5.42578125" style="178" customWidth="1"/>
    <col min="4349" max="4349" width="41.85546875" style="178" customWidth="1"/>
    <col min="4350" max="4352" width="12.140625" style="178" customWidth="1"/>
    <col min="4353" max="4353" width="7.28515625" style="178" customWidth="1"/>
    <col min="4354" max="4355" width="12.140625" style="178" customWidth="1"/>
    <col min="4356" max="4356" width="67" style="178" customWidth="1"/>
    <col min="4357" max="4589" width="10.28515625" style="178" customWidth="1"/>
    <col min="4590" max="4590" width="4.28515625" style="178" bestFit="1" customWidth="1"/>
    <col min="4591" max="4591" width="6.85546875" style="178" bestFit="1" customWidth="1"/>
    <col min="4592" max="4592" width="11" style="178" customWidth="1"/>
    <col min="4593" max="4593" width="11.140625" style="178" bestFit="1" customWidth="1"/>
    <col min="4594" max="4594" width="10.85546875" style="178" customWidth="1"/>
    <col min="4595" max="4595" width="11.5703125" style="178" customWidth="1"/>
    <col min="4596" max="4596" width="11.140625" style="178" bestFit="1" customWidth="1"/>
    <col min="4597" max="4597" width="11" style="178" customWidth="1"/>
    <col min="4598" max="4598" width="10.42578125" style="178" customWidth="1"/>
    <col min="4599" max="4599" width="11.28515625" style="178" customWidth="1"/>
    <col min="4600" max="4601" width="9.140625" style="178" bestFit="1" customWidth="1"/>
    <col min="4602" max="4602" width="11.140625" style="178"/>
    <col min="4603" max="4603" width="4.85546875" style="178" customWidth="1"/>
    <col min="4604" max="4604" width="5.42578125" style="178" customWidth="1"/>
    <col min="4605" max="4605" width="41.85546875" style="178" customWidth="1"/>
    <col min="4606" max="4608" width="12.140625" style="178" customWidth="1"/>
    <col min="4609" max="4609" width="7.28515625" style="178" customWidth="1"/>
    <col min="4610" max="4611" width="12.140625" style="178" customWidth="1"/>
    <col min="4612" max="4612" width="67" style="178" customWidth="1"/>
    <col min="4613" max="4845" width="10.28515625" style="178" customWidth="1"/>
    <col min="4846" max="4846" width="4.28515625" style="178" bestFit="1" customWidth="1"/>
    <col min="4847" max="4847" width="6.85546875" style="178" bestFit="1" customWidth="1"/>
    <col min="4848" max="4848" width="11" style="178" customWidth="1"/>
    <col min="4849" max="4849" width="11.140625" style="178" bestFit="1" customWidth="1"/>
    <col min="4850" max="4850" width="10.85546875" style="178" customWidth="1"/>
    <col min="4851" max="4851" width="11.5703125" style="178" customWidth="1"/>
    <col min="4852" max="4852" width="11.140625" style="178" bestFit="1" customWidth="1"/>
    <col min="4853" max="4853" width="11" style="178" customWidth="1"/>
    <col min="4854" max="4854" width="10.42578125" style="178" customWidth="1"/>
    <col min="4855" max="4855" width="11.28515625" style="178" customWidth="1"/>
    <col min="4856" max="4857" width="9.140625" style="178" bestFit="1" customWidth="1"/>
    <col min="4858" max="4858" width="11.140625" style="178"/>
    <col min="4859" max="4859" width="4.85546875" style="178" customWidth="1"/>
    <col min="4860" max="4860" width="5.42578125" style="178" customWidth="1"/>
    <col min="4861" max="4861" width="41.85546875" style="178" customWidth="1"/>
    <col min="4862" max="4864" width="12.140625" style="178" customWidth="1"/>
    <col min="4865" max="4865" width="7.28515625" style="178" customWidth="1"/>
    <col min="4866" max="4867" width="12.140625" style="178" customWidth="1"/>
    <col min="4868" max="4868" width="67" style="178" customWidth="1"/>
    <col min="4869" max="5101" width="10.28515625" style="178" customWidth="1"/>
    <col min="5102" max="5102" width="4.28515625" style="178" bestFit="1" customWidth="1"/>
    <col min="5103" max="5103" width="6.85546875" style="178" bestFit="1" customWidth="1"/>
    <col min="5104" max="5104" width="11" style="178" customWidth="1"/>
    <col min="5105" max="5105" width="11.140625" style="178" bestFit="1" customWidth="1"/>
    <col min="5106" max="5106" width="10.85546875" style="178" customWidth="1"/>
    <col min="5107" max="5107" width="11.5703125" style="178" customWidth="1"/>
    <col min="5108" max="5108" width="11.140625" style="178" bestFit="1" customWidth="1"/>
    <col min="5109" max="5109" width="11" style="178" customWidth="1"/>
    <col min="5110" max="5110" width="10.42578125" style="178" customWidth="1"/>
    <col min="5111" max="5111" width="11.28515625" style="178" customWidth="1"/>
    <col min="5112" max="5113" width="9.140625" style="178" bestFit="1" customWidth="1"/>
    <col min="5114" max="5114" width="11.140625" style="178"/>
    <col min="5115" max="5115" width="4.85546875" style="178" customWidth="1"/>
    <col min="5116" max="5116" width="5.42578125" style="178" customWidth="1"/>
    <col min="5117" max="5117" width="41.85546875" style="178" customWidth="1"/>
    <col min="5118" max="5120" width="12.140625" style="178" customWidth="1"/>
    <col min="5121" max="5121" width="7.28515625" style="178" customWidth="1"/>
    <col min="5122" max="5123" width="12.140625" style="178" customWidth="1"/>
    <col min="5124" max="5124" width="67" style="178" customWidth="1"/>
    <col min="5125" max="5357" width="10.28515625" style="178" customWidth="1"/>
    <col min="5358" max="5358" width="4.28515625" style="178" bestFit="1" customWidth="1"/>
    <col min="5359" max="5359" width="6.85546875" style="178" bestFit="1" customWidth="1"/>
    <col min="5360" max="5360" width="11" style="178" customWidth="1"/>
    <col min="5361" max="5361" width="11.140625" style="178" bestFit="1" customWidth="1"/>
    <col min="5362" max="5362" width="10.85546875" style="178" customWidth="1"/>
    <col min="5363" max="5363" width="11.5703125" style="178" customWidth="1"/>
    <col min="5364" max="5364" width="11.140625" style="178" bestFit="1" customWidth="1"/>
    <col min="5365" max="5365" width="11" style="178" customWidth="1"/>
    <col min="5366" max="5366" width="10.42578125" style="178" customWidth="1"/>
    <col min="5367" max="5367" width="11.28515625" style="178" customWidth="1"/>
    <col min="5368" max="5369" width="9.140625" style="178" bestFit="1" customWidth="1"/>
    <col min="5370" max="5370" width="11.140625" style="178"/>
    <col min="5371" max="5371" width="4.85546875" style="178" customWidth="1"/>
    <col min="5372" max="5372" width="5.42578125" style="178" customWidth="1"/>
    <col min="5373" max="5373" width="41.85546875" style="178" customWidth="1"/>
    <col min="5374" max="5376" width="12.140625" style="178" customWidth="1"/>
    <col min="5377" max="5377" width="7.28515625" style="178" customWidth="1"/>
    <col min="5378" max="5379" width="12.140625" style="178" customWidth="1"/>
    <col min="5380" max="5380" width="67" style="178" customWidth="1"/>
    <col min="5381" max="5613" width="10.28515625" style="178" customWidth="1"/>
    <col min="5614" max="5614" width="4.28515625" style="178" bestFit="1" customWidth="1"/>
    <col min="5615" max="5615" width="6.85546875" style="178" bestFit="1" customWidth="1"/>
    <col min="5616" max="5616" width="11" style="178" customWidth="1"/>
    <col min="5617" max="5617" width="11.140625" style="178" bestFit="1" customWidth="1"/>
    <col min="5618" max="5618" width="10.85546875" style="178" customWidth="1"/>
    <col min="5619" max="5619" width="11.5703125" style="178" customWidth="1"/>
    <col min="5620" max="5620" width="11.140625" style="178" bestFit="1" customWidth="1"/>
    <col min="5621" max="5621" width="11" style="178" customWidth="1"/>
    <col min="5622" max="5622" width="10.42578125" style="178" customWidth="1"/>
    <col min="5623" max="5623" width="11.28515625" style="178" customWidth="1"/>
    <col min="5624" max="5625" width="9.140625" style="178" bestFit="1" customWidth="1"/>
    <col min="5626" max="5626" width="11.140625" style="178"/>
    <col min="5627" max="5627" width="4.85546875" style="178" customWidth="1"/>
    <col min="5628" max="5628" width="5.42578125" style="178" customWidth="1"/>
    <col min="5629" max="5629" width="41.85546875" style="178" customWidth="1"/>
    <col min="5630" max="5632" width="12.140625" style="178" customWidth="1"/>
    <col min="5633" max="5633" width="7.28515625" style="178" customWidth="1"/>
    <col min="5634" max="5635" width="12.140625" style="178" customWidth="1"/>
    <col min="5636" max="5636" width="67" style="178" customWidth="1"/>
    <col min="5637" max="5869" width="10.28515625" style="178" customWidth="1"/>
    <col min="5870" max="5870" width="4.28515625" style="178" bestFit="1" customWidth="1"/>
    <col min="5871" max="5871" width="6.85546875" style="178" bestFit="1" customWidth="1"/>
    <col min="5872" max="5872" width="11" style="178" customWidth="1"/>
    <col min="5873" max="5873" width="11.140625" style="178" bestFit="1" customWidth="1"/>
    <col min="5874" max="5874" width="10.85546875" style="178" customWidth="1"/>
    <col min="5875" max="5875" width="11.5703125" style="178" customWidth="1"/>
    <col min="5876" max="5876" width="11.140625" style="178" bestFit="1" customWidth="1"/>
    <col min="5877" max="5877" width="11" style="178" customWidth="1"/>
    <col min="5878" max="5878" width="10.42578125" style="178" customWidth="1"/>
    <col min="5879" max="5879" width="11.28515625" style="178" customWidth="1"/>
    <col min="5880" max="5881" width="9.140625" style="178" bestFit="1" customWidth="1"/>
    <col min="5882" max="5882" width="11.140625" style="178"/>
    <col min="5883" max="5883" width="4.85546875" style="178" customWidth="1"/>
    <col min="5884" max="5884" width="5.42578125" style="178" customWidth="1"/>
    <col min="5885" max="5885" width="41.85546875" style="178" customWidth="1"/>
    <col min="5886" max="5888" width="12.140625" style="178" customWidth="1"/>
    <col min="5889" max="5889" width="7.28515625" style="178" customWidth="1"/>
    <col min="5890" max="5891" width="12.140625" style="178" customWidth="1"/>
    <col min="5892" max="5892" width="67" style="178" customWidth="1"/>
    <col min="5893" max="6125" width="10.28515625" style="178" customWidth="1"/>
    <col min="6126" max="6126" width="4.28515625" style="178" bestFit="1" customWidth="1"/>
    <col min="6127" max="6127" width="6.85546875" style="178" bestFit="1" customWidth="1"/>
    <col min="6128" max="6128" width="11" style="178" customWidth="1"/>
    <col min="6129" max="6129" width="11.140625" style="178" bestFit="1" customWidth="1"/>
    <col min="6130" max="6130" width="10.85546875" style="178" customWidth="1"/>
    <col min="6131" max="6131" width="11.5703125" style="178" customWidth="1"/>
    <col min="6132" max="6132" width="11.140625" style="178" bestFit="1" customWidth="1"/>
    <col min="6133" max="6133" width="11" style="178" customWidth="1"/>
    <col min="6134" max="6134" width="10.42578125" style="178" customWidth="1"/>
    <col min="6135" max="6135" width="11.28515625" style="178" customWidth="1"/>
    <col min="6136" max="6137" width="9.140625" style="178" bestFit="1" customWidth="1"/>
    <col min="6138" max="6138" width="11.140625" style="178"/>
    <col min="6139" max="6139" width="4.85546875" style="178" customWidth="1"/>
    <col min="6140" max="6140" width="5.42578125" style="178" customWidth="1"/>
    <col min="6141" max="6141" width="41.85546875" style="178" customWidth="1"/>
    <col min="6142" max="6144" width="12.140625" style="178" customWidth="1"/>
    <col min="6145" max="6145" width="7.28515625" style="178" customWidth="1"/>
    <col min="6146" max="6147" width="12.140625" style="178" customWidth="1"/>
    <col min="6148" max="6148" width="67" style="178" customWidth="1"/>
    <col min="6149" max="6381" width="10.28515625" style="178" customWidth="1"/>
    <col min="6382" max="6382" width="4.28515625" style="178" bestFit="1" customWidth="1"/>
    <col min="6383" max="6383" width="6.85546875" style="178" bestFit="1" customWidth="1"/>
    <col min="6384" max="6384" width="11" style="178" customWidth="1"/>
    <col min="6385" max="6385" width="11.140625" style="178" bestFit="1" customWidth="1"/>
    <col min="6386" max="6386" width="10.85546875" style="178" customWidth="1"/>
    <col min="6387" max="6387" width="11.5703125" style="178" customWidth="1"/>
    <col min="6388" max="6388" width="11.140625" style="178" bestFit="1" customWidth="1"/>
    <col min="6389" max="6389" width="11" style="178" customWidth="1"/>
    <col min="6390" max="6390" width="10.42578125" style="178" customWidth="1"/>
    <col min="6391" max="6391" width="11.28515625" style="178" customWidth="1"/>
    <col min="6392" max="6393" width="9.140625" style="178" bestFit="1" customWidth="1"/>
    <col min="6394" max="6394" width="11.140625" style="178"/>
    <col min="6395" max="6395" width="4.85546875" style="178" customWidth="1"/>
    <col min="6396" max="6396" width="5.42578125" style="178" customWidth="1"/>
    <col min="6397" max="6397" width="41.85546875" style="178" customWidth="1"/>
    <col min="6398" max="6400" width="12.140625" style="178" customWidth="1"/>
    <col min="6401" max="6401" width="7.28515625" style="178" customWidth="1"/>
    <col min="6402" max="6403" width="12.140625" style="178" customWidth="1"/>
    <col min="6404" max="6404" width="67" style="178" customWidth="1"/>
    <col min="6405" max="6637" width="10.28515625" style="178" customWidth="1"/>
    <col min="6638" max="6638" width="4.28515625" style="178" bestFit="1" customWidth="1"/>
    <col min="6639" max="6639" width="6.85546875" style="178" bestFit="1" customWidth="1"/>
    <col min="6640" max="6640" width="11" style="178" customWidth="1"/>
    <col min="6641" max="6641" width="11.140625" style="178" bestFit="1" customWidth="1"/>
    <col min="6642" max="6642" width="10.85546875" style="178" customWidth="1"/>
    <col min="6643" max="6643" width="11.5703125" style="178" customWidth="1"/>
    <col min="6644" max="6644" width="11.140625" style="178" bestFit="1" customWidth="1"/>
    <col min="6645" max="6645" width="11" style="178" customWidth="1"/>
    <col min="6646" max="6646" width="10.42578125" style="178" customWidth="1"/>
    <col min="6647" max="6647" width="11.28515625" style="178" customWidth="1"/>
    <col min="6648" max="6649" width="9.140625" style="178" bestFit="1" customWidth="1"/>
    <col min="6650" max="6650" width="11.140625" style="178"/>
    <col min="6651" max="6651" width="4.85546875" style="178" customWidth="1"/>
    <col min="6652" max="6652" width="5.42578125" style="178" customWidth="1"/>
    <col min="6653" max="6653" width="41.85546875" style="178" customWidth="1"/>
    <col min="6654" max="6656" width="12.140625" style="178" customWidth="1"/>
    <col min="6657" max="6657" width="7.28515625" style="178" customWidth="1"/>
    <col min="6658" max="6659" width="12.140625" style="178" customWidth="1"/>
    <col min="6660" max="6660" width="67" style="178" customWidth="1"/>
    <col min="6661" max="6893" width="10.28515625" style="178" customWidth="1"/>
    <col min="6894" max="6894" width="4.28515625" style="178" bestFit="1" customWidth="1"/>
    <col min="6895" max="6895" width="6.85546875" style="178" bestFit="1" customWidth="1"/>
    <col min="6896" max="6896" width="11" style="178" customWidth="1"/>
    <col min="6897" max="6897" width="11.140625" style="178" bestFit="1" customWidth="1"/>
    <col min="6898" max="6898" width="10.85546875" style="178" customWidth="1"/>
    <col min="6899" max="6899" width="11.5703125" style="178" customWidth="1"/>
    <col min="6900" max="6900" width="11.140625" style="178" bestFit="1" customWidth="1"/>
    <col min="6901" max="6901" width="11" style="178" customWidth="1"/>
    <col min="6902" max="6902" width="10.42578125" style="178" customWidth="1"/>
    <col min="6903" max="6903" width="11.28515625" style="178" customWidth="1"/>
    <col min="6904" max="6905" width="9.140625" style="178" bestFit="1" customWidth="1"/>
    <col min="6906" max="6906" width="11.140625" style="178"/>
    <col min="6907" max="6907" width="4.85546875" style="178" customWidth="1"/>
    <col min="6908" max="6908" width="5.42578125" style="178" customWidth="1"/>
    <col min="6909" max="6909" width="41.85546875" style="178" customWidth="1"/>
    <col min="6910" max="6912" width="12.140625" style="178" customWidth="1"/>
    <col min="6913" max="6913" width="7.28515625" style="178" customWidth="1"/>
    <col min="6914" max="6915" width="12.140625" style="178" customWidth="1"/>
    <col min="6916" max="6916" width="67" style="178" customWidth="1"/>
    <col min="6917" max="7149" width="10.28515625" style="178" customWidth="1"/>
    <col min="7150" max="7150" width="4.28515625" style="178" bestFit="1" customWidth="1"/>
    <col min="7151" max="7151" width="6.85546875" style="178" bestFit="1" customWidth="1"/>
    <col min="7152" max="7152" width="11" style="178" customWidth="1"/>
    <col min="7153" max="7153" width="11.140625" style="178" bestFit="1" customWidth="1"/>
    <col min="7154" max="7154" width="10.85546875" style="178" customWidth="1"/>
    <col min="7155" max="7155" width="11.5703125" style="178" customWidth="1"/>
    <col min="7156" max="7156" width="11.140625" style="178" bestFit="1" customWidth="1"/>
    <col min="7157" max="7157" width="11" style="178" customWidth="1"/>
    <col min="7158" max="7158" width="10.42578125" style="178" customWidth="1"/>
    <col min="7159" max="7159" width="11.28515625" style="178" customWidth="1"/>
    <col min="7160" max="7161" width="9.140625" style="178" bestFit="1" customWidth="1"/>
    <col min="7162" max="7162" width="11.140625" style="178"/>
    <col min="7163" max="7163" width="4.85546875" style="178" customWidth="1"/>
    <col min="7164" max="7164" width="5.42578125" style="178" customWidth="1"/>
    <col min="7165" max="7165" width="41.85546875" style="178" customWidth="1"/>
    <col min="7166" max="7168" width="12.140625" style="178" customWidth="1"/>
    <col min="7169" max="7169" width="7.28515625" style="178" customWidth="1"/>
    <col min="7170" max="7171" width="12.140625" style="178" customWidth="1"/>
    <col min="7172" max="7172" width="67" style="178" customWidth="1"/>
    <col min="7173" max="7405" width="10.28515625" style="178" customWidth="1"/>
    <col min="7406" max="7406" width="4.28515625" style="178" bestFit="1" customWidth="1"/>
    <col min="7407" max="7407" width="6.85546875" style="178" bestFit="1" customWidth="1"/>
    <col min="7408" max="7408" width="11" style="178" customWidth="1"/>
    <col min="7409" max="7409" width="11.140625" style="178" bestFit="1" customWidth="1"/>
    <col min="7410" max="7410" width="10.85546875" style="178" customWidth="1"/>
    <col min="7411" max="7411" width="11.5703125" style="178" customWidth="1"/>
    <col min="7412" max="7412" width="11.140625" style="178" bestFit="1" customWidth="1"/>
    <col min="7413" max="7413" width="11" style="178" customWidth="1"/>
    <col min="7414" max="7414" width="10.42578125" style="178" customWidth="1"/>
    <col min="7415" max="7415" width="11.28515625" style="178" customWidth="1"/>
    <col min="7416" max="7417" width="9.140625" style="178" bestFit="1" customWidth="1"/>
    <col min="7418" max="7418" width="11.140625" style="178"/>
    <col min="7419" max="7419" width="4.85546875" style="178" customWidth="1"/>
    <col min="7420" max="7420" width="5.42578125" style="178" customWidth="1"/>
    <col min="7421" max="7421" width="41.85546875" style="178" customWidth="1"/>
    <col min="7422" max="7424" width="12.140625" style="178" customWidth="1"/>
    <col min="7425" max="7425" width="7.28515625" style="178" customWidth="1"/>
    <col min="7426" max="7427" width="12.140625" style="178" customWidth="1"/>
    <col min="7428" max="7428" width="67" style="178" customWidth="1"/>
    <col min="7429" max="7661" width="10.28515625" style="178" customWidth="1"/>
    <col min="7662" max="7662" width="4.28515625" style="178" bestFit="1" customWidth="1"/>
    <col min="7663" max="7663" width="6.85546875" style="178" bestFit="1" customWidth="1"/>
    <col min="7664" max="7664" width="11" style="178" customWidth="1"/>
    <col min="7665" max="7665" width="11.140625" style="178" bestFit="1" customWidth="1"/>
    <col min="7666" max="7666" width="10.85546875" style="178" customWidth="1"/>
    <col min="7667" max="7667" width="11.5703125" style="178" customWidth="1"/>
    <col min="7668" max="7668" width="11.140625" style="178" bestFit="1" customWidth="1"/>
    <col min="7669" max="7669" width="11" style="178" customWidth="1"/>
    <col min="7670" max="7670" width="10.42578125" style="178" customWidth="1"/>
    <col min="7671" max="7671" width="11.28515625" style="178" customWidth="1"/>
    <col min="7672" max="7673" width="9.140625" style="178" bestFit="1" customWidth="1"/>
    <col min="7674" max="7674" width="11.140625" style="178"/>
    <col min="7675" max="7675" width="4.85546875" style="178" customWidth="1"/>
    <col min="7676" max="7676" width="5.42578125" style="178" customWidth="1"/>
    <col min="7677" max="7677" width="41.85546875" style="178" customWidth="1"/>
    <col min="7678" max="7680" width="12.140625" style="178" customWidth="1"/>
    <col min="7681" max="7681" width="7.28515625" style="178" customWidth="1"/>
    <col min="7682" max="7683" width="12.140625" style="178" customWidth="1"/>
    <col min="7684" max="7684" width="67" style="178" customWidth="1"/>
    <col min="7685" max="7917" width="10.28515625" style="178" customWidth="1"/>
    <col min="7918" max="7918" width="4.28515625" style="178" bestFit="1" customWidth="1"/>
    <col min="7919" max="7919" width="6.85546875" style="178" bestFit="1" customWidth="1"/>
    <col min="7920" max="7920" width="11" style="178" customWidth="1"/>
    <col min="7921" max="7921" width="11.140625" style="178" bestFit="1" customWidth="1"/>
    <col min="7922" max="7922" width="10.85546875" style="178" customWidth="1"/>
    <col min="7923" max="7923" width="11.5703125" style="178" customWidth="1"/>
    <col min="7924" max="7924" width="11.140625" style="178" bestFit="1" customWidth="1"/>
    <col min="7925" max="7925" width="11" style="178" customWidth="1"/>
    <col min="7926" max="7926" width="10.42578125" style="178" customWidth="1"/>
    <col min="7927" max="7927" width="11.28515625" style="178" customWidth="1"/>
    <col min="7928" max="7929" width="9.140625" style="178" bestFit="1" customWidth="1"/>
    <col min="7930" max="7930" width="11.140625" style="178"/>
    <col min="7931" max="7931" width="4.85546875" style="178" customWidth="1"/>
    <col min="7932" max="7932" width="5.42578125" style="178" customWidth="1"/>
    <col min="7933" max="7933" width="41.85546875" style="178" customWidth="1"/>
    <col min="7934" max="7936" width="12.140625" style="178" customWidth="1"/>
    <col min="7937" max="7937" width="7.28515625" style="178" customWidth="1"/>
    <col min="7938" max="7939" width="12.140625" style="178" customWidth="1"/>
    <col min="7940" max="7940" width="67" style="178" customWidth="1"/>
    <col min="7941" max="8173" width="10.28515625" style="178" customWidth="1"/>
    <col min="8174" max="8174" width="4.28515625" style="178" bestFit="1" customWidth="1"/>
    <col min="8175" max="8175" width="6.85546875" style="178" bestFit="1" customWidth="1"/>
    <col min="8176" max="8176" width="11" style="178" customWidth="1"/>
    <col min="8177" max="8177" width="11.140625" style="178" bestFit="1" customWidth="1"/>
    <col min="8178" max="8178" width="10.85546875" style="178" customWidth="1"/>
    <col min="8179" max="8179" width="11.5703125" style="178" customWidth="1"/>
    <col min="8180" max="8180" width="11.140625" style="178" bestFit="1" customWidth="1"/>
    <col min="8181" max="8181" width="11" style="178" customWidth="1"/>
    <col min="8182" max="8182" width="10.42578125" style="178" customWidth="1"/>
    <col min="8183" max="8183" width="11.28515625" style="178" customWidth="1"/>
    <col min="8184" max="8185" width="9.140625" style="178" bestFit="1" customWidth="1"/>
    <col min="8186" max="8186" width="11.140625" style="178"/>
    <col min="8187" max="8187" width="4.85546875" style="178" customWidth="1"/>
    <col min="8188" max="8188" width="5.42578125" style="178" customWidth="1"/>
    <col min="8189" max="8189" width="41.85546875" style="178" customWidth="1"/>
    <col min="8190" max="8192" width="12.140625" style="178" customWidth="1"/>
    <col min="8193" max="8193" width="7.28515625" style="178" customWidth="1"/>
    <col min="8194" max="8195" width="12.140625" style="178" customWidth="1"/>
    <col min="8196" max="8196" width="67" style="178" customWidth="1"/>
    <col min="8197" max="8429" width="10.28515625" style="178" customWidth="1"/>
    <col min="8430" max="8430" width="4.28515625" style="178" bestFit="1" customWidth="1"/>
    <col min="8431" max="8431" width="6.85546875" style="178" bestFit="1" customWidth="1"/>
    <col min="8432" max="8432" width="11" style="178" customWidth="1"/>
    <col min="8433" max="8433" width="11.140625" style="178" bestFit="1" customWidth="1"/>
    <col min="8434" max="8434" width="10.85546875" style="178" customWidth="1"/>
    <col min="8435" max="8435" width="11.5703125" style="178" customWidth="1"/>
    <col min="8436" max="8436" width="11.140625" style="178" bestFit="1" customWidth="1"/>
    <col min="8437" max="8437" width="11" style="178" customWidth="1"/>
    <col min="8438" max="8438" width="10.42578125" style="178" customWidth="1"/>
    <col min="8439" max="8439" width="11.28515625" style="178" customWidth="1"/>
    <col min="8440" max="8441" width="9.140625" style="178" bestFit="1" customWidth="1"/>
    <col min="8442" max="8442" width="11.140625" style="178"/>
    <col min="8443" max="8443" width="4.85546875" style="178" customWidth="1"/>
    <col min="8444" max="8444" width="5.42578125" style="178" customWidth="1"/>
    <col min="8445" max="8445" width="41.85546875" style="178" customWidth="1"/>
    <col min="8446" max="8448" width="12.140625" style="178" customWidth="1"/>
    <col min="8449" max="8449" width="7.28515625" style="178" customWidth="1"/>
    <col min="8450" max="8451" width="12.140625" style="178" customWidth="1"/>
    <col min="8452" max="8452" width="67" style="178" customWidth="1"/>
    <col min="8453" max="8685" width="10.28515625" style="178" customWidth="1"/>
    <col min="8686" max="8686" width="4.28515625" style="178" bestFit="1" customWidth="1"/>
    <col min="8687" max="8687" width="6.85546875" style="178" bestFit="1" customWidth="1"/>
    <col min="8688" max="8688" width="11" style="178" customWidth="1"/>
    <col min="8689" max="8689" width="11.140625" style="178" bestFit="1" customWidth="1"/>
    <col min="8690" max="8690" width="10.85546875" style="178" customWidth="1"/>
    <col min="8691" max="8691" width="11.5703125" style="178" customWidth="1"/>
    <col min="8692" max="8692" width="11.140625" style="178" bestFit="1" customWidth="1"/>
    <col min="8693" max="8693" width="11" style="178" customWidth="1"/>
    <col min="8694" max="8694" width="10.42578125" style="178" customWidth="1"/>
    <col min="8695" max="8695" width="11.28515625" style="178" customWidth="1"/>
    <col min="8696" max="8697" width="9.140625" style="178" bestFit="1" customWidth="1"/>
    <col min="8698" max="8698" width="11.140625" style="178"/>
    <col min="8699" max="8699" width="4.85546875" style="178" customWidth="1"/>
    <col min="8700" max="8700" width="5.42578125" style="178" customWidth="1"/>
    <col min="8701" max="8701" width="41.85546875" style="178" customWidth="1"/>
    <col min="8702" max="8704" width="12.140625" style="178" customWidth="1"/>
    <col min="8705" max="8705" width="7.28515625" style="178" customWidth="1"/>
    <col min="8706" max="8707" width="12.140625" style="178" customWidth="1"/>
    <col min="8708" max="8708" width="67" style="178" customWidth="1"/>
    <col min="8709" max="8941" width="10.28515625" style="178" customWidth="1"/>
    <col min="8942" max="8942" width="4.28515625" style="178" bestFit="1" customWidth="1"/>
    <col min="8943" max="8943" width="6.85546875" style="178" bestFit="1" customWidth="1"/>
    <col min="8944" max="8944" width="11" style="178" customWidth="1"/>
    <col min="8945" max="8945" width="11.140625" style="178" bestFit="1" customWidth="1"/>
    <col min="8946" max="8946" width="10.85546875" style="178" customWidth="1"/>
    <col min="8947" max="8947" width="11.5703125" style="178" customWidth="1"/>
    <col min="8948" max="8948" width="11.140625" style="178" bestFit="1" customWidth="1"/>
    <col min="8949" max="8949" width="11" style="178" customWidth="1"/>
    <col min="8950" max="8950" width="10.42578125" style="178" customWidth="1"/>
    <col min="8951" max="8951" width="11.28515625" style="178" customWidth="1"/>
    <col min="8952" max="8953" width="9.140625" style="178" bestFit="1" customWidth="1"/>
    <col min="8954" max="8954" width="11.140625" style="178"/>
    <col min="8955" max="8955" width="4.85546875" style="178" customWidth="1"/>
    <col min="8956" max="8956" width="5.42578125" style="178" customWidth="1"/>
    <col min="8957" max="8957" width="41.85546875" style="178" customWidth="1"/>
    <col min="8958" max="8960" width="12.140625" style="178" customWidth="1"/>
    <col min="8961" max="8961" width="7.28515625" style="178" customWidth="1"/>
    <col min="8962" max="8963" width="12.140625" style="178" customWidth="1"/>
    <col min="8964" max="8964" width="67" style="178" customWidth="1"/>
    <col min="8965" max="9197" width="10.28515625" style="178" customWidth="1"/>
    <col min="9198" max="9198" width="4.28515625" style="178" bestFit="1" customWidth="1"/>
    <col min="9199" max="9199" width="6.85546875" style="178" bestFit="1" customWidth="1"/>
    <col min="9200" max="9200" width="11" style="178" customWidth="1"/>
    <col min="9201" max="9201" width="11.140625" style="178" bestFit="1" customWidth="1"/>
    <col min="9202" max="9202" width="10.85546875" style="178" customWidth="1"/>
    <col min="9203" max="9203" width="11.5703125" style="178" customWidth="1"/>
    <col min="9204" max="9204" width="11.140625" style="178" bestFit="1" customWidth="1"/>
    <col min="9205" max="9205" width="11" style="178" customWidth="1"/>
    <col min="9206" max="9206" width="10.42578125" style="178" customWidth="1"/>
    <col min="9207" max="9207" width="11.28515625" style="178" customWidth="1"/>
    <col min="9208" max="9209" width="9.140625" style="178" bestFit="1" customWidth="1"/>
    <col min="9210" max="9210" width="11.140625" style="178"/>
    <col min="9211" max="9211" width="4.85546875" style="178" customWidth="1"/>
    <col min="9212" max="9212" width="5.42578125" style="178" customWidth="1"/>
    <col min="9213" max="9213" width="41.85546875" style="178" customWidth="1"/>
    <col min="9214" max="9216" width="12.140625" style="178" customWidth="1"/>
    <col min="9217" max="9217" width="7.28515625" style="178" customWidth="1"/>
    <col min="9218" max="9219" width="12.140625" style="178" customWidth="1"/>
    <col min="9220" max="9220" width="67" style="178" customWidth="1"/>
    <col min="9221" max="9453" width="10.28515625" style="178" customWidth="1"/>
    <col min="9454" max="9454" width="4.28515625" style="178" bestFit="1" customWidth="1"/>
    <col min="9455" max="9455" width="6.85546875" style="178" bestFit="1" customWidth="1"/>
    <col min="9456" max="9456" width="11" style="178" customWidth="1"/>
    <col min="9457" max="9457" width="11.140625" style="178" bestFit="1" customWidth="1"/>
    <col min="9458" max="9458" width="10.85546875" style="178" customWidth="1"/>
    <col min="9459" max="9459" width="11.5703125" style="178" customWidth="1"/>
    <col min="9460" max="9460" width="11.140625" style="178" bestFit="1" customWidth="1"/>
    <col min="9461" max="9461" width="11" style="178" customWidth="1"/>
    <col min="9462" max="9462" width="10.42578125" style="178" customWidth="1"/>
    <col min="9463" max="9463" width="11.28515625" style="178" customWidth="1"/>
    <col min="9464" max="9465" width="9.140625" style="178" bestFit="1" customWidth="1"/>
    <col min="9466" max="9466" width="11.140625" style="178"/>
    <col min="9467" max="9467" width="4.85546875" style="178" customWidth="1"/>
    <col min="9468" max="9468" width="5.42578125" style="178" customWidth="1"/>
    <col min="9469" max="9469" width="41.85546875" style="178" customWidth="1"/>
    <col min="9470" max="9472" width="12.140625" style="178" customWidth="1"/>
    <col min="9473" max="9473" width="7.28515625" style="178" customWidth="1"/>
    <col min="9474" max="9475" width="12.140625" style="178" customWidth="1"/>
    <col min="9476" max="9476" width="67" style="178" customWidth="1"/>
    <col min="9477" max="9709" width="10.28515625" style="178" customWidth="1"/>
    <col min="9710" max="9710" width="4.28515625" style="178" bestFit="1" customWidth="1"/>
    <col min="9711" max="9711" width="6.85546875" style="178" bestFit="1" customWidth="1"/>
    <col min="9712" max="9712" width="11" style="178" customWidth="1"/>
    <col min="9713" max="9713" width="11.140625" style="178" bestFit="1" customWidth="1"/>
    <col min="9714" max="9714" width="10.85546875" style="178" customWidth="1"/>
    <col min="9715" max="9715" width="11.5703125" style="178" customWidth="1"/>
    <col min="9716" max="9716" width="11.140625" style="178" bestFit="1" customWidth="1"/>
    <col min="9717" max="9717" width="11" style="178" customWidth="1"/>
    <col min="9718" max="9718" width="10.42578125" style="178" customWidth="1"/>
    <col min="9719" max="9719" width="11.28515625" style="178" customWidth="1"/>
    <col min="9720" max="9721" width="9.140625" style="178" bestFit="1" customWidth="1"/>
    <col min="9722" max="9722" width="11.140625" style="178"/>
    <col min="9723" max="9723" width="4.85546875" style="178" customWidth="1"/>
    <col min="9724" max="9724" width="5.42578125" style="178" customWidth="1"/>
    <col min="9725" max="9725" width="41.85546875" style="178" customWidth="1"/>
    <col min="9726" max="9728" width="12.140625" style="178" customWidth="1"/>
    <col min="9729" max="9729" width="7.28515625" style="178" customWidth="1"/>
    <col min="9730" max="9731" width="12.140625" style="178" customWidth="1"/>
    <col min="9732" max="9732" width="67" style="178" customWidth="1"/>
    <col min="9733" max="9965" width="10.28515625" style="178" customWidth="1"/>
    <col min="9966" max="9966" width="4.28515625" style="178" bestFit="1" customWidth="1"/>
    <col min="9967" max="9967" width="6.85546875" style="178" bestFit="1" customWidth="1"/>
    <col min="9968" max="9968" width="11" style="178" customWidth="1"/>
    <col min="9969" max="9969" width="11.140625" style="178" bestFit="1" customWidth="1"/>
    <col min="9970" max="9970" width="10.85546875" style="178" customWidth="1"/>
    <col min="9971" max="9971" width="11.5703125" style="178" customWidth="1"/>
    <col min="9972" max="9972" width="11.140625" style="178" bestFit="1" customWidth="1"/>
    <col min="9973" max="9973" width="11" style="178" customWidth="1"/>
    <col min="9974" max="9974" width="10.42578125" style="178" customWidth="1"/>
    <col min="9975" max="9975" width="11.28515625" style="178" customWidth="1"/>
    <col min="9976" max="9977" width="9.140625" style="178" bestFit="1" customWidth="1"/>
    <col min="9978" max="9978" width="11.140625" style="178"/>
    <col min="9979" max="9979" width="4.85546875" style="178" customWidth="1"/>
    <col min="9980" max="9980" width="5.42578125" style="178" customWidth="1"/>
    <col min="9981" max="9981" width="41.85546875" style="178" customWidth="1"/>
    <col min="9982" max="9984" width="12.140625" style="178" customWidth="1"/>
    <col min="9985" max="9985" width="7.28515625" style="178" customWidth="1"/>
    <col min="9986" max="9987" width="12.140625" style="178" customWidth="1"/>
    <col min="9988" max="9988" width="67" style="178" customWidth="1"/>
    <col min="9989" max="10221" width="10.28515625" style="178" customWidth="1"/>
    <col min="10222" max="10222" width="4.28515625" style="178" bestFit="1" customWidth="1"/>
    <col min="10223" max="10223" width="6.85546875" style="178" bestFit="1" customWidth="1"/>
    <col min="10224" max="10224" width="11" style="178" customWidth="1"/>
    <col min="10225" max="10225" width="11.140625" style="178" bestFit="1" customWidth="1"/>
    <col min="10226" max="10226" width="10.85546875" style="178" customWidth="1"/>
    <col min="10227" max="10227" width="11.5703125" style="178" customWidth="1"/>
    <col min="10228" max="10228" width="11.140625" style="178" bestFit="1" customWidth="1"/>
    <col min="10229" max="10229" width="11" style="178" customWidth="1"/>
    <col min="10230" max="10230" width="10.42578125" style="178" customWidth="1"/>
    <col min="10231" max="10231" width="11.28515625" style="178" customWidth="1"/>
    <col min="10232" max="10233" width="9.140625" style="178" bestFit="1" customWidth="1"/>
    <col min="10234" max="10234" width="11.140625" style="178"/>
    <col min="10235" max="10235" width="4.85546875" style="178" customWidth="1"/>
    <col min="10236" max="10236" width="5.42578125" style="178" customWidth="1"/>
    <col min="10237" max="10237" width="41.85546875" style="178" customWidth="1"/>
    <col min="10238" max="10240" width="12.140625" style="178" customWidth="1"/>
    <col min="10241" max="10241" width="7.28515625" style="178" customWidth="1"/>
    <col min="10242" max="10243" width="12.140625" style="178" customWidth="1"/>
    <col min="10244" max="10244" width="67" style="178" customWidth="1"/>
    <col min="10245" max="10477" width="10.28515625" style="178" customWidth="1"/>
    <col min="10478" max="10478" width="4.28515625" style="178" bestFit="1" customWidth="1"/>
    <col min="10479" max="10479" width="6.85546875" style="178" bestFit="1" customWidth="1"/>
    <col min="10480" max="10480" width="11" style="178" customWidth="1"/>
    <col min="10481" max="10481" width="11.140625" style="178" bestFit="1" customWidth="1"/>
    <col min="10482" max="10482" width="10.85546875" style="178" customWidth="1"/>
    <col min="10483" max="10483" width="11.5703125" style="178" customWidth="1"/>
    <col min="10484" max="10484" width="11.140625" style="178" bestFit="1" customWidth="1"/>
    <col min="10485" max="10485" width="11" style="178" customWidth="1"/>
    <col min="10486" max="10486" width="10.42578125" style="178" customWidth="1"/>
    <col min="10487" max="10487" width="11.28515625" style="178" customWidth="1"/>
    <col min="10488" max="10489" width="9.140625" style="178" bestFit="1" customWidth="1"/>
    <col min="10490" max="10490" width="11.140625" style="178"/>
    <col min="10491" max="10491" width="4.85546875" style="178" customWidth="1"/>
    <col min="10492" max="10492" width="5.42578125" style="178" customWidth="1"/>
    <col min="10493" max="10493" width="41.85546875" style="178" customWidth="1"/>
    <col min="10494" max="10496" width="12.140625" style="178" customWidth="1"/>
    <col min="10497" max="10497" width="7.28515625" style="178" customWidth="1"/>
    <col min="10498" max="10499" width="12.140625" style="178" customWidth="1"/>
    <col min="10500" max="10500" width="67" style="178" customWidth="1"/>
    <col min="10501" max="10733" width="10.28515625" style="178" customWidth="1"/>
    <col min="10734" max="10734" width="4.28515625" style="178" bestFit="1" customWidth="1"/>
    <col min="10735" max="10735" width="6.85546875" style="178" bestFit="1" customWidth="1"/>
    <col min="10736" max="10736" width="11" style="178" customWidth="1"/>
    <col min="10737" max="10737" width="11.140625" style="178" bestFit="1" customWidth="1"/>
    <col min="10738" max="10738" width="10.85546875" style="178" customWidth="1"/>
    <col min="10739" max="10739" width="11.5703125" style="178" customWidth="1"/>
    <col min="10740" max="10740" width="11.140625" style="178" bestFit="1" customWidth="1"/>
    <col min="10741" max="10741" width="11" style="178" customWidth="1"/>
    <col min="10742" max="10742" width="10.42578125" style="178" customWidth="1"/>
    <col min="10743" max="10743" width="11.28515625" style="178" customWidth="1"/>
    <col min="10744" max="10745" width="9.140625" style="178" bestFit="1" customWidth="1"/>
    <col min="10746" max="10746" width="11.140625" style="178"/>
    <col min="10747" max="10747" width="4.85546875" style="178" customWidth="1"/>
    <col min="10748" max="10748" width="5.42578125" style="178" customWidth="1"/>
    <col min="10749" max="10749" width="41.85546875" style="178" customWidth="1"/>
    <col min="10750" max="10752" width="12.140625" style="178" customWidth="1"/>
    <col min="10753" max="10753" width="7.28515625" style="178" customWidth="1"/>
    <col min="10754" max="10755" width="12.140625" style="178" customWidth="1"/>
    <col min="10756" max="10756" width="67" style="178" customWidth="1"/>
    <col min="10757" max="10989" width="10.28515625" style="178" customWidth="1"/>
    <col min="10990" max="10990" width="4.28515625" style="178" bestFit="1" customWidth="1"/>
    <col min="10991" max="10991" width="6.85546875" style="178" bestFit="1" customWidth="1"/>
    <col min="10992" max="10992" width="11" style="178" customWidth="1"/>
    <col min="10993" max="10993" width="11.140625" style="178" bestFit="1" customWidth="1"/>
    <col min="10994" max="10994" width="10.85546875" style="178" customWidth="1"/>
    <col min="10995" max="10995" width="11.5703125" style="178" customWidth="1"/>
    <col min="10996" max="10996" width="11.140625" style="178" bestFit="1" customWidth="1"/>
    <col min="10997" max="10997" width="11" style="178" customWidth="1"/>
    <col min="10998" max="10998" width="10.42578125" style="178" customWidth="1"/>
    <col min="10999" max="10999" width="11.28515625" style="178" customWidth="1"/>
    <col min="11000" max="11001" width="9.140625" style="178" bestFit="1" customWidth="1"/>
    <col min="11002" max="11002" width="11.140625" style="178"/>
    <col min="11003" max="11003" width="4.85546875" style="178" customWidth="1"/>
    <col min="11004" max="11004" width="5.42578125" style="178" customWidth="1"/>
    <col min="11005" max="11005" width="41.85546875" style="178" customWidth="1"/>
    <col min="11006" max="11008" width="12.140625" style="178" customWidth="1"/>
    <col min="11009" max="11009" width="7.28515625" style="178" customWidth="1"/>
    <col min="11010" max="11011" width="12.140625" style="178" customWidth="1"/>
    <col min="11012" max="11012" width="67" style="178" customWidth="1"/>
    <col min="11013" max="11245" width="10.28515625" style="178" customWidth="1"/>
    <col min="11246" max="11246" width="4.28515625" style="178" bestFit="1" customWidth="1"/>
    <col min="11247" max="11247" width="6.85546875" style="178" bestFit="1" customWidth="1"/>
    <col min="11248" max="11248" width="11" style="178" customWidth="1"/>
    <col min="11249" max="11249" width="11.140625" style="178" bestFit="1" customWidth="1"/>
    <col min="11250" max="11250" width="10.85546875" style="178" customWidth="1"/>
    <col min="11251" max="11251" width="11.5703125" style="178" customWidth="1"/>
    <col min="11252" max="11252" width="11.140625" style="178" bestFit="1" customWidth="1"/>
    <col min="11253" max="11253" width="11" style="178" customWidth="1"/>
    <col min="11254" max="11254" width="10.42578125" style="178" customWidth="1"/>
    <col min="11255" max="11255" width="11.28515625" style="178" customWidth="1"/>
    <col min="11256" max="11257" width="9.140625" style="178" bestFit="1" customWidth="1"/>
    <col min="11258" max="11258" width="11.140625" style="178"/>
    <col min="11259" max="11259" width="4.85546875" style="178" customWidth="1"/>
    <col min="11260" max="11260" width="5.42578125" style="178" customWidth="1"/>
    <col min="11261" max="11261" width="41.85546875" style="178" customWidth="1"/>
    <col min="11262" max="11264" width="12.140625" style="178" customWidth="1"/>
    <col min="11265" max="11265" width="7.28515625" style="178" customWidth="1"/>
    <col min="11266" max="11267" width="12.140625" style="178" customWidth="1"/>
    <col min="11268" max="11268" width="67" style="178" customWidth="1"/>
    <col min="11269" max="11501" width="10.28515625" style="178" customWidth="1"/>
    <col min="11502" max="11502" width="4.28515625" style="178" bestFit="1" customWidth="1"/>
    <col min="11503" max="11503" width="6.85546875" style="178" bestFit="1" customWidth="1"/>
    <col min="11504" max="11504" width="11" style="178" customWidth="1"/>
    <col min="11505" max="11505" width="11.140625" style="178" bestFit="1" customWidth="1"/>
    <col min="11506" max="11506" width="10.85546875" style="178" customWidth="1"/>
    <col min="11507" max="11507" width="11.5703125" style="178" customWidth="1"/>
    <col min="11508" max="11508" width="11.140625" style="178" bestFit="1" customWidth="1"/>
    <col min="11509" max="11509" width="11" style="178" customWidth="1"/>
    <col min="11510" max="11510" width="10.42578125" style="178" customWidth="1"/>
    <col min="11511" max="11511" width="11.28515625" style="178" customWidth="1"/>
    <col min="11512" max="11513" width="9.140625" style="178" bestFit="1" customWidth="1"/>
    <col min="11514" max="11514" width="11.140625" style="178"/>
    <col min="11515" max="11515" width="4.85546875" style="178" customWidth="1"/>
    <col min="11516" max="11516" width="5.42578125" style="178" customWidth="1"/>
    <col min="11517" max="11517" width="41.85546875" style="178" customWidth="1"/>
    <col min="11518" max="11520" width="12.140625" style="178" customWidth="1"/>
    <col min="11521" max="11521" width="7.28515625" style="178" customWidth="1"/>
    <col min="11522" max="11523" width="12.140625" style="178" customWidth="1"/>
    <col min="11524" max="11524" width="67" style="178" customWidth="1"/>
    <col min="11525" max="11757" width="10.28515625" style="178" customWidth="1"/>
    <col min="11758" max="11758" width="4.28515625" style="178" bestFit="1" customWidth="1"/>
    <col min="11759" max="11759" width="6.85546875" style="178" bestFit="1" customWidth="1"/>
    <col min="11760" max="11760" width="11" style="178" customWidth="1"/>
    <col min="11761" max="11761" width="11.140625" style="178" bestFit="1" customWidth="1"/>
    <col min="11762" max="11762" width="10.85546875" style="178" customWidth="1"/>
    <col min="11763" max="11763" width="11.5703125" style="178" customWidth="1"/>
    <col min="11764" max="11764" width="11.140625" style="178" bestFit="1" customWidth="1"/>
    <col min="11765" max="11765" width="11" style="178" customWidth="1"/>
    <col min="11766" max="11766" width="10.42578125" style="178" customWidth="1"/>
    <col min="11767" max="11767" width="11.28515625" style="178" customWidth="1"/>
    <col min="11768" max="11769" width="9.140625" style="178" bestFit="1" customWidth="1"/>
    <col min="11770" max="11770" width="11.140625" style="178"/>
    <col min="11771" max="11771" width="4.85546875" style="178" customWidth="1"/>
    <col min="11772" max="11772" width="5.42578125" style="178" customWidth="1"/>
    <col min="11773" max="11773" width="41.85546875" style="178" customWidth="1"/>
    <col min="11774" max="11776" width="12.140625" style="178" customWidth="1"/>
    <col min="11777" max="11777" width="7.28515625" style="178" customWidth="1"/>
    <col min="11778" max="11779" width="12.140625" style="178" customWidth="1"/>
    <col min="11780" max="11780" width="67" style="178" customWidth="1"/>
    <col min="11781" max="12013" width="10.28515625" style="178" customWidth="1"/>
    <col min="12014" max="12014" width="4.28515625" style="178" bestFit="1" customWidth="1"/>
    <col min="12015" max="12015" width="6.85546875" style="178" bestFit="1" customWidth="1"/>
    <col min="12016" max="12016" width="11" style="178" customWidth="1"/>
    <col min="12017" max="12017" width="11.140625" style="178" bestFit="1" customWidth="1"/>
    <col min="12018" max="12018" width="10.85546875" style="178" customWidth="1"/>
    <col min="12019" max="12019" width="11.5703125" style="178" customWidth="1"/>
    <col min="12020" max="12020" width="11.140625" style="178" bestFit="1" customWidth="1"/>
    <col min="12021" max="12021" width="11" style="178" customWidth="1"/>
    <col min="12022" max="12022" width="10.42578125" style="178" customWidth="1"/>
    <col min="12023" max="12023" width="11.28515625" style="178" customWidth="1"/>
    <col min="12024" max="12025" width="9.140625" style="178" bestFit="1" customWidth="1"/>
    <col min="12026" max="12026" width="11.140625" style="178"/>
    <col min="12027" max="12027" width="4.85546875" style="178" customWidth="1"/>
    <col min="12028" max="12028" width="5.42578125" style="178" customWidth="1"/>
    <col min="12029" max="12029" width="41.85546875" style="178" customWidth="1"/>
    <col min="12030" max="12032" width="12.140625" style="178" customWidth="1"/>
    <col min="12033" max="12033" width="7.28515625" style="178" customWidth="1"/>
    <col min="12034" max="12035" width="12.140625" style="178" customWidth="1"/>
    <col min="12036" max="12036" width="67" style="178" customWidth="1"/>
    <col min="12037" max="12269" width="10.28515625" style="178" customWidth="1"/>
    <col min="12270" max="12270" width="4.28515625" style="178" bestFit="1" customWidth="1"/>
    <col min="12271" max="12271" width="6.85546875" style="178" bestFit="1" customWidth="1"/>
    <col min="12272" max="12272" width="11" style="178" customWidth="1"/>
    <col min="12273" max="12273" width="11.140625" style="178" bestFit="1" customWidth="1"/>
    <col min="12274" max="12274" width="10.85546875" style="178" customWidth="1"/>
    <col min="12275" max="12275" width="11.5703125" style="178" customWidth="1"/>
    <col min="12276" max="12276" width="11.140625" style="178" bestFit="1" customWidth="1"/>
    <col min="12277" max="12277" width="11" style="178" customWidth="1"/>
    <col min="12278" max="12278" width="10.42578125" style="178" customWidth="1"/>
    <col min="12279" max="12279" width="11.28515625" style="178" customWidth="1"/>
    <col min="12280" max="12281" width="9.140625" style="178" bestFit="1" customWidth="1"/>
    <col min="12282" max="12282" width="11.140625" style="178"/>
    <col min="12283" max="12283" width="4.85546875" style="178" customWidth="1"/>
    <col min="12284" max="12284" width="5.42578125" style="178" customWidth="1"/>
    <col min="12285" max="12285" width="41.85546875" style="178" customWidth="1"/>
    <col min="12286" max="12288" width="12.140625" style="178" customWidth="1"/>
    <col min="12289" max="12289" width="7.28515625" style="178" customWidth="1"/>
    <col min="12290" max="12291" width="12.140625" style="178" customWidth="1"/>
    <col min="12292" max="12292" width="67" style="178" customWidth="1"/>
    <col min="12293" max="12525" width="10.28515625" style="178" customWidth="1"/>
    <col min="12526" max="12526" width="4.28515625" style="178" bestFit="1" customWidth="1"/>
    <col min="12527" max="12527" width="6.85546875" style="178" bestFit="1" customWidth="1"/>
    <col min="12528" max="12528" width="11" style="178" customWidth="1"/>
    <col min="12529" max="12529" width="11.140625" style="178" bestFit="1" customWidth="1"/>
    <col min="12530" max="12530" width="10.85546875" style="178" customWidth="1"/>
    <col min="12531" max="12531" width="11.5703125" style="178" customWidth="1"/>
    <col min="12532" max="12532" width="11.140625" style="178" bestFit="1" customWidth="1"/>
    <col min="12533" max="12533" width="11" style="178" customWidth="1"/>
    <col min="12534" max="12534" width="10.42578125" style="178" customWidth="1"/>
    <col min="12535" max="12535" width="11.28515625" style="178" customWidth="1"/>
    <col min="12536" max="12537" width="9.140625" style="178" bestFit="1" customWidth="1"/>
    <col min="12538" max="12538" width="11.140625" style="178"/>
    <col min="12539" max="12539" width="4.85546875" style="178" customWidth="1"/>
    <col min="12540" max="12540" width="5.42578125" style="178" customWidth="1"/>
    <col min="12541" max="12541" width="41.85546875" style="178" customWidth="1"/>
    <col min="12542" max="12544" width="12.140625" style="178" customWidth="1"/>
    <col min="12545" max="12545" width="7.28515625" style="178" customWidth="1"/>
    <col min="12546" max="12547" width="12.140625" style="178" customWidth="1"/>
    <col min="12548" max="12548" width="67" style="178" customWidth="1"/>
    <col min="12549" max="12781" width="10.28515625" style="178" customWidth="1"/>
    <col min="12782" max="12782" width="4.28515625" style="178" bestFit="1" customWidth="1"/>
    <col min="12783" max="12783" width="6.85546875" style="178" bestFit="1" customWidth="1"/>
    <col min="12784" max="12784" width="11" style="178" customWidth="1"/>
    <col min="12785" max="12785" width="11.140625" style="178" bestFit="1" customWidth="1"/>
    <col min="12786" max="12786" width="10.85546875" style="178" customWidth="1"/>
    <col min="12787" max="12787" width="11.5703125" style="178" customWidth="1"/>
    <col min="12788" max="12788" width="11.140625" style="178" bestFit="1" customWidth="1"/>
    <col min="12789" max="12789" width="11" style="178" customWidth="1"/>
    <col min="12790" max="12790" width="10.42578125" style="178" customWidth="1"/>
    <col min="12791" max="12791" width="11.28515625" style="178" customWidth="1"/>
    <col min="12792" max="12793" width="9.140625" style="178" bestFit="1" customWidth="1"/>
    <col min="12794" max="12794" width="11.140625" style="178"/>
    <col min="12795" max="12795" width="4.85546875" style="178" customWidth="1"/>
    <col min="12796" max="12796" width="5.42578125" style="178" customWidth="1"/>
    <col min="12797" max="12797" width="41.85546875" style="178" customWidth="1"/>
    <col min="12798" max="12800" width="12.140625" style="178" customWidth="1"/>
    <col min="12801" max="12801" width="7.28515625" style="178" customWidth="1"/>
    <col min="12802" max="12803" width="12.140625" style="178" customWidth="1"/>
    <col min="12804" max="12804" width="67" style="178" customWidth="1"/>
    <col min="12805" max="13037" width="10.28515625" style="178" customWidth="1"/>
    <col min="13038" max="13038" width="4.28515625" style="178" bestFit="1" customWidth="1"/>
    <col min="13039" max="13039" width="6.85546875" style="178" bestFit="1" customWidth="1"/>
    <col min="13040" max="13040" width="11" style="178" customWidth="1"/>
    <col min="13041" max="13041" width="11.140625" style="178" bestFit="1" customWidth="1"/>
    <col min="13042" max="13042" width="10.85546875" style="178" customWidth="1"/>
    <col min="13043" max="13043" width="11.5703125" style="178" customWidth="1"/>
    <col min="13044" max="13044" width="11.140625" style="178" bestFit="1" customWidth="1"/>
    <col min="13045" max="13045" width="11" style="178" customWidth="1"/>
    <col min="13046" max="13046" width="10.42578125" style="178" customWidth="1"/>
    <col min="13047" max="13047" width="11.28515625" style="178" customWidth="1"/>
    <col min="13048" max="13049" width="9.140625" style="178" bestFit="1" customWidth="1"/>
    <col min="13050" max="13050" width="11.140625" style="178"/>
    <col min="13051" max="13051" width="4.85546875" style="178" customWidth="1"/>
    <col min="13052" max="13052" width="5.42578125" style="178" customWidth="1"/>
    <col min="13053" max="13053" width="41.85546875" style="178" customWidth="1"/>
    <col min="13054" max="13056" width="12.140625" style="178" customWidth="1"/>
    <col min="13057" max="13057" width="7.28515625" style="178" customWidth="1"/>
    <col min="13058" max="13059" width="12.140625" style="178" customWidth="1"/>
    <col min="13060" max="13060" width="67" style="178" customWidth="1"/>
    <col min="13061" max="13293" width="10.28515625" style="178" customWidth="1"/>
    <col min="13294" max="13294" width="4.28515625" style="178" bestFit="1" customWidth="1"/>
    <col min="13295" max="13295" width="6.85546875" style="178" bestFit="1" customWidth="1"/>
    <col min="13296" max="13296" width="11" style="178" customWidth="1"/>
    <col min="13297" max="13297" width="11.140625" style="178" bestFit="1" customWidth="1"/>
    <col min="13298" max="13298" width="10.85546875" style="178" customWidth="1"/>
    <col min="13299" max="13299" width="11.5703125" style="178" customWidth="1"/>
    <col min="13300" max="13300" width="11.140625" style="178" bestFit="1" customWidth="1"/>
    <col min="13301" max="13301" width="11" style="178" customWidth="1"/>
    <col min="13302" max="13302" width="10.42578125" style="178" customWidth="1"/>
    <col min="13303" max="13303" width="11.28515625" style="178" customWidth="1"/>
    <col min="13304" max="13305" width="9.140625" style="178" bestFit="1" customWidth="1"/>
    <col min="13306" max="13306" width="11.140625" style="178"/>
    <col min="13307" max="13307" width="4.85546875" style="178" customWidth="1"/>
    <col min="13308" max="13308" width="5.42578125" style="178" customWidth="1"/>
    <col min="13309" max="13309" width="41.85546875" style="178" customWidth="1"/>
    <col min="13310" max="13312" width="12.140625" style="178" customWidth="1"/>
    <col min="13313" max="13313" width="7.28515625" style="178" customWidth="1"/>
    <col min="13314" max="13315" width="12.140625" style="178" customWidth="1"/>
    <col min="13316" max="13316" width="67" style="178" customWidth="1"/>
    <col min="13317" max="13549" width="10.28515625" style="178" customWidth="1"/>
    <col min="13550" max="13550" width="4.28515625" style="178" bestFit="1" customWidth="1"/>
    <col min="13551" max="13551" width="6.85546875" style="178" bestFit="1" customWidth="1"/>
    <col min="13552" max="13552" width="11" style="178" customWidth="1"/>
    <col min="13553" max="13553" width="11.140625" style="178" bestFit="1" customWidth="1"/>
    <col min="13554" max="13554" width="10.85546875" style="178" customWidth="1"/>
    <col min="13555" max="13555" width="11.5703125" style="178" customWidth="1"/>
    <col min="13556" max="13556" width="11.140625" style="178" bestFit="1" customWidth="1"/>
    <col min="13557" max="13557" width="11" style="178" customWidth="1"/>
    <col min="13558" max="13558" width="10.42578125" style="178" customWidth="1"/>
    <col min="13559" max="13559" width="11.28515625" style="178" customWidth="1"/>
    <col min="13560" max="13561" width="9.140625" style="178" bestFit="1" customWidth="1"/>
    <col min="13562" max="13562" width="11.140625" style="178"/>
    <col min="13563" max="13563" width="4.85546875" style="178" customWidth="1"/>
    <col min="13564" max="13564" width="5.42578125" style="178" customWidth="1"/>
    <col min="13565" max="13565" width="41.85546875" style="178" customWidth="1"/>
    <col min="13566" max="13568" width="12.140625" style="178" customWidth="1"/>
    <col min="13569" max="13569" width="7.28515625" style="178" customWidth="1"/>
    <col min="13570" max="13571" width="12.140625" style="178" customWidth="1"/>
    <col min="13572" max="13572" width="67" style="178" customWidth="1"/>
    <col min="13573" max="13805" width="10.28515625" style="178" customWidth="1"/>
    <col min="13806" max="13806" width="4.28515625" style="178" bestFit="1" customWidth="1"/>
    <col min="13807" max="13807" width="6.85546875" style="178" bestFit="1" customWidth="1"/>
    <col min="13808" max="13808" width="11" style="178" customWidth="1"/>
    <col min="13809" max="13809" width="11.140625" style="178" bestFit="1" customWidth="1"/>
    <col min="13810" max="13810" width="10.85546875" style="178" customWidth="1"/>
    <col min="13811" max="13811" width="11.5703125" style="178" customWidth="1"/>
    <col min="13812" max="13812" width="11.140625" style="178" bestFit="1" customWidth="1"/>
    <col min="13813" max="13813" width="11" style="178" customWidth="1"/>
    <col min="13814" max="13814" width="10.42578125" style="178" customWidth="1"/>
    <col min="13815" max="13815" width="11.28515625" style="178" customWidth="1"/>
    <col min="13816" max="13817" width="9.140625" style="178" bestFit="1" customWidth="1"/>
    <col min="13818" max="13818" width="11.140625" style="178"/>
    <col min="13819" max="13819" width="4.85546875" style="178" customWidth="1"/>
    <col min="13820" max="13820" width="5.42578125" style="178" customWidth="1"/>
    <col min="13821" max="13821" width="41.85546875" style="178" customWidth="1"/>
    <col min="13822" max="13824" width="12.140625" style="178" customWidth="1"/>
    <col min="13825" max="13825" width="7.28515625" style="178" customWidth="1"/>
    <col min="13826" max="13827" width="12.140625" style="178" customWidth="1"/>
    <col min="13828" max="13828" width="67" style="178" customWidth="1"/>
    <col min="13829" max="14061" width="10.28515625" style="178" customWidth="1"/>
    <col min="14062" max="14062" width="4.28515625" style="178" bestFit="1" customWidth="1"/>
    <col min="14063" max="14063" width="6.85546875" style="178" bestFit="1" customWidth="1"/>
    <col min="14064" max="14064" width="11" style="178" customWidth="1"/>
    <col min="14065" max="14065" width="11.140625" style="178" bestFit="1" customWidth="1"/>
    <col min="14066" max="14066" width="10.85546875" style="178" customWidth="1"/>
    <col min="14067" max="14067" width="11.5703125" style="178" customWidth="1"/>
    <col min="14068" max="14068" width="11.140625" style="178" bestFit="1" customWidth="1"/>
    <col min="14069" max="14069" width="11" style="178" customWidth="1"/>
    <col min="14070" max="14070" width="10.42578125" style="178" customWidth="1"/>
    <col min="14071" max="14071" width="11.28515625" style="178" customWidth="1"/>
    <col min="14072" max="14073" width="9.140625" style="178" bestFit="1" customWidth="1"/>
    <col min="14074" max="14074" width="11.140625" style="178"/>
    <col min="14075" max="14075" width="4.85546875" style="178" customWidth="1"/>
    <col min="14076" max="14076" width="5.42578125" style="178" customWidth="1"/>
    <col min="14077" max="14077" width="41.85546875" style="178" customWidth="1"/>
    <col min="14078" max="14080" width="12.140625" style="178" customWidth="1"/>
    <col min="14081" max="14081" width="7.28515625" style="178" customWidth="1"/>
    <col min="14082" max="14083" width="12.140625" style="178" customWidth="1"/>
    <col min="14084" max="14084" width="67" style="178" customWidth="1"/>
    <col min="14085" max="14317" width="10.28515625" style="178" customWidth="1"/>
    <col min="14318" max="14318" width="4.28515625" style="178" bestFit="1" customWidth="1"/>
    <col min="14319" max="14319" width="6.85546875" style="178" bestFit="1" customWidth="1"/>
    <col min="14320" max="14320" width="11" style="178" customWidth="1"/>
    <col min="14321" max="14321" width="11.140625" style="178" bestFit="1" customWidth="1"/>
    <col min="14322" max="14322" width="10.85546875" style="178" customWidth="1"/>
    <col min="14323" max="14323" width="11.5703125" style="178" customWidth="1"/>
    <col min="14324" max="14324" width="11.140625" style="178" bestFit="1" customWidth="1"/>
    <col min="14325" max="14325" width="11" style="178" customWidth="1"/>
    <col min="14326" max="14326" width="10.42578125" style="178" customWidth="1"/>
    <col min="14327" max="14327" width="11.28515625" style="178" customWidth="1"/>
    <col min="14328" max="14329" width="9.140625" style="178" bestFit="1" customWidth="1"/>
    <col min="14330" max="14330" width="11.140625" style="178"/>
    <col min="14331" max="14331" width="4.85546875" style="178" customWidth="1"/>
    <col min="14332" max="14332" width="5.42578125" style="178" customWidth="1"/>
    <col min="14333" max="14333" width="41.85546875" style="178" customWidth="1"/>
    <col min="14334" max="14336" width="12.140625" style="178" customWidth="1"/>
    <col min="14337" max="14337" width="7.28515625" style="178" customWidth="1"/>
    <col min="14338" max="14339" width="12.140625" style="178" customWidth="1"/>
    <col min="14340" max="14340" width="67" style="178" customWidth="1"/>
    <col min="14341" max="14573" width="10.28515625" style="178" customWidth="1"/>
    <col min="14574" max="14574" width="4.28515625" style="178" bestFit="1" customWidth="1"/>
    <col min="14575" max="14575" width="6.85546875" style="178" bestFit="1" customWidth="1"/>
    <col min="14576" max="14576" width="11" style="178" customWidth="1"/>
    <col min="14577" max="14577" width="11.140625" style="178" bestFit="1" customWidth="1"/>
    <col min="14578" max="14578" width="10.85546875" style="178" customWidth="1"/>
    <col min="14579" max="14579" width="11.5703125" style="178" customWidth="1"/>
    <col min="14580" max="14580" width="11.140625" style="178" bestFit="1" customWidth="1"/>
    <col min="14581" max="14581" width="11" style="178" customWidth="1"/>
    <col min="14582" max="14582" width="10.42578125" style="178" customWidth="1"/>
    <col min="14583" max="14583" width="11.28515625" style="178" customWidth="1"/>
    <col min="14584" max="14585" width="9.140625" style="178" bestFit="1" customWidth="1"/>
    <col min="14586" max="14586" width="11.140625" style="178"/>
    <col min="14587" max="14587" width="4.85546875" style="178" customWidth="1"/>
    <col min="14588" max="14588" width="5.42578125" style="178" customWidth="1"/>
    <col min="14589" max="14589" width="41.85546875" style="178" customWidth="1"/>
    <col min="14590" max="14592" width="12.140625" style="178" customWidth="1"/>
    <col min="14593" max="14593" width="7.28515625" style="178" customWidth="1"/>
    <col min="14594" max="14595" width="12.140625" style="178" customWidth="1"/>
    <col min="14596" max="14596" width="67" style="178" customWidth="1"/>
    <col min="14597" max="14829" width="10.28515625" style="178" customWidth="1"/>
    <col min="14830" max="14830" width="4.28515625" style="178" bestFit="1" customWidth="1"/>
    <col min="14831" max="14831" width="6.85546875" style="178" bestFit="1" customWidth="1"/>
    <col min="14832" max="14832" width="11" style="178" customWidth="1"/>
    <col min="14833" max="14833" width="11.140625" style="178" bestFit="1" customWidth="1"/>
    <col min="14834" max="14834" width="10.85546875" style="178" customWidth="1"/>
    <col min="14835" max="14835" width="11.5703125" style="178" customWidth="1"/>
    <col min="14836" max="14836" width="11.140625" style="178" bestFit="1" customWidth="1"/>
    <col min="14837" max="14837" width="11" style="178" customWidth="1"/>
    <col min="14838" max="14838" width="10.42578125" style="178" customWidth="1"/>
    <col min="14839" max="14839" width="11.28515625" style="178" customWidth="1"/>
    <col min="14840" max="14841" width="9.140625" style="178" bestFit="1" customWidth="1"/>
    <col min="14842" max="14842" width="11.140625" style="178"/>
    <col min="14843" max="14843" width="4.85546875" style="178" customWidth="1"/>
    <col min="14844" max="14844" width="5.42578125" style="178" customWidth="1"/>
    <col min="14845" max="14845" width="41.85546875" style="178" customWidth="1"/>
    <col min="14846" max="14848" width="12.140625" style="178" customWidth="1"/>
    <col min="14849" max="14849" width="7.28515625" style="178" customWidth="1"/>
    <col min="14850" max="14851" width="12.140625" style="178" customWidth="1"/>
    <col min="14852" max="14852" width="67" style="178" customWidth="1"/>
    <col min="14853" max="15085" width="10.28515625" style="178" customWidth="1"/>
    <col min="15086" max="15086" width="4.28515625" style="178" bestFit="1" customWidth="1"/>
    <col min="15087" max="15087" width="6.85546875" style="178" bestFit="1" customWidth="1"/>
    <col min="15088" max="15088" width="11" style="178" customWidth="1"/>
    <col min="15089" max="15089" width="11.140625" style="178" bestFit="1" customWidth="1"/>
    <col min="15090" max="15090" width="10.85546875" style="178" customWidth="1"/>
    <col min="15091" max="15091" width="11.5703125" style="178" customWidth="1"/>
    <col min="15092" max="15092" width="11.140625" style="178" bestFit="1" customWidth="1"/>
    <col min="15093" max="15093" width="11" style="178" customWidth="1"/>
    <col min="15094" max="15094" width="10.42578125" style="178" customWidth="1"/>
    <col min="15095" max="15095" width="11.28515625" style="178" customWidth="1"/>
    <col min="15096" max="15097" width="9.140625" style="178" bestFit="1" customWidth="1"/>
    <col min="15098" max="15098" width="11.140625" style="178"/>
    <col min="15099" max="15099" width="4.85546875" style="178" customWidth="1"/>
    <col min="15100" max="15100" width="5.42578125" style="178" customWidth="1"/>
    <col min="15101" max="15101" width="41.85546875" style="178" customWidth="1"/>
    <col min="15102" max="15104" width="12.140625" style="178" customWidth="1"/>
    <col min="15105" max="15105" width="7.28515625" style="178" customWidth="1"/>
    <col min="15106" max="15107" width="12.140625" style="178" customWidth="1"/>
    <col min="15108" max="15108" width="67" style="178" customWidth="1"/>
    <col min="15109" max="15341" width="10.28515625" style="178" customWidth="1"/>
    <col min="15342" max="15342" width="4.28515625" style="178" bestFit="1" customWidth="1"/>
    <col min="15343" max="15343" width="6.85546875" style="178" bestFit="1" customWidth="1"/>
    <col min="15344" max="15344" width="11" style="178" customWidth="1"/>
    <col min="15345" max="15345" width="11.140625" style="178" bestFit="1" customWidth="1"/>
    <col min="15346" max="15346" width="10.85546875" style="178" customWidth="1"/>
    <col min="15347" max="15347" width="11.5703125" style="178" customWidth="1"/>
    <col min="15348" max="15348" width="11.140625" style="178" bestFit="1" customWidth="1"/>
    <col min="15349" max="15349" width="11" style="178" customWidth="1"/>
    <col min="15350" max="15350" width="10.42578125" style="178" customWidth="1"/>
    <col min="15351" max="15351" width="11.28515625" style="178" customWidth="1"/>
    <col min="15352" max="15353" width="9.140625" style="178" bestFit="1" customWidth="1"/>
    <col min="15354" max="15354" width="11.140625" style="178"/>
    <col min="15355" max="15355" width="4.85546875" style="178" customWidth="1"/>
    <col min="15356" max="15356" width="5.42578125" style="178" customWidth="1"/>
    <col min="15357" max="15357" width="41.85546875" style="178" customWidth="1"/>
    <col min="15358" max="15360" width="12.140625" style="178" customWidth="1"/>
    <col min="15361" max="15361" width="7.28515625" style="178" customWidth="1"/>
    <col min="15362" max="15363" width="12.140625" style="178" customWidth="1"/>
    <col min="15364" max="15364" width="67" style="178" customWidth="1"/>
    <col min="15365" max="15597" width="10.28515625" style="178" customWidth="1"/>
    <col min="15598" max="15598" width="4.28515625" style="178" bestFit="1" customWidth="1"/>
    <col min="15599" max="15599" width="6.85546875" style="178" bestFit="1" customWidth="1"/>
    <col min="15600" max="15600" width="11" style="178" customWidth="1"/>
    <col min="15601" max="15601" width="11.140625" style="178" bestFit="1" customWidth="1"/>
    <col min="15602" max="15602" width="10.85546875" style="178" customWidth="1"/>
    <col min="15603" max="15603" width="11.5703125" style="178" customWidth="1"/>
    <col min="15604" max="15604" width="11.140625" style="178" bestFit="1" customWidth="1"/>
    <col min="15605" max="15605" width="11" style="178" customWidth="1"/>
    <col min="15606" max="15606" width="10.42578125" style="178" customWidth="1"/>
    <col min="15607" max="15607" width="11.28515625" style="178" customWidth="1"/>
    <col min="15608" max="15609" width="9.140625" style="178" bestFit="1" customWidth="1"/>
    <col min="15610" max="15610" width="11.140625" style="178"/>
    <col min="15611" max="15611" width="4.85546875" style="178" customWidth="1"/>
    <col min="15612" max="15612" width="5.42578125" style="178" customWidth="1"/>
    <col min="15613" max="15613" width="41.85546875" style="178" customWidth="1"/>
    <col min="15614" max="15616" width="12.140625" style="178" customWidth="1"/>
    <col min="15617" max="15617" width="7.28515625" style="178" customWidth="1"/>
    <col min="15618" max="15619" width="12.140625" style="178" customWidth="1"/>
    <col min="15620" max="15620" width="67" style="178" customWidth="1"/>
    <col min="15621" max="15853" width="10.28515625" style="178" customWidth="1"/>
    <col min="15854" max="15854" width="4.28515625" style="178" bestFit="1" customWidth="1"/>
    <col min="15855" max="15855" width="6.85546875" style="178" bestFit="1" customWidth="1"/>
    <col min="15856" max="15856" width="11" style="178" customWidth="1"/>
    <col min="15857" max="15857" width="11.140625" style="178" bestFit="1" customWidth="1"/>
    <col min="15858" max="15858" width="10.85546875" style="178" customWidth="1"/>
    <col min="15859" max="15859" width="11.5703125" style="178" customWidth="1"/>
    <col min="15860" max="15860" width="11.140625" style="178" bestFit="1" customWidth="1"/>
    <col min="15861" max="15861" width="11" style="178" customWidth="1"/>
    <col min="15862" max="15862" width="10.42578125" style="178" customWidth="1"/>
    <col min="15863" max="15863" width="11.28515625" style="178" customWidth="1"/>
    <col min="15864" max="15865" width="9.140625" style="178" bestFit="1" customWidth="1"/>
    <col min="15866" max="15866" width="11.140625" style="178"/>
    <col min="15867" max="15867" width="4.85546875" style="178" customWidth="1"/>
    <col min="15868" max="15868" width="5.42578125" style="178" customWidth="1"/>
    <col min="15869" max="15869" width="41.85546875" style="178" customWidth="1"/>
    <col min="15870" max="15872" width="12.140625" style="178" customWidth="1"/>
    <col min="15873" max="15873" width="7.28515625" style="178" customWidth="1"/>
    <col min="15874" max="15875" width="12.140625" style="178" customWidth="1"/>
    <col min="15876" max="15876" width="67" style="178" customWidth="1"/>
    <col min="15877" max="16109" width="10.28515625" style="178" customWidth="1"/>
    <col min="16110" max="16110" width="4.28515625" style="178" bestFit="1" customWidth="1"/>
    <col min="16111" max="16111" width="6.85546875" style="178" bestFit="1" customWidth="1"/>
    <col min="16112" max="16112" width="11" style="178" customWidth="1"/>
    <col min="16113" max="16113" width="11.140625" style="178" bestFit="1" customWidth="1"/>
    <col min="16114" max="16114" width="10.85546875" style="178" customWidth="1"/>
    <col min="16115" max="16115" width="11.5703125" style="178" customWidth="1"/>
    <col min="16116" max="16116" width="11.140625" style="178" bestFit="1" customWidth="1"/>
    <col min="16117" max="16117" width="11" style="178" customWidth="1"/>
    <col min="16118" max="16118" width="10.42578125" style="178" customWidth="1"/>
    <col min="16119" max="16119" width="11.28515625" style="178" customWidth="1"/>
    <col min="16120" max="16121" width="9.140625" style="178" bestFit="1" customWidth="1"/>
    <col min="16122" max="16122" width="11.140625" style="178"/>
    <col min="16123" max="16123" width="4.85546875" style="178" customWidth="1"/>
    <col min="16124" max="16124" width="5.42578125" style="178" customWidth="1"/>
    <col min="16125" max="16125" width="41.85546875" style="178" customWidth="1"/>
    <col min="16126" max="16128" width="12.140625" style="178" customWidth="1"/>
    <col min="16129" max="16129" width="7.28515625" style="178" customWidth="1"/>
    <col min="16130" max="16131" width="12.140625" style="178" customWidth="1"/>
    <col min="16132" max="16132" width="67" style="178" customWidth="1"/>
    <col min="16133" max="16365" width="10.28515625" style="178" customWidth="1"/>
    <col min="16366" max="16366" width="4.28515625" style="178" bestFit="1" customWidth="1"/>
    <col min="16367" max="16367" width="6.85546875" style="178" bestFit="1" customWidth="1"/>
    <col min="16368" max="16368" width="11" style="178" customWidth="1"/>
    <col min="16369" max="16369" width="11.140625" style="178" bestFit="1" customWidth="1"/>
    <col min="16370" max="16370" width="10.85546875" style="178" customWidth="1"/>
    <col min="16371" max="16371" width="11.5703125" style="178" customWidth="1"/>
    <col min="16372" max="16372" width="11.140625" style="178" bestFit="1" customWidth="1"/>
    <col min="16373" max="16373" width="11" style="178" customWidth="1"/>
    <col min="16374" max="16374" width="10.42578125" style="178" customWidth="1"/>
    <col min="16375" max="16384" width="11.28515625" style="178" customWidth="1"/>
  </cols>
  <sheetData>
    <row r="1" spans="1:14" ht="72" customHeight="1">
      <c r="A1" s="1983" t="s">
        <v>542</v>
      </c>
      <c r="B1" s="1984"/>
      <c r="C1" s="1984"/>
      <c r="D1" s="1984"/>
      <c r="E1" s="1984"/>
      <c r="F1" s="1984"/>
      <c r="G1" s="1984"/>
      <c r="H1" s="1984"/>
      <c r="I1" s="1984"/>
      <c r="J1" s="1984"/>
      <c r="K1" s="1984"/>
      <c r="L1" s="1984"/>
      <c r="M1" s="1984"/>
    </row>
    <row r="2" spans="1:14" ht="16.5" customHeight="1" thickBot="1">
      <c r="A2" s="795"/>
      <c r="B2" s="380"/>
      <c r="C2" s="380"/>
      <c r="D2" s="1058"/>
      <c r="E2" s="1058"/>
      <c r="F2" s="1059"/>
      <c r="G2" s="1058"/>
      <c r="H2" s="1058"/>
      <c r="I2" s="1060"/>
      <c r="J2" s="1058"/>
      <c r="K2" s="1058"/>
      <c r="L2" s="1061"/>
      <c r="M2" s="992" t="s">
        <v>0</v>
      </c>
    </row>
    <row r="3" spans="1:14" s="213" customFormat="1" ht="64.5" customHeight="1" thickBot="1">
      <c r="A3" s="1062" t="s">
        <v>37</v>
      </c>
      <c r="B3" s="2509" t="s">
        <v>3</v>
      </c>
      <c r="C3" s="2509"/>
      <c r="D3" s="794" t="s">
        <v>4</v>
      </c>
      <c r="E3" s="1063" t="s">
        <v>355</v>
      </c>
      <c r="F3" s="792" t="s">
        <v>150</v>
      </c>
      <c r="G3" s="1063" t="s">
        <v>516</v>
      </c>
      <c r="H3" s="1063" t="s">
        <v>180</v>
      </c>
      <c r="I3" s="1063" t="s">
        <v>39</v>
      </c>
      <c r="J3" s="1064" t="s">
        <v>190</v>
      </c>
      <c r="K3" s="1063" t="s">
        <v>166</v>
      </c>
      <c r="L3" s="1065" t="s">
        <v>517</v>
      </c>
      <c r="M3" s="792" t="s">
        <v>358</v>
      </c>
    </row>
    <row r="4" spans="1:14" s="1067" customFormat="1" ht="10.5" customHeight="1" thickBot="1">
      <c r="A4" s="1066" t="s">
        <v>6</v>
      </c>
      <c r="B4" s="2495" t="s">
        <v>7</v>
      </c>
      <c r="C4" s="2495"/>
      <c r="D4" s="1000" t="s">
        <v>8</v>
      </c>
      <c r="E4" s="1001" t="s">
        <v>9</v>
      </c>
      <c r="F4" s="1001" t="s">
        <v>10</v>
      </c>
      <c r="G4" s="1001" t="s">
        <v>11</v>
      </c>
      <c r="H4" s="1001" t="s">
        <v>12</v>
      </c>
      <c r="I4" s="1001" t="s">
        <v>202</v>
      </c>
      <c r="J4" s="1001" t="s">
        <v>13</v>
      </c>
      <c r="K4" s="1001" t="s">
        <v>11</v>
      </c>
      <c r="L4" s="1001" t="s">
        <v>493</v>
      </c>
      <c r="M4" s="1001" t="s">
        <v>12</v>
      </c>
    </row>
    <row r="5" spans="1:14" s="1044" customFormat="1" ht="16.5" customHeight="1">
      <c r="A5" s="392" t="s">
        <v>57</v>
      </c>
      <c r="B5" s="393"/>
      <c r="C5" s="1068" t="s">
        <v>58</v>
      </c>
      <c r="D5" s="1069"/>
      <c r="E5" s="1070">
        <f>SUM(E6,E24)</f>
        <v>2445100</v>
      </c>
      <c r="F5" s="1070">
        <f>SUM(F6+F24)</f>
        <v>2445100</v>
      </c>
      <c r="G5" s="1070">
        <f>SUM(G6)</f>
        <v>0</v>
      </c>
      <c r="H5" s="1070">
        <f>SUM(H6+H24)</f>
        <v>2740565</v>
      </c>
      <c r="I5" s="815">
        <f>H5/E5</f>
        <v>1.1208396384605948</v>
      </c>
      <c r="J5" s="1070">
        <f>SUM(J6)</f>
        <v>50000</v>
      </c>
      <c r="K5" s="1070">
        <f>SUM(K6)</f>
        <v>2790565</v>
      </c>
      <c r="L5" s="1071">
        <f>K5/E5</f>
        <v>1.1412886998486769</v>
      </c>
      <c r="M5" s="1072"/>
    </row>
    <row r="6" spans="1:14" s="189" customFormat="1" ht="19.5" customHeight="1">
      <c r="A6" s="2503"/>
      <c r="B6" s="1932" t="s">
        <v>476</v>
      </c>
      <c r="C6" s="660" t="s">
        <v>59</v>
      </c>
      <c r="D6" s="847"/>
      <c r="E6" s="819">
        <f>SUM(E7,E19)</f>
        <v>2445100</v>
      </c>
      <c r="F6" s="819">
        <f>SUM(F7,F19)</f>
        <v>2445100</v>
      </c>
      <c r="G6" s="819">
        <f>SUM(G7,G19)</f>
        <v>0</v>
      </c>
      <c r="H6" s="819">
        <f>SUM(H7,H19)</f>
        <v>2740565</v>
      </c>
      <c r="I6" s="820">
        <f>H6/E6</f>
        <v>1.1208396384605948</v>
      </c>
      <c r="J6" s="819">
        <f>SUM(J7,J19)</f>
        <v>50000</v>
      </c>
      <c r="K6" s="819">
        <f>SUM(K7,K19)</f>
        <v>2790565</v>
      </c>
      <c r="L6" s="1073">
        <f>K6/E6</f>
        <v>1.1412886998486769</v>
      </c>
      <c r="M6" s="2492" t="s">
        <v>543</v>
      </c>
    </row>
    <row r="7" spans="1:14" s="189" customFormat="1" ht="19.5" customHeight="1">
      <c r="A7" s="2503"/>
      <c r="B7" s="1932"/>
      <c r="C7" s="664" t="s">
        <v>18</v>
      </c>
      <c r="D7" s="851"/>
      <c r="E7" s="823">
        <f>SUM(E8,E14,E15,E16,E17,E18)</f>
        <v>2445100</v>
      </c>
      <c r="F7" s="823">
        <f>SUM(F8,F14,F15,F16,F17,F18)</f>
        <v>2445100</v>
      </c>
      <c r="G7" s="823">
        <f>SUM(G8,G14,G15,G16,G17,G18)</f>
        <v>0</v>
      </c>
      <c r="H7" s="823">
        <f>SUM(H8,H14,H15,H16,H17,H18)</f>
        <v>2740565</v>
      </c>
      <c r="I7" s="824">
        <f>H7/E7</f>
        <v>1.1208396384605948</v>
      </c>
      <c r="J7" s="823">
        <f>SUM(J8,J14,J15,J16,J17,J18)</f>
        <v>50000</v>
      </c>
      <c r="K7" s="823">
        <f>SUM(K8,K14,K15,K16,K17,K18)</f>
        <v>2790565</v>
      </c>
      <c r="L7" s="1074">
        <f>K7/E7</f>
        <v>1.1412886998486769</v>
      </c>
      <c r="M7" s="2510"/>
    </row>
    <row r="8" spans="1:14" ht="19.5" customHeight="1">
      <c r="A8" s="2503"/>
      <c r="B8" s="1932"/>
      <c r="C8" s="668" t="s">
        <v>19</v>
      </c>
      <c r="D8" s="929"/>
      <c r="E8" s="830">
        <f>SUM(E9:E10)</f>
        <v>1019100</v>
      </c>
      <c r="F8" s="830">
        <f>SUM(F9:F10)</f>
        <v>1019100</v>
      </c>
      <c r="G8" s="830">
        <f>SUM(G9:G10)</f>
        <v>0</v>
      </c>
      <c r="H8" s="830">
        <f>SUM(H9:H10)</f>
        <v>1171965</v>
      </c>
      <c r="I8" s="828">
        <f>H8/E8</f>
        <v>1.1499999999999999</v>
      </c>
      <c r="J8" s="830">
        <f>SUM(J9:J10)</f>
        <v>50000</v>
      </c>
      <c r="K8" s="830">
        <f>SUM(K9:K10)</f>
        <v>1221965</v>
      </c>
      <c r="L8" s="1075">
        <f t="shared" ref="L8:L14" si="0">K8/E8</f>
        <v>1.1990628986360514</v>
      </c>
      <c r="M8" s="2510"/>
      <c r="N8" s="1021"/>
    </row>
    <row r="9" spans="1:14" ht="19.5" customHeight="1">
      <c r="A9" s="2503"/>
      <c r="B9" s="1932"/>
      <c r="C9" s="668" t="s">
        <v>20</v>
      </c>
      <c r="D9" s="929"/>
      <c r="E9" s="830"/>
      <c r="F9" s="830"/>
      <c r="G9" s="830"/>
      <c r="H9" s="830"/>
      <c r="I9" s="828"/>
      <c r="J9" s="830"/>
      <c r="K9" s="830"/>
      <c r="L9" s="1075"/>
      <c r="M9" s="2510"/>
      <c r="N9" s="1021" t="s">
        <v>42</v>
      </c>
    </row>
    <row r="10" spans="1:14" ht="19.5" customHeight="1">
      <c r="A10" s="2503"/>
      <c r="B10" s="1932"/>
      <c r="C10" s="1971" t="s">
        <v>21</v>
      </c>
      <c r="D10" s="932" t="s">
        <v>22</v>
      </c>
      <c r="E10" s="830">
        <f>SUM(E11:E13)</f>
        <v>1019100</v>
      </c>
      <c r="F10" s="830">
        <f>SUM(F11:F13)</f>
        <v>1019100</v>
      </c>
      <c r="G10" s="830">
        <f>SUM(G11:G13)</f>
        <v>0</v>
      </c>
      <c r="H10" s="830">
        <f>SUM(H11:H13)</f>
        <v>1171965</v>
      </c>
      <c r="I10" s="828">
        <f>H10/E10</f>
        <v>1.1499999999999999</v>
      </c>
      <c r="J10" s="830">
        <f>SUM(J11:J13)</f>
        <v>50000</v>
      </c>
      <c r="K10" s="830">
        <f>SUM(K11:K13)</f>
        <v>1221965</v>
      </c>
      <c r="L10" s="1075">
        <f t="shared" si="0"/>
        <v>1.1990628986360514</v>
      </c>
      <c r="M10" s="2510"/>
      <c r="N10" s="1021" t="s">
        <v>43</v>
      </c>
    </row>
    <row r="11" spans="1:14" ht="19.5" customHeight="1">
      <c r="A11" s="2503"/>
      <c r="B11" s="1932"/>
      <c r="C11" s="1971"/>
      <c r="D11" s="933">
        <v>4210</v>
      </c>
      <c r="E11" s="836">
        <v>119100</v>
      </c>
      <c r="F11" s="836">
        <v>119100</v>
      </c>
      <c r="G11" s="836"/>
      <c r="H11" s="836">
        <v>171965</v>
      </c>
      <c r="I11" s="837">
        <f>H11/E11</f>
        <v>1.443870696893367</v>
      </c>
      <c r="J11" s="836"/>
      <c r="K11" s="836">
        <f>H11+J11</f>
        <v>171965</v>
      </c>
      <c r="L11" s="1076">
        <f t="shared" si="0"/>
        <v>1.443870696893367</v>
      </c>
      <c r="M11" s="2510"/>
      <c r="N11" s="1021"/>
    </row>
    <row r="12" spans="1:14" s="977" customFormat="1" ht="19.5" customHeight="1">
      <c r="A12" s="2503"/>
      <c r="B12" s="1932"/>
      <c r="C12" s="1971"/>
      <c r="D12" s="933">
        <v>4300</v>
      </c>
      <c r="E12" s="836">
        <v>400000</v>
      </c>
      <c r="F12" s="836">
        <v>400000</v>
      </c>
      <c r="G12" s="836"/>
      <c r="H12" s="836">
        <v>300000</v>
      </c>
      <c r="I12" s="837">
        <f>H12/E12</f>
        <v>0.75</v>
      </c>
      <c r="J12" s="836"/>
      <c r="K12" s="836">
        <f>H12+J12</f>
        <v>300000</v>
      </c>
      <c r="L12" s="1076">
        <f t="shared" si="0"/>
        <v>0.75</v>
      </c>
      <c r="M12" s="2510"/>
      <c r="N12" s="1077"/>
    </row>
    <row r="13" spans="1:14" s="977" customFormat="1" ht="19.5" customHeight="1">
      <c r="A13" s="2503"/>
      <c r="B13" s="1932"/>
      <c r="C13" s="1971"/>
      <c r="D13" s="933">
        <v>4430</v>
      </c>
      <c r="E13" s="836">
        <v>500000</v>
      </c>
      <c r="F13" s="836">
        <v>500000</v>
      </c>
      <c r="G13" s="836"/>
      <c r="H13" s="836">
        <v>700000</v>
      </c>
      <c r="I13" s="837">
        <f>H13/E13</f>
        <v>1.4</v>
      </c>
      <c r="J13" s="836">
        <v>50000</v>
      </c>
      <c r="K13" s="836">
        <f>H13+J13</f>
        <v>750000</v>
      </c>
      <c r="L13" s="1076">
        <f t="shared" si="0"/>
        <v>1.5</v>
      </c>
      <c r="M13" s="2510"/>
      <c r="N13" s="1077"/>
    </row>
    <row r="14" spans="1:14" ht="19.5" customHeight="1">
      <c r="A14" s="2503"/>
      <c r="B14" s="1932"/>
      <c r="C14" s="668" t="s">
        <v>23</v>
      </c>
      <c r="D14" s="929">
        <v>2360</v>
      </c>
      <c r="E14" s="830">
        <v>1426000</v>
      </c>
      <c r="F14" s="830">
        <v>1426000</v>
      </c>
      <c r="G14" s="830"/>
      <c r="H14" s="830">
        <v>1568600</v>
      </c>
      <c r="I14" s="828">
        <f>H14/E14</f>
        <v>1.1000000000000001</v>
      </c>
      <c r="J14" s="830"/>
      <c r="K14" s="830">
        <f>H14+J14</f>
        <v>1568600</v>
      </c>
      <c r="L14" s="1075">
        <f t="shared" si="0"/>
        <v>1.1000000000000001</v>
      </c>
      <c r="M14" s="2510"/>
      <c r="N14" s="1026" t="s">
        <v>44</v>
      </c>
    </row>
    <row r="15" spans="1:14" ht="19.5" customHeight="1">
      <c r="A15" s="2503"/>
      <c r="B15" s="1932"/>
      <c r="C15" s="668" t="s">
        <v>24</v>
      </c>
      <c r="D15" s="929"/>
      <c r="E15" s="830"/>
      <c r="F15" s="830"/>
      <c r="G15" s="830"/>
      <c r="H15" s="830"/>
      <c r="I15" s="828"/>
      <c r="J15" s="830"/>
      <c r="K15" s="830"/>
      <c r="L15" s="1075"/>
      <c r="M15" s="2510"/>
    </row>
    <row r="16" spans="1:14" ht="19.5" customHeight="1">
      <c r="A16" s="2503"/>
      <c r="B16" s="1932"/>
      <c r="C16" s="672" t="s">
        <v>25</v>
      </c>
      <c r="D16" s="932"/>
      <c r="E16" s="830"/>
      <c r="F16" s="830"/>
      <c r="G16" s="830"/>
      <c r="H16" s="830"/>
      <c r="I16" s="828"/>
      <c r="J16" s="830"/>
      <c r="K16" s="830"/>
      <c r="L16" s="1075"/>
      <c r="M16" s="2510"/>
    </row>
    <row r="17" spans="1:14" ht="19.5" customHeight="1">
      <c r="A17" s="2503"/>
      <c r="B17" s="1932"/>
      <c r="C17" s="668" t="s">
        <v>26</v>
      </c>
      <c r="D17" s="929"/>
      <c r="E17" s="830"/>
      <c r="F17" s="830"/>
      <c r="G17" s="830"/>
      <c r="H17" s="830"/>
      <c r="I17" s="828"/>
      <c r="J17" s="830"/>
      <c r="K17" s="830"/>
      <c r="L17" s="1075"/>
      <c r="M17" s="2510"/>
    </row>
    <row r="18" spans="1:14" ht="19.5" customHeight="1">
      <c r="A18" s="2503"/>
      <c r="B18" s="1932"/>
      <c r="C18" s="668" t="s">
        <v>27</v>
      </c>
      <c r="D18" s="929"/>
      <c r="E18" s="830"/>
      <c r="F18" s="830"/>
      <c r="G18" s="830"/>
      <c r="H18" s="830"/>
      <c r="I18" s="828"/>
      <c r="J18" s="830"/>
      <c r="K18" s="830"/>
      <c r="L18" s="1075"/>
      <c r="M18" s="2510"/>
    </row>
    <row r="19" spans="1:14" ht="19.5" customHeight="1">
      <c r="A19" s="2503"/>
      <c r="B19" s="1932"/>
      <c r="C19" s="676" t="s">
        <v>28</v>
      </c>
      <c r="D19" s="938"/>
      <c r="E19" s="823">
        <f>SUM(E20,E22,E23)</f>
        <v>0</v>
      </c>
      <c r="F19" s="823">
        <f>SUM(F20,F22,F23)</f>
        <v>0</v>
      </c>
      <c r="G19" s="823">
        <f>SUM(G20,G22,G23)</f>
        <v>0</v>
      </c>
      <c r="H19" s="823">
        <f>SUM(H20,H22,H23)</f>
        <v>0</v>
      </c>
      <c r="I19" s="824"/>
      <c r="J19" s="823">
        <f>SUM(J20,J22,J23)</f>
        <v>0</v>
      </c>
      <c r="K19" s="823">
        <f>SUM(K20,K22,K23)</f>
        <v>0</v>
      </c>
      <c r="L19" s="1074"/>
      <c r="M19" s="2510"/>
    </row>
    <row r="20" spans="1:14" ht="19.5" customHeight="1">
      <c r="A20" s="2503"/>
      <c r="B20" s="1932"/>
      <c r="C20" s="668" t="s">
        <v>29</v>
      </c>
      <c r="D20" s="929"/>
      <c r="E20" s="830"/>
      <c r="F20" s="830"/>
      <c r="G20" s="830"/>
      <c r="H20" s="830"/>
      <c r="I20" s="828"/>
      <c r="J20" s="830"/>
      <c r="K20" s="830"/>
      <c r="L20" s="1075"/>
      <c r="M20" s="2510"/>
    </row>
    <row r="21" spans="1:14" ht="19.5" customHeight="1">
      <c r="A21" s="2503"/>
      <c r="B21" s="1932"/>
      <c r="C21" s="672" t="s">
        <v>89</v>
      </c>
      <c r="D21" s="932"/>
      <c r="E21" s="830"/>
      <c r="F21" s="830"/>
      <c r="G21" s="830"/>
      <c r="H21" s="830"/>
      <c r="I21" s="828"/>
      <c r="J21" s="830"/>
      <c r="K21" s="830"/>
      <c r="L21" s="1075"/>
      <c r="M21" s="2510"/>
    </row>
    <row r="22" spans="1:14" ht="19.5" customHeight="1">
      <c r="A22" s="2503"/>
      <c r="B22" s="1932"/>
      <c r="C22" s="668" t="s">
        <v>31</v>
      </c>
      <c r="D22" s="929"/>
      <c r="E22" s="830"/>
      <c r="F22" s="830"/>
      <c r="G22" s="830"/>
      <c r="H22" s="830"/>
      <c r="I22" s="828"/>
      <c r="J22" s="830"/>
      <c r="K22" s="830"/>
      <c r="L22" s="1075"/>
      <c r="M22" s="2510"/>
    </row>
    <row r="23" spans="1:14" s="189" customFormat="1" ht="19.5" customHeight="1">
      <c r="A23" s="2503"/>
      <c r="B23" s="1932"/>
      <c r="C23" s="668" t="s">
        <v>32</v>
      </c>
      <c r="D23" s="929"/>
      <c r="E23" s="823"/>
      <c r="F23" s="823"/>
      <c r="G23" s="823"/>
      <c r="H23" s="823"/>
      <c r="I23" s="828"/>
      <c r="J23" s="823"/>
      <c r="K23" s="823"/>
      <c r="L23" s="1074"/>
      <c r="M23" s="2510"/>
    </row>
    <row r="24" spans="1:14" s="189" customFormat="1" ht="14.25" hidden="1" customHeight="1">
      <c r="A24" s="2503"/>
      <c r="B24" s="1932" t="s">
        <v>121</v>
      </c>
      <c r="C24" s="660" t="s">
        <v>17</v>
      </c>
      <c r="D24" s="847"/>
      <c r="E24" s="819">
        <f>SUM(E25,E36)</f>
        <v>0</v>
      </c>
      <c r="F24" s="819">
        <f>SUM(F25,F36)</f>
        <v>0</v>
      </c>
      <c r="G24" s="819">
        <f>SUM(G25,G36)</f>
        <v>0</v>
      </c>
      <c r="H24" s="819">
        <f>SUM(H25,H36)</f>
        <v>0</v>
      </c>
      <c r="I24" s="820"/>
      <c r="J24" s="819">
        <f>SUM(J25,J36)</f>
        <v>0</v>
      </c>
      <c r="K24" s="819">
        <f>SUM(K25,K36)</f>
        <v>0</v>
      </c>
      <c r="L24" s="1073"/>
      <c r="M24" s="1979"/>
    </row>
    <row r="25" spans="1:14" s="189" customFormat="1" ht="14.25" hidden="1" customHeight="1">
      <c r="A25" s="2503"/>
      <c r="B25" s="1932"/>
      <c r="C25" s="664" t="s">
        <v>18</v>
      </c>
      <c r="D25" s="851"/>
      <c r="E25" s="823">
        <f>SUM(E26,E31,E32,E33,E34,E35)</f>
        <v>0</v>
      </c>
      <c r="F25" s="823">
        <f>SUM(F26,F31,F32,F33,F34,F35)</f>
        <v>0</v>
      </c>
      <c r="G25" s="823">
        <f>SUM(G26,G31,G32,G33,G34,G35)</f>
        <v>0</v>
      </c>
      <c r="H25" s="823">
        <f>SUM(H26,H31,H32,H33,H34,H35)</f>
        <v>0</v>
      </c>
      <c r="I25" s="824"/>
      <c r="J25" s="823">
        <f>SUM(J26,J31,J32,J33,J34,J35)</f>
        <v>0</v>
      </c>
      <c r="K25" s="823">
        <f>SUM(K26,K31,K32,K33,K34,K35)</f>
        <v>0</v>
      </c>
      <c r="L25" s="1074"/>
      <c r="M25" s="2504"/>
    </row>
    <row r="26" spans="1:14" ht="12.75" hidden="1">
      <c r="A26" s="2503"/>
      <c r="B26" s="1932"/>
      <c r="C26" s="668" t="s">
        <v>19</v>
      </c>
      <c r="D26" s="929"/>
      <c r="E26" s="830">
        <f>SUM(E27:E28)</f>
        <v>0</v>
      </c>
      <c r="F26" s="830">
        <f>SUM(F27:F28)</f>
        <v>0</v>
      </c>
      <c r="G26" s="830">
        <f>SUM(G27:G29)</f>
        <v>0</v>
      </c>
      <c r="H26" s="830"/>
      <c r="I26" s="828"/>
      <c r="J26" s="830">
        <f>SUM(J27:J29)</f>
        <v>0</v>
      </c>
      <c r="K26" s="830">
        <f>SUM(K27:K29)</f>
        <v>0</v>
      </c>
      <c r="L26" s="1075"/>
      <c r="M26" s="2504"/>
      <c r="N26" s="1021"/>
    </row>
    <row r="27" spans="1:14" ht="12.75" hidden="1">
      <c r="A27" s="2503"/>
      <c r="B27" s="1932"/>
      <c r="C27" s="668" t="s">
        <v>20</v>
      </c>
      <c r="D27" s="929"/>
      <c r="E27" s="830"/>
      <c r="F27" s="830"/>
      <c r="G27" s="830"/>
      <c r="H27" s="830"/>
      <c r="I27" s="828"/>
      <c r="J27" s="830"/>
      <c r="K27" s="830"/>
      <c r="L27" s="1075"/>
      <c r="M27" s="2504"/>
      <c r="N27" s="1021" t="s">
        <v>42</v>
      </c>
    </row>
    <row r="28" spans="1:14" ht="12.75" hidden="1" customHeight="1">
      <c r="A28" s="2503"/>
      <c r="B28" s="1932"/>
      <c r="C28" s="1971" t="s">
        <v>21</v>
      </c>
      <c r="D28" s="932" t="s">
        <v>22</v>
      </c>
      <c r="E28" s="830">
        <f>E29+E30</f>
        <v>0</v>
      </c>
      <c r="F28" s="830">
        <f>F29+F30</f>
        <v>0</v>
      </c>
      <c r="G28" s="830">
        <f>G29+G30</f>
        <v>0</v>
      </c>
      <c r="H28" s="830">
        <f>H29+H30</f>
        <v>0</v>
      </c>
      <c r="I28" s="828"/>
      <c r="J28" s="830"/>
      <c r="K28" s="830">
        <f>H28+J28</f>
        <v>0</v>
      </c>
      <c r="L28" s="1075"/>
      <c r="M28" s="2504"/>
      <c r="N28" s="1021" t="s">
        <v>43</v>
      </c>
    </row>
    <row r="29" spans="1:14" ht="12.75" hidden="1" customHeight="1">
      <c r="A29" s="2503"/>
      <c r="B29" s="1932"/>
      <c r="C29" s="1971"/>
      <c r="D29" s="933">
        <v>4300</v>
      </c>
      <c r="E29" s="836"/>
      <c r="F29" s="836"/>
      <c r="G29" s="836"/>
      <c r="H29" s="836"/>
      <c r="I29" s="837"/>
      <c r="J29" s="836"/>
      <c r="K29" s="836"/>
      <c r="L29" s="1076"/>
      <c r="M29" s="2504"/>
      <c r="N29" s="1021"/>
    </row>
    <row r="30" spans="1:14" ht="15" hidden="1" customHeight="1">
      <c r="A30" s="2503"/>
      <c r="B30" s="1932"/>
      <c r="C30" s="1971"/>
      <c r="D30" s="933">
        <v>4390</v>
      </c>
      <c r="E30" s="836"/>
      <c r="F30" s="836"/>
      <c r="G30" s="836"/>
      <c r="H30" s="836"/>
      <c r="I30" s="837"/>
      <c r="J30" s="836"/>
      <c r="K30" s="836"/>
      <c r="L30" s="1076"/>
      <c r="M30" s="2504"/>
      <c r="N30" s="1021"/>
    </row>
    <row r="31" spans="1:14" ht="12.75" hidden="1">
      <c r="A31" s="2503"/>
      <c r="B31" s="1932"/>
      <c r="C31" s="668" t="s">
        <v>23</v>
      </c>
      <c r="D31" s="929">
        <v>2330</v>
      </c>
      <c r="E31" s="830"/>
      <c r="F31" s="830"/>
      <c r="G31" s="830"/>
      <c r="H31" s="830"/>
      <c r="I31" s="828"/>
      <c r="J31" s="830"/>
      <c r="K31" s="830"/>
      <c r="L31" s="1075"/>
      <c r="M31" s="2504"/>
      <c r="N31" s="1026" t="s">
        <v>44</v>
      </c>
    </row>
    <row r="32" spans="1:14" ht="12.75" hidden="1">
      <c r="A32" s="2503"/>
      <c r="B32" s="1932"/>
      <c r="C32" s="668" t="s">
        <v>24</v>
      </c>
      <c r="D32" s="929"/>
      <c r="E32" s="830"/>
      <c r="F32" s="830"/>
      <c r="G32" s="830"/>
      <c r="H32" s="830"/>
      <c r="I32" s="828"/>
      <c r="J32" s="830"/>
      <c r="K32" s="830"/>
      <c r="L32" s="1075"/>
      <c r="M32" s="2504"/>
    </row>
    <row r="33" spans="1:14" ht="24" hidden="1" customHeight="1">
      <c r="A33" s="2503"/>
      <c r="B33" s="1932"/>
      <c r="C33" s="672" t="s">
        <v>25</v>
      </c>
      <c r="D33" s="932"/>
      <c r="E33" s="830"/>
      <c r="F33" s="830"/>
      <c r="G33" s="830"/>
      <c r="H33" s="830"/>
      <c r="I33" s="828"/>
      <c r="J33" s="830"/>
      <c r="K33" s="830"/>
      <c r="L33" s="1075"/>
      <c r="M33" s="2504"/>
    </row>
    <row r="34" spans="1:14" ht="12.75" hidden="1">
      <c r="A34" s="2503"/>
      <c r="B34" s="1932"/>
      <c r="C34" s="668" t="s">
        <v>26</v>
      </c>
      <c r="D34" s="929"/>
      <c r="E34" s="830"/>
      <c r="F34" s="830"/>
      <c r="G34" s="830"/>
      <c r="H34" s="830"/>
      <c r="I34" s="828"/>
      <c r="J34" s="830"/>
      <c r="K34" s="830"/>
      <c r="L34" s="1075"/>
      <c r="M34" s="2504"/>
    </row>
    <row r="35" spans="1:14" ht="12.75" hidden="1">
      <c r="A35" s="2503"/>
      <c r="B35" s="1932"/>
      <c r="C35" s="668" t="s">
        <v>27</v>
      </c>
      <c r="D35" s="929"/>
      <c r="E35" s="830"/>
      <c r="F35" s="830"/>
      <c r="G35" s="830"/>
      <c r="H35" s="830"/>
      <c r="I35" s="828"/>
      <c r="J35" s="830"/>
      <c r="K35" s="830"/>
      <c r="L35" s="1075"/>
      <c r="M35" s="2504"/>
    </row>
    <row r="36" spans="1:14" ht="12.75" hidden="1">
      <c r="A36" s="2503"/>
      <c r="B36" s="1932"/>
      <c r="C36" s="676" t="s">
        <v>28</v>
      </c>
      <c r="D36" s="938"/>
      <c r="E36" s="823">
        <f>SUM(E37,E39,E40)</f>
        <v>0</v>
      </c>
      <c r="F36" s="823">
        <f>SUM(F37,F39,F40)</f>
        <v>0</v>
      </c>
      <c r="G36" s="823">
        <f>SUM(G37,G39,G40)</f>
        <v>0</v>
      </c>
      <c r="H36" s="823">
        <f>SUM(H37,H39,H40)</f>
        <v>0</v>
      </c>
      <c r="I36" s="824"/>
      <c r="J36" s="823">
        <f>SUM(J37,J39,J40)</f>
        <v>0</v>
      </c>
      <c r="K36" s="823">
        <f>SUM(K37,K39,K40)</f>
        <v>0</v>
      </c>
      <c r="L36" s="1074"/>
      <c r="M36" s="2504"/>
    </row>
    <row r="37" spans="1:14" ht="12.75" hidden="1">
      <c r="A37" s="2503"/>
      <c r="B37" s="1932"/>
      <c r="C37" s="668" t="s">
        <v>29</v>
      </c>
      <c r="D37" s="929"/>
      <c r="E37" s="830"/>
      <c r="F37" s="830"/>
      <c r="G37" s="830"/>
      <c r="H37" s="830"/>
      <c r="I37" s="828"/>
      <c r="J37" s="830"/>
      <c r="K37" s="830"/>
      <c r="L37" s="1075"/>
      <c r="M37" s="2504"/>
    </row>
    <row r="38" spans="1:14" ht="23.25" hidden="1" customHeight="1">
      <c r="A38" s="2503"/>
      <c r="B38" s="1932"/>
      <c r="C38" s="672" t="s">
        <v>89</v>
      </c>
      <c r="D38" s="932"/>
      <c r="E38" s="830"/>
      <c r="F38" s="830"/>
      <c r="G38" s="830"/>
      <c r="H38" s="830"/>
      <c r="I38" s="828"/>
      <c r="J38" s="830"/>
      <c r="K38" s="830"/>
      <c r="L38" s="1075"/>
      <c r="M38" s="2504"/>
    </row>
    <row r="39" spans="1:14" ht="12.75" hidden="1">
      <c r="A39" s="2503"/>
      <c r="B39" s="1932"/>
      <c r="C39" s="668" t="s">
        <v>31</v>
      </c>
      <c r="D39" s="929"/>
      <c r="E39" s="830"/>
      <c r="F39" s="830"/>
      <c r="G39" s="830"/>
      <c r="H39" s="830"/>
      <c r="I39" s="828"/>
      <c r="J39" s="830"/>
      <c r="K39" s="830"/>
      <c r="L39" s="1075"/>
      <c r="M39" s="2504"/>
    </row>
    <row r="40" spans="1:14" s="189" customFormat="1" ht="12.75" hidden="1">
      <c r="A40" s="2503"/>
      <c r="B40" s="1932"/>
      <c r="C40" s="668" t="s">
        <v>32</v>
      </c>
      <c r="D40" s="929"/>
      <c r="E40" s="823"/>
      <c r="F40" s="823"/>
      <c r="G40" s="823"/>
      <c r="H40" s="823"/>
      <c r="I40" s="828"/>
      <c r="J40" s="823"/>
      <c r="K40" s="823"/>
      <c r="L40" s="1074"/>
      <c r="M40" s="2504"/>
    </row>
    <row r="41" spans="1:14" s="1044" customFormat="1">
      <c r="A41" s="877" t="s">
        <v>14</v>
      </c>
      <c r="B41" s="878"/>
      <c r="C41" s="800" t="s">
        <v>544</v>
      </c>
      <c r="D41" s="880"/>
      <c r="E41" s="1015">
        <f>SUM(E71,E91,E42,E130)</f>
        <v>22786053</v>
      </c>
      <c r="F41" s="1015">
        <f>SUM(F71,F91,F42,F130)</f>
        <v>28742548</v>
      </c>
      <c r="G41" s="1015">
        <f>SUM(G71,G91,G42,G130)</f>
        <v>8293.5</v>
      </c>
      <c r="H41" s="1015">
        <f>SUM(H71,H91,H42,H130)</f>
        <v>21988766</v>
      </c>
      <c r="I41" s="882">
        <f>H41/E41</f>
        <v>0.96500986809782285</v>
      </c>
      <c r="J41" s="1015">
        <f>SUM(J71,J91,J42,H130)</f>
        <v>1300000</v>
      </c>
      <c r="K41" s="1015">
        <f>SUM(K71,K91,K42,I130)</f>
        <v>23288766</v>
      </c>
      <c r="L41" s="1078">
        <f>K41/E41</f>
        <v>1.0220623115376761</v>
      </c>
      <c r="M41" s="1079"/>
    </row>
    <row r="42" spans="1:14" s="189" customFormat="1" ht="12.75">
      <c r="A42" s="1966"/>
      <c r="B42" s="1932" t="s">
        <v>114</v>
      </c>
      <c r="C42" s="660" t="s">
        <v>545</v>
      </c>
      <c r="D42" s="847"/>
      <c r="E42" s="819">
        <f>SUM(E43,E62)</f>
        <v>3000000</v>
      </c>
      <c r="F42" s="819">
        <f>SUM(F43,F62)</f>
        <v>4100000</v>
      </c>
      <c r="G42" s="819">
        <f>SUM(G43,G62)</f>
        <v>0</v>
      </c>
      <c r="H42" s="819">
        <f>SUM(H43,H62)</f>
        <v>4152941</v>
      </c>
      <c r="I42" s="820">
        <f>H42/E42</f>
        <v>1.3843136666666667</v>
      </c>
      <c r="J42" s="819">
        <f>SUM(J43,J62)</f>
        <v>0</v>
      </c>
      <c r="K42" s="819">
        <f>SUM(K43,K62)</f>
        <v>4152941</v>
      </c>
      <c r="L42" s="1073">
        <f>K42/E42</f>
        <v>1.3843136666666667</v>
      </c>
      <c r="M42" s="2483" t="s">
        <v>546</v>
      </c>
    </row>
    <row r="43" spans="1:14" s="189" customFormat="1" ht="12.75">
      <c r="A43" s="1967"/>
      <c r="B43" s="1932"/>
      <c r="C43" s="664" t="s">
        <v>18</v>
      </c>
      <c r="D43" s="851"/>
      <c r="E43" s="823">
        <f>SUM(E44,E47,E48,E49,E60,E61)</f>
        <v>3000000</v>
      </c>
      <c r="F43" s="823">
        <f>SUM(F44,F47,F48,F49,F60,F61)</f>
        <v>4100000</v>
      </c>
      <c r="G43" s="823">
        <f>SUM(G44,G47,G48,G49,G60,G61)</f>
        <v>0</v>
      </c>
      <c r="H43" s="823">
        <f>SUM(H44,H47,H48,H49,H60,H61)</f>
        <v>4152941</v>
      </c>
      <c r="I43" s="824">
        <f>H43/E43</f>
        <v>1.3843136666666667</v>
      </c>
      <c r="J43" s="823">
        <f>SUM(J44,J47,J48,J49,J60,J61)</f>
        <v>0</v>
      </c>
      <c r="K43" s="823">
        <f>SUM(K44,K47,K48,K49,K60,K61)</f>
        <v>4152941</v>
      </c>
      <c r="L43" s="1074">
        <f>K43/E43</f>
        <v>1.3843136666666667</v>
      </c>
      <c r="M43" s="2483"/>
    </row>
    <row r="44" spans="1:14" ht="13.5" thickBot="1">
      <c r="A44" s="1967"/>
      <c r="B44" s="1932"/>
      <c r="C44" s="668" t="s">
        <v>19</v>
      </c>
      <c r="D44" s="929"/>
      <c r="E44" s="830">
        <f>SUM(E45+E46)</f>
        <v>0</v>
      </c>
      <c r="F44" s="830">
        <f>SUM(F45+F46)</f>
        <v>0</v>
      </c>
      <c r="G44" s="830">
        <f>SUM(G45+G46)</f>
        <v>0</v>
      </c>
      <c r="H44" s="830">
        <f>SUM(H45+H46)</f>
        <v>0</v>
      </c>
      <c r="I44" s="824"/>
      <c r="J44" s="830">
        <f>SUM(J45+J46)</f>
        <v>0</v>
      </c>
      <c r="K44" s="830">
        <f>SUM(K45+K46)</f>
        <v>0</v>
      </c>
      <c r="L44" s="1075"/>
      <c r="M44" s="2483"/>
      <c r="N44" s="1080"/>
    </row>
    <row r="45" spans="1:14" ht="14.25" customHeight="1" thickBot="1">
      <c r="A45" s="1967"/>
      <c r="B45" s="1932"/>
      <c r="C45" s="855" t="s">
        <v>20</v>
      </c>
      <c r="D45" s="929"/>
      <c r="E45" s="830"/>
      <c r="F45" s="830"/>
      <c r="G45" s="830"/>
      <c r="H45" s="830"/>
      <c r="I45" s="824"/>
      <c r="J45" s="830"/>
      <c r="K45" s="830"/>
      <c r="L45" s="1075"/>
      <c r="M45" s="2483"/>
      <c r="N45" s="1081" t="s">
        <v>42</v>
      </c>
    </row>
    <row r="46" spans="1:14" ht="14.25" customHeight="1" thickBot="1">
      <c r="A46" s="1967"/>
      <c r="B46" s="1932"/>
      <c r="C46" s="863" t="s">
        <v>21</v>
      </c>
      <c r="D46" s="929"/>
      <c r="E46" s="830"/>
      <c r="F46" s="830"/>
      <c r="G46" s="830"/>
      <c r="H46" s="830"/>
      <c r="I46" s="824"/>
      <c r="J46" s="830"/>
      <c r="K46" s="830"/>
      <c r="L46" s="1075"/>
      <c r="M46" s="2483"/>
      <c r="N46" s="467" t="s">
        <v>43</v>
      </c>
    </row>
    <row r="47" spans="1:14" ht="12.75">
      <c r="A47" s="1967"/>
      <c r="B47" s="1932"/>
      <c r="C47" s="668" t="s">
        <v>23</v>
      </c>
      <c r="D47" s="929"/>
      <c r="E47" s="830"/>
      <c r="F47" s="830"/>
      <c r="G47" s="830"/>
      <c r="H47" s="830"/>
      <c r="I47" s="824"/>
      <c r="J47" s="830"/>
      <c r="K47" s="830"/>
      <c r="L47" s="1075"/>
      <c r="M47" s="2483"/>
    </row>
    <row r="48" spans="1:14" ht="12.75">
      <c r="A48" s="1967"/>
      <c r="B48" s="1932"/>
      <c r="C48" s="668" t="s">
        <v>24</v>
      </c>
      <c r="D48" s="1082"/>
      <c r="E48" s="1082"/>
      <c r="F48" s="1083"/>
      <c r="G48" s="1082"/>
      <c r="H48" s="1082"/>
      <c r="I48" s="824"/>
      <c r="J48" s="1082"/>
      <c r="K48" s="1082"/>
      <c r="L48" s="1084"/>
      <c r="M48" s="2483"/>
    </row>
    <row r="49" spans="1:13" ht="15" customHeight="1">
      <c r="A49" s="1967"/>
      <c r="B49" s="1932"/>
      <c r="C49" s="1971" t="s">
        <v>25</v>
      </c>
      <c r="D49" s="929" t="s">
        <v>366</v>
      </c>
      <c r="E49" s="830">
        <f>SUM(E50:E59)</f>
        <v>3000000</v>
      </c>
      <c r="F49" s="830">
        <f>SUM(F50:F59)</f>
        <v>4100000</v>
      </c>
      <c r="G49" s="830">
        <f>SUM(G50:G59)</f>
        <v>0</v>
      </c>
      <c r="H49" s="830">
        <f>SUM(H50:H59)</f>
        <v>4152941</v>
      </c>
      <c r="I49" s="828">
        <f t="shared" ref="I49:I59" si="1">H49/E49</f>
        <v>1.3843136666666667</v>
      </c>
      <c r="J49" s="830">
        <f>SUM(J50:J59)</f>
        <v>0</v>
      </c>
      <c r="K49" s="830">
        <f>SUM(K50:K59)</f>
        <v>4152941</v>
      </c>
      <c r="L49" s="1075">
        <f>K49/E49</f>
        <v>1.3843136666666667</v>
      </c>
      <c r="M49" s="2483"/>
    </row>
    <row r="50" spans="1:13" ht="12.75" customHeight="1">
      <c r="A50" s="1967"/>
      <c r="B50" s="1932"/>
      <c r="C50" s="1971"/>
      <c r="D50" s="933">
        <v>4178</v>
      </c>
      <c r="E50" s="836">
        <v>34000</v>
      </c>
      <c r="F50" s="836">
        <v>25500</v>
      </c>
      <c r="G50" s="836"/>
      <c r="H50" s="836">
        <v>34000</v>
      </c>
      <c r="I50" s="837">
        <f t="shared" si="1"/>
        <v>1</v>
      </c>
      <c r="J50" s="836"/>
      <c r="K50" s="836">
        <f t="shared" ref="K50:K59" si="2">H50+J50</f>
        <v>34000</v>
      </c>
      <c r="L50" s="1076">
        <f t="shared" ref="L50:L59" si="3">K50/E50</f>
        <v>1</v>
      </c>
      <c r="M50" s="2483"/>
    </row>
    <row r="51" spans="1:13" ht="12.75">
      <c r="A51" s="1967"/>
      <c r="B51" s="1932"/>
      <c r="C51" s="1971"/>
      <c r="D51" s="933">
        <v>4179</v>
      </c>
      <c r="E51" s="836">
        <v>6000</v>
      </c>
      <c r="F51" s="836">
        <v>4500</v>
      </c>
      <c r="G51" s="836"/>
      <c r="H51" s="836">
        <v>6000</v>
      </c>
      <c r="I51" s="837">
        <f t="shared" si="1"/>
        <v>1</v>
      </c>
      <c r="J51" s="836"/>
      <c r="K51" s="836">
        <f t="shared" si="2"/>
        <v>6000</v>
      </c>
      <c r="L51" s="1076">
        <f t="shared" si="3"/>
        <v>1</v>
      </c>
      <c r="M51" s="2483"/>
    </row>
    <row r="52" spans="1:13" ht="12.75">
      <c r="A52" s="1967"/>
      <c r="B52" s="1932"/>
      <c r="C52" s="1971"/>
      <c r="D52" s="933">
        <v>4218</v>
      </c>
      <c r="E52" s="836">
        <v>119000</v>
      </c>
      <c r="F52" s="836">
        <v>174427</v>
      </c>
      <c r="G52" s="836"/>
      <c r="H52" s="836">
        <v>170000</v>
      </c>
      <c r="I52" s="837">
        <f t="shared" si="1"/>
        <v>1.4285714285714286</v>
      </c>
      <c r="J52" s="836"/>
      <c r="K52" s="836">
        <f t="shared" si="2"/>
        <v>170000</v>
      </c>
      <c r="L52" s="1076">
        <f t="shared" si="3"/>
        <v>1.4285714285714286</v>
      </c>
      <c r="M52" s="2483"/>
    </row>
    <row r="53" spans="1:13" ht="12.75">
      <c r="A53" s="1967"/>
      <c r="B53" s="1932"/>
      <c r="C53" s="1971"/>
      <c r="D53" s="933">
        <v>4219</v>
      </c>
      <c r="E53" s="836">
        <v>21000</v>
      </c>
      <c r="F53" s="836">
        <v>30781</v>
      </c>
      <c r="G53" s="836"/>
      <c r="H53" s="836">
        <v>30000</v>
      </c>
      <c r="I53" s="837">
        <f t="shared" si="1"/>
        <v>1.4285714285714286</v>
      </c>
      <c r="J53" s="836"/>
      <c r="K53" s="836">
        <f t="shared" si="2"/>
        <v>30000</v>
      </c>
      <c r="L53" s="1076">
        <f t="shared" si="3"/>
        <v>1.4285714285714286</v>
      </c>
      <c r="M53" s="2483"/>
    </row>
    <row r="54" spans="1:13" ht="12.75">
      <c r="A54" s="1967"/>
      <c r="B54" s="1932"/>
      <c r="C54" s="1971"/>
      <c r="D54" s="933">
        <v>4308</v>
      </c>
      <c r="E54" s="836">
        <v>2381000</v>
      </c>
      <c r="F54" s="836">
        <v>3269073</v>
      </c>
      <c r="G54" s="836"/>
      <c r="H54" s="836">
        <v>3305600</v>
      </c>
      <c r="I54" s="837">
        <f t="shared" si="1"/>
        <v>1.3883242335153296</v>
      </c>
      <c r="J54" s="836"/>
      <c r="K54" s="836">
        <f t="shared" si="2"/>
        <v>3305600</v>
      </c>
      <c r="L54" s="1076">
        <f t="shared" si="3"/>
        <v>1.3883242335153296</v>
      </c>
      <c r="M54" s="2483"/>
    </row>
    <row r="55" spans="1:13" ht="12.75">
      <c r="A55" s="1967"/>
      <c r="B55" s="1932"/>
      <c r="C55" s="1971"/>
      <c r="D55" s="933">
        <v>4309</v>
      </c>
      <c r="E55" s="836">
        <v>420176</v>
      </c>
      <c r="F55" s="836">
        <v>576895</v>
      </c>
      <c r="G55" s="836"/>
      <c r="H55" s="836">
        <v>583341</v>
      </c>
      <c r="I55" s="837">
        <f t="shared" si="1"/>
        <v>1.3883253684170442</v>
      </c>
      <c r="J55" s="836"/>
      <c r="K55" s="836">
        <f t="shared" si="2"/>
        <v>583341</v>
      </c>
      <c r="L55" s="1076">
        <f t="shared" si="3"/>
        <v>1.3883253684170442</v>
      </c>
      <c r="M55" s="2483"/>
    </row>
    <row r="56" spans="1:13" ht="12.75">
      <c r="A56" s="1967"/>
      <c r="B56" s="1932"/>
      <c r="C56" s="1971"/>
      <c r="D56" s="933">
        <v>4418</v>
      </c>
      <c r="E56" s="836">
        <v>8000</v>
      </c>
      <c r="F56" s="836">
        <v>8000</v>
      </c>
      <c r="G56" s="836"/>
      <c r="H56" s="836">
        <v>10200</v>
      </c>
      <c r="I56" s="837">
        <f t="shared" si="1"/>
        <v>1.2749999999999999</v>
      </c>
      <c r="J56" s="836"/>
      <c r="K56" s="836">
        <f t="shared" si="2"/>
        <v>10200</v>
      </c>
      <c r="L56" s="1076">
        <f t="shared" si="3"/>
        <v>1.2749999999999999</v>
      </c>
      <c r="M56" s="2483"/>
    </row>
    <row r="57" spans="1:13" ht="12.75">
      <c r="A57" s="1967"/>
      <c r="B57" s="1932"/>
      <c r="C57" s="1971"/>
      <c r="D57" s="933">
        <v>4419</v>
      </c>
      <c r="E57" s="836">
        <v>1412</v>
      </c>
      <c r="F57" s="836">
        <v>1412</v>
      </c>
      <c r="G57" s="836"/>
      <c r="H57" s="836">
        <v>1800</v>
      </c>
      <c r="I57" s="837">
        <f t="shared" si="1"/>
        <v>1.2747875354107649</v>
      </c>
      <c r="J57" s="836"/>
      <c r="K57" s="836">
        <f t="shared" si="2"/>
        <v>1800</v>
      </c>
      <c r="L57" s="1076">
        <f t="shared" si="3"/>
        <v>1.2747875354107649</v>
      </c>
      <c r="M57" s="2483"/>
    </row>
    <row r="58" spans="1:13" ht="12.75">
      <c r="A58" s="1967"/>
      <c r="B58" s="1932"/>
      <c r="C58" s="1971"/>
      <c r="D58" s="933">
        <v>4428</v>
      </c>
      <c r="E58" s="836">
        <v>8000</v>
      </c>
      <c r="F58" s="836">
        <v>8000</v>
      </c>
      <c r="G58" s="836"/>
      <c r="H58" s="836">
        <v>10200</v>
      </c>
      <c r="I58" s="837">
        <f t="shared" si="1"/>
        <v>1.2749999999999999</v>
      </c>
      <c r="J58" s="836"/>
      <c r="K58" s="836">
        <f t="shared" si="2"/>
        <v>10200</v>
      </c>
      <c r="L58" s="1076">
        <f t="shared" si="3"/>
        <v>1.2749999999999999</v>
      </c>
      <c r="M58" s="2483"/>
    </row>
    <row r="59" spans="1:13" ht="12.75">
      <c r="A59" s="1967"/>
      <c r="B59" s="1932"/>
      <c r="C59" s="1971"/>
      <c r="D59" s="933">
        <v>4429</v>
      </c>
      <c r="E59" s="836">
        <v>1412</v>
      </c>
      <c r="F59" s="836">
        <v>1412</v>
      </c>
      <c r="G59" s="836"/>
      <c r="H59" s="836">
        <v>1800</v>
      </c>
      <c r="I59" s="837">
        <f t="shared" si="1"/>
        <v>1.2747875354107649</v>
      </c>
      <c r="J59" s="836"/>
      <c r="K59" s="836">
        <f t="shared" si="2"/>
        <v>1800</v>
      </c>
      <c r="L59" s="1076">
        <f t="shared" si="3"/>
        <v>1.2747875354107649</v>
      </c>
      <c r="M59" s="2483"/>
    </row>
    <row r="60" spans="1:13" ht="12.75">
      <c r="A60" s="1967"/>
      <c r="B60" s="1932"/>
      <c r="C60" s="668" t="s">
        <v>26</v>
      </c>
      <c r="D60" s="929"/>
      <c r="E60" s="830"/>
      <c r="F60" s="830"/>
      <c r="G60" s="830"/>
      <c r="H60" s="830"/>
      <c r="I60" s="824"/>
      <c r="J60" s="830"/>
      <c r="K60" s="830"/>
      <c r="L60" s="1075"/>
      <c r="M60" s="2483"/>
    </row>
    <row r="61" spans="1:13" ht="12.75">
      <c r="A61" s="1967"/>
      <c r="B61" s="1932"/>
      <c r="C61" s="668" t="s">
        <v>27</v>
      </c>
      <c r="D61" s="929"/>
      <c r="E61" s="830"/>
      <c r="F61" s="830"/>
      <c r="G61" s="830"/>
      <c r="H61" s="830"/>
      <c r="I61" s="824"/>
      <c r="J61" s="830"/>
      <c r="K61" s="830"/>
      <c r="L61" s="1075"/>
      <c r="M61" s="2483"/>
    </row>
    <row r="62" spans="1:13" ht="12.75">
      <c r="A62" s="1967"/>
      <c r="B62" s="1932"/>
      <c r="C62" s="676" t="s">
        <v>28</v>
      </c>
      <c r="D62" s="938"/>
      <c r="E62" s="823">
        <f>SUM(E63,E69,E70)</f>
        <v>0</v>
      </c>
      <c r="F62" s="823">
        <f>SUM(F63,F69,F70)</f>
        <v>0</v>
      </c>
      <c r="G62" s="823">
        <f>SUM(G63,G69,G70)</f>
        <v>0</v>
      </c>
      <c r="H62" s="823">
        <f>SUM(H63,H69,H70)</f>
        <v>0</v>
      </c>
      <c r="I62" s="824"/>
      <c r="J62" s="823">
        <f>SUM(J63,J69,J70)</f>
        <v>0</v>
      </c>
      <c r="K62" s="823">
        <f>SUM(K63,K69,K70)</f>
        <v>0</v>
      </c>
      <c r="L62" s="1074"/>
      <c r="M62" s="2483"/>
    </row>
    <row r="63" spans="1:13" ht="12.6" customHeight="1">
      <c r="A63" s="1967"/>
      <c r="B63" s="1932"/>
      <c r="C63" s="1976" t="s">
        <v>29</v>
      </c>
      <c r="D63" s="929"/>
      <c r="E63" s="830"/>
      <c r="F63" s="830"/>
      <c r="G63" s="830">
        <f>SUM(G64:G65)</f>
        <v>0</v>
      </c>
      <c r="H63" s="830">
        <f>SUM(H64:H65)</f>
        <v>0</v>
      </c>
      <c r="I63" s="824"/>
      <c r="J63" s="830">
        <f>SUM(J64:J65)</f>
        <v>0</v>
      </c>
      <c r="K63" s="830"/>
      <c r="L63" s="1075"/>
      <c r="M63" s="2483"/>
    </row>
    <row r="64" spans="1:13" ht="12.75" hidden="1" customHeight="1">
      <c r="A64" s="1967"/>
      <c r="B64" s="1932"/>
      <c r="C64" s="1976"/>
      <c r="D64" s="929">
        <v>6068</v>
      </c>
      <c r="E64" s="830"/>
      <c r="F64" s="830"/>
      <c r="G64" s="830"/>
      <c r="H64" s="830"/>
      <c r="I64" s="824"/>
      <c r="J64" s="830"/>
      <c r="K64" s="830"/>
      <c r="L64" s="1075"/>
      <c r="M64" s="2483"/>
    </row>
    <row r="65" spans="1:14" ht="12.75" hidden="1" customHeight="1">
      <c r="A65" s="1967"/>
      <c r="B65" s="1932"/>
      <c r="C65" s="1976"/>
      <c r="D65" s="929">
        <v>6069</v>
      </c>
      <c r="E65" s="830"/>
      <c r="F65" s="830"/>
      <c r="G65" s="830"/>
      <c r="H65" s="830"/>
      <c r="I65" s="824"/>
      <c r="J65" s="830"/>
      <c r="K65" s="830"/>
      <c r="L65" s="1075"/>
      <c r="M65" s="2483"/>
    </row>
    <row r="66" spans="1:14" ht="21" customHeight="1">
      <c r="A66" s="1967"/>
      <c r="B66" s="1932"/>
      <c r="C66" s="1971" t="s">
        <v>89</v>
      </c>
      <c r="D66" s="933"/>
      <c r="E66" s="836"/>
      <c r="F66" s="836"/>
      <c r="G66" s="836">
        <f>SUM(G67:G68)</f>
        <v>0</v>
      </c>
      <c r="H66" s="836">
        <f>SUM(H67:H68)</f>
        <v>0</v>
      </c>
      <c r="I66" s="824"/>
      <c r="J66" s="836">
        <f>SUM(J67:J68)</f>
        <v>0</v>
      </c>
      <c r="K66" s="836"/>
      <c r="L66" s="1076"/>
      <c r="M66" s="2483"/>
    </row>
    <row r="67" spans="1:14" ht="12.75" hidden="1" customHeight="1">
      <c r="A67" s="1967"/>
      <c r="B67" s="1932"/>
      <c r="C67" s="1971"/>
      <c r="D67" s="933">
        <v>6068</v>
      </c>
      <c r="E67" s="836"/>
      <c r="F67" s="836"/>
      <c r="G67" s="836"/>
      <c r="H67" s="836"/>
      <c r="I67" s="824"/>
      <c r="J67" s="836"/>
      <c r="K67" s="836"/>
      <c r="L67" s="1076"/>
      <c r="M67" s="2483"/>
    </row>
    <row r="68" spans="1:14" ht="12.75" hidden="1" customHeight="1">
      <c r="A68" s="1967"/>
      <c r="B68" s="1932"/>
      <c r="C68" s="1971"/>
      <c r="D68" s="933">
        <v>6069</v>
      </c>
      <c r="E68" s="836"/>
      <c r="F68" s="836"/>
      <c r="G68" s="836"/>
      <c r="H68" s="836"/>
      <c r="I68" s="824"/>
      <c r="J68" s="836"/>
      <c r="K68" s="836"/>
      <c r="L68" s="1076"/>
      <c r="M68" s="2483"/>
    </row>
    <row r="69" spans="1:14" ht="12.75" hidden="1" customHeight="1">
      <c r="A69" s="1967"/>
      <c r="B69" s="1932"/>
      <c r="C69" s="668" t="s">
        <v>31</v>
      </c>
      <c r="D69" s="929"/>
      <c r="E69" s="830"/>
      <c r="F69" s="830"/>
      <c r="G69" s="830"/>
      <c r="H69" s="830"/>
      <c r="I69" s="828"/>
      <c r="J69" s="830"/>
      <c r="K69" s="830"/>
      <c r="L69" s="1075"/>
      <c r="M69" s="2483"/>
    </row>
    <row r="70" spans="1:14" s="189" customFormat="1" ht="12.75">
      <c r="A70" s="1967"/>
      <c r="B70" s="1932"/>
      <c r="C70" s="668" t="s">
        <v>32</v>
      </c>
      <c r="D70" s="929"/>
      <c r="E70" s="823"/>
      <c r="F70" s="823"/>
      <c r="G70" s="823"/>
      <c r="H70" s="823"/>
      <c r="I70" s="828"/>
      <c r="J70" s="823"/>
      <c r="K70" s="823"/>
      <c r="L70" s="1074"/>
      <c r="M70" s="2483"/>
    </row>
    <row r="71" spans="1:14" s="189" customFormat="1" ht="12.75">
      <c r="A71" s="1967"/>
      <c r="B71" s="1932" t="s">
        <v>547</v>
      </c>
      <c r="C71" s="660" t="s">
        <v>548</v>
      </c>
      <c r="D71" s="847"/>
      <c r="E71" s="819">
        <f>SUM(E72,E86)</f>
        <v>20000</v>
      </c>
      <c r="F71" s="819">
        <f>SUM(F72,F86)</f>
        <v>20000</v>
      </c>
      <c r="G71" s="819">
        <f>SUM(G72,G86)</f>
        <v>8293.5</v>
      </c>
      <c r="H71" s="819">
        <f>SUM(H72,H86)</f>
        <v>20000</v>
      </c>
      <c r="I71" s="820">
        <f t="shared" ref="I71:I80" si="4">H71/E71</f>
        <v>1</v>
      </c>
      <c r="J71" s="819">
        <f>SUM(J72,J86)</f>
        <v>0</v>
      </c>
      <c r="K71" s="819">
        <f>SUM(K72,K86)</f>
        <v>20000</v>
      </c>
      <c r="L71" s="1073">
        <f>K71/E71</f>
        <v>1</v>
      </c>
      <c r="M71" s="2492" t="s">
        <v>549</v>
      </c>
    </row>
    <row r="72" spans="1:14" s="189" customFormat="1" ht="12.75">
      <c r="A72" s="1967"/>
      <c r="B72" s="1932"/>
      <c r="C72" s="664" t="s">
        <v>18</v>
      </c>
      <c r="D72" s="851"/>
      <c r="E72" s="823">
        <f>SUM(E73,E81,E82,E83,E84,E85)</f>
        <v>20000</v>
      </c>
      <c r="F72" s="823">
        <f>SUM(F73,F81,F82,F83,F84,F85)</f>
        <v>20000</v>
      </c>
      <c r="G72" s="823">
        <f>SUM(G73,G81,G82,G83,G84,G85)</f>
        <v>8293.5</v>
      </c>
      <c r="H72" s="823">
        <f>SUM(H73,H81,H82,H83,H84,H85)</f>
        <v>20000</v>
      </c>
      <c r="I72" s="824">
        <f t="shared" si="4"/>
        <v>1</v>
      </c>
      <c r="J72" s="823">
        <f>SUM(J73,J81,J82,J83,J84,J85)</f>
        <v>0</v>
      </c>
      <c r="K72" s="823">
        <f>SUM(K73,K81,K82,K83,K84,K85)</f>
        <v>20000</v>
      </c>
      <c r="L72" s="1074">
        <f>K72/E72</f>
        <v>1</v>
      </c>
      <c r="M72" s="2483"/>
    </row>
    <row r="73" spans="1:14" ht="12.75">
      <c r="A73" s="1967"/>
      <c r="B73" s="1932"/>
      <c r="C73" s="668" t="s">
        <v>19</v>
      </c>
      <c r="D73" s="929"/>
      <c r="E73" s="830">
        <f>SUM(E74+E78)</f>
        <v>20000</v>
      </c>
      <c r="F73" s="830">
        <f>SUM(F74+F78)</f>
        <v>20000</v>
      </c>
      <c r="G73" s="830">
        <f>SUM(G74+G78)</f>
        <v>8293.5</v>
      </c>
      <c r="H73" s="830">
        <f>SUM(H74+H78)</f>
        <v>20000</v>
      </c>
      <c r="I73" s="828">
        <f t="shared" si="4"/>
        <v>1</v>
      </c>
      <c r="J73" s="830">
        <f>SUM(J74+J78)</f>
        <v>0</v>
      </c>
      <c r="K73" s="830">
        <f>SUM(K74+K78)</f>
        <v>20000</v>
      </c>
      <c r="L73" s="1075">
        <f t="shared" ref="L73:L80" si="5">K73/E73</f>
        <v>1</v>
      </c>
      <c r="M73" s="2483"/>
      <c r="N73" s="1021"/>
    </row>
    <row r="74" spans="1:14" ht="14.25" customHeight="1">
      <c r="A74" s="1967"/>
      <c r="B74" s="1932"/>
      <c r="C74" s="1976" t="s">
        <v>20</v>
      </c>
      <c r="D74" s="929" t="s">
        <v>22</v>
      </c>
      <c r="E74" s="830">
        <f>SUM(E75:E77)</f>
        <v>11270</v>
      </c>
      <c r="F74" s="830">
        <f>SUM(F75:F77)</f>
        <v>11270</v>
      </c>
      <c r="G74" s="830">
        <f>SUM(G75:G77)</f>
        <v>0</v>
      </c>
      <c r="H74" s="830">
        <f>SUM(H75:H77)</f>
        <v>11270</v>
      </c>
      <c r="I74" s="828">
        <f t="shared" si="4"/>
        <v>1</v>
      </c>
      <c r="J74" s="830">
        <f>SUM(J75:J77)</f>
        <v>0</v>
      </c>
      <c r="K74" s="830">
        <f>SUM(K75:K77)</f>
        <v>11270</v>
      </c>
      <c r="L74" s="1075">
        <f t="shared" si="5"/>
        <v>1</v>
      </c>
      <c r="M74" s="2483"/>
      <c r="N74" s="1021" t="s">
        <v>42</v>
      </c>
    </row>
    <row r="75" spans="1:14" ht="12.75">
      <c r="A75" s="1967"/>
      <c r="B75" s="1932"/>
      <c r="C75" s="1976"/>
      <c r="D75" s="936">
        <v>4110</v>
      </c>
      <c r="E75" s="836">
        <v>700</v>
      </c>
      <c r="F75" s="836">
        <v>700</v>
      </c>
      <c r="G75" s="836"/>
      <c r="H75" s="836">
        <v>700</v>
      </c>
      <c r="I75" s="837">
        <f t="shared" si="4"/>
        <v>1</v>
      </c>
      <c r="J75" s="836"/>
      <c r="K75" s="836">
        <f>H75+J75</f>
        <v>700</v>
      </c>
      <c r="L75" s="1076">
        <f t="shared" si="5"/>
        <v>1</v>
      </c>
      <c r="M75" s="2483"/>
      <c r="N75" s="1021" t="s">
        <v>43</v>
      </c>
    </row>
    <row r="76" spans="1:14" ht="12.75">
      <c r="A76" s="1967"/>
      <c r="B76" s="1932"/>
      <c r="C76" s="1976"/>
      <c r="D76" s="936">
        <v>4120</v>
      </c>
      <c r="E76" s="836">
        <v>140</v>
      </c>
      <c r="F76" s="836">
        <v>140</v>
      </c>
      <c r="G76" s="836"/>
      <c r="H76" s="836">
        <v>140</v>
      </c>
      <c r="I76" s="837">
        <f t="shared" si="4"/>
        <v>1</v>
      </c>
      <c r="J76" s="836"/>
      <c r="K76" s="836">
        <f>H76+J76</f>
        <v>140</v>
      </c>
      <c r="L76" s="1076">
        <f t="shared" si="5"/>
        <v>1</v>
      </c>
      <c r="M76" s="2483"/>
      <c r="N76" s="1026" t="s">
        <v>44</v>
      </c>
    </row>
    <row r="77" spans="1:14" ht="12.75">
      <c r="A77" s="1967"/>
      <c r="B77" s="1932"/>
      <c r="C77" s="1976"/>
      <c r="D77" s="936">
        <v>4170</v>
      </c>
      <c r="E77" s="836">
        <v>10430</v>
      </c>
      <c r="F77" s="836">
        <v>10430</v>
      </c>
      <c r="G77" s="836"/>
      <c r="H77" s="836">
        <v>10430</v>
      </c>
      <c r="I77" s="837">
        <f t="shared" si="4"/>
        <v>1</v>
      </c>
      <c r="J77" s="836"/>
      <c r="K77" s="836">
        <f>H77+J77</f>
        <v>10430</v>
      </c>
      <c r="L77" s="1076">
        <f t="shared" si="5"/>
        <v>1</v>
      </c>
      <c r="M77" s="2483"/>
    </row>
    <row r="78" spans="1:14" ht="14.25" customHeight="1">
      <c r="A78" s="1967"/>
      <c r="B78" s="1932"/>
      <c r="C78" s="1971" t="s">
        <v>21</v>
      </c>
      <c r="D78" s="929" t="s">
        <v>22</v>
      </c>
      <c r="E78" s="830">
        <f>SUM(E79:E80)</f>
        <v>8730</v>
      </c>
      <c r="F78" s="830">
        <f>SUM(F79:F80)</f>
        <v>8730</v>
      </c>
      <c r="G78" s="830">
        <f>E78*0.95</f>
        <v>8293.5</v>
      </c>
      <c r="H78" s="830">
        <f>SUM(H79:H80)</f>
        <v>8730</v>
      </c>
      <c r="I78" s="828">
        <f t="shared" si="4"/>
        <v>1</v>
      </c>
      <c r="J78" s="830">
        <f>SUM(J79:J80)</f>
        <v>0</v>
      </c>
      <c r="K78" s="830">
        <f>SUM(K79:K80)</f>
        <v>8730</v>
      </c>
      <c r="L78" s="1075">
        <f t="shared" si="5"/>
        <v>1</v>
      </c>
      <c r="M78" s="2483"/>
    </row>
    <row r="79" spans="1:14" ht="12.75">
      <c r="A79" s="1967"/>
      <c r="B79" s="1932"/>
      <c r="C79" s="1971"/>
      <c r="D79" s="936">
        <v>4210</v>
      </c>
      <c r="E79" s="836">
        <v>3500</v>
      </c>
      <c r="F79" s="836">
        <v>3500</v>
      </c>
      <c r="G79" s="836"/>
      <c r="H79" s="836">
        <v>3500</v>
      </c>
      <c r="I79" s="837">
        <f t="shared" si="4"/>
        <v>1</v>
      </c>
      <c r="J79" s="836"/>
      <c r="K79" s="836">
        <f>H79+J79</f>
        <v>3500</v>
      </c>
      <c r="L79" s="1076">
        <f t="shared" si="5"/>
        <v>1</v>
      </c>
      <c r="M79" s="2483"/>
    </row>
    <row r="80" spans="1:14" ht="12.75">
      <c r="A80" s="1967"/>
      <c r="B80" s="1932"/>
      <c r="C80" s="1971"/>
      <c r="D80" s="933">
        <v>4300</v>
      </c>
      <c r="E80" s="836">
        <v>5230</v>
      </c>
      <c r="F80" s="836">
        <v>5230</v>
      </c>
      <c r="G80" s="836"/>
      <c r="H80" s="836">
        <v>5230</v>
      </c>
      <c r="I80" s="837">
        <f t="shared" si="4"/>
        <v>1</v>
      </c>
      <c r="J80" s="836"/>
      <c r="K80" s="836">
        <f>H80+J80</f>
        <v>5230</v>
      </c>
      <c r="L80" s="1076">
        <f t="shared" si="5"/>
        <v>1</v>
      </c>
      <c r="M80" s="2483"/>
    </row>
    <row r="81" spans="1:14" ht="12.75">
      <c r="A81" s="1967"/>
      <c r="B81" s="1932"/>
      <c r="C81" s="668" t="s">
        <v>23</v>
      </c>
      <c r="D81" s="929"/>
      <c r="E81" s="830"/>
      <c r="F81" s="830"/>
      <c r="G81" s="830"/>
      <c r="H81" s="830"/>
      <c r="I81" s="828"/>
      <c r="J81" s="830"/>
      <c r="K81" s="830"/>
      <c r="L81" s="1075"/>
      <c r="M81" s="2483"/>
    </row>
    <row r="82" spans="1:14" ht="12.75">
      <c r="A82" s="1967"/>
      <c r="B82" s="1932"/>
      <c r="C82" s="668" t="s">
        <v>24</v>
      </c>
      <c r="D82" s="929"/>
      <c r="E82" s="830"/>
      <c r="F82" s="830"/>
      <c r="G82" s="830"/>
      <c r="H82" s="830"/>
      <c r="I82" s="828"/>
      <c r="J82" s="830"/>
      <c r="K82" s="830"/>
      <c r="L82" s="1075"/>
      <c r="M82" s="2483"/>
    </row>
    <row r="83" spans="1:14" ht="23.25" customHeight="1">
      <c r="A83" s="1967"/>
      <c r="B83" s="1932"/>
      <c r="C83" s="672" t="s">
        <v>90</v>
      </c>
      <c r="D83" s="932"/>
      <c r="E83" s="830"/>
      <c r="F83" s="830"/>
      <c r="G83" s="830"/>
      <c r="H83" s="830"/>
      <c r="I83" s="828"/>
      <c r="J83" s="830"/>
      <c r="K83" s="830"/>
      <c r="L83" s="1075"/>
      <c r="M83" s="2483"/>
    </row>
    <row r="84" spans="1:14" ht="12.75">
      <c r="A84" s="1967"/>
      <c r="B84" s="1932"/>
      <c r="C84" s="668" t="s">
        <v>26</v>
      </c>
      <c r="D84" s="929"/>
      <c r="E84" s="830"/>
      <c r="F84" s="830"/>
      <c r="G84" s="830"/>
      <c r="H84" s="830"/>
      <c r="I84" s="828"/>
      <c r="J84" s="830"/>
      <c r="K84" s="830"/>
      <c r="L84" s="1075"/>
      <c r="M84" s="2483"/>
    </row>
    <row r="85" spans="1:14" ht="12.75">
      <c r="A85" s="1967"/>
      <c r="B85" s="1932"/>
      <c r="C85" s="668" t="s">
        <v>27</v>
      </c>
      <c r="D85" s="929"/>
      <c r="E85" s="830"/>
      <c r="F85" s="830"/>
      <c r="G85" s="830"/>
      <c r="H85" s="830"/>
      <c r="I85" s="828"/>
      <c r="J85" s="830"/>
      <c r="K85" s="830"/>
      <c r="L85" s="1075"/>
      <c r="M85" s="2483"/>
    </row>
    <row r="86" spans="1:14" ht="12.75">
      <c r="A86" s="1967"/>
      <c r="B86" s="1932"/>
      <c r="C86" s="676" t="s">
        <v>28</v>
      </c>
      <c r="D86" s="938"/>
      <c r="E86" s="823">
        <f>SUM(E87,E89,E90)</f>
        <v>0</v>
      </c>
      <c r="F86" s="823">
        <f>SUM(F87,F89,F90)</f>
        <v>0</v>
      </c>
      <c r="G86" s="823">
        <f>SUM(G87,G89,G90)</f>
        <v>0</v>
      </c>
      <c r="H86" s="823">
        <f>SUM(H87,H89,H90)</f>
        <v>0</v>
      </c>
      <c r="I86" s="824"/>
      <c r="J86" s="823">
        <f>SUM(J87,J89,J90)</f>
        <v>0</v>
      </c>
      <c r="K86" s="823">
        <f>SUM(K87,K89,K90)</f>
        <v>0</v>
      </c>
      <c r="L86" s="1074"/>
      <c r="M86" s="2483"/>
    </row>
    <row r="87" spans="1:14" ht="12.75">
      <c r="A87" s="1967"/>
      <c r="B87" s="1932"/>
      <c r="C87" s="668" t="s">
        <v>29</v>
      </c>
      <c r="D87" s="929"/>
      <c r="E87" s="830"/>
      <c r="F87" s="830"/>
      <c r="G87" s="830"/>
      <c r="H87" s="830"/>
      <c r="I87" s="828"/>
      <c r="J87" s="830"/>
      <c r="K87" s="830"/>
      <c r="L87" s="1075"/>
      <c r="M87" s="2483"/>
    </row>
    <row r="88" spans="1:14" ht="22.5">
      <c r="A88" s="1967"/>
      <c r="B88" s="1932"/>
      <c r="C88" s="672" t="s">
        <v>89</v>
      </c>
      <c r="D88" s="932"/>
      <c r="E88" s="830"/>
      <c r="F88" s="830"/>
      <c r="G88" s="830"/>
      <c r="H88" s="830"/>
      <c r="I88" s="828"/>
      <c r="J88" s="830"/>
      <c r="K88" s="830"/>
      <c r="L88" s="1075"/>
      <c r="M88" s="2483"/>
    </row>
    <row r="89" spans="1:14" ht="12.75">
      <c r="A89" s="1967"/>
      <c r="B89" s="1932"/>
      <c r="C89" s="668" t="s">
        <v>31</v>
      </c>
      <c r="D89" s="929"/>
      <c r="E89" s="830"/>
      <c r="F89" s="830"/>
      <c r="G89" s="830"/>
      <c r="H89" s="830"/>
      <c r="I89" s="828"/>
      <c r="J89" s="830"/>
      <c r="K89" s="830"/>
      <c r="L89" s="1075"/>
      <c r="M89" s="2483"/>
    </row>
    <row r="90" spans="1:14" s="189" customFormat="1" ht="12.75">
      <c r="A90" s="1967"/>
      <c r="B90" s="1932"/>
      <c r="C90" s="668" t="s">
        <v>32</v>
      </c>
      <c r="D90" s="929"/>
      <c r="E90" s="823"/>
      <c r="F90" s="823"/>
      <c r="G90" s="823"/>
      <c r="H90" s="823"/>
      <c r="I90" s="828"/>
      <c r="J90" s="823"/>
      <c r="K90" s="823"/>
      <c r="L90" s="1074"/>
      <c r="M90" s="2483"/>
    </row>
    <row r="91" spans="1:14" s="189" customFormat="1" ht="21.95" customHeight="1">
      <c r="A91" s="1967"/>
      <c r="B91" s="1972" t="s">
        <v>67</v>
      </c>
      <c r="C91" s="660" t="s">
        <v>68</v>
      </c>
      <c r="D91" s="847"/>
      <c r="E91" s="819">
        <f>SUM(E92,E119)</f>
        <v>19766053</v>
      </c>
      <c r="F91" s="819">
        <f>SUM(F92,F119)</f>
        <v>24607548</v>
      </c>
      <c r="G91" s="819">
        <f>SUM(G92,G119)</f>
        <v>0</v>
      </c>
      <c r="H91" s="819">
        <f>SUM(H92,H119)</f>
        <v>17815825</v>
      </c>
      <c r="I91" s="820">
        <f t="shared" ref="I91:I99" si="6">H91/E91</f>
        <v>0.90133447481902429</v>
      </c>
      <c r="J91" s="819">
        <f>SUM(J92,J119)</f>
        <v>1300000</v>
      </c>
      <c r="K91" s="819">
        <f>SUM(K92,K119)</f>
        <v>19115825</v>
      </c>
      <c r="L91" s="1073">
        <f>K91/E91</f>
        <v>0.96710380165428067</v>
      </c>
      <c r="M91" s="2506" t="s">
        <v>632</v>
      </c>
    </row>
    <row r="92" spans="1:14" s="189" customFormat="1" ht="45" customHeight="1">
      <c r="A92" s="1967"/>
      <c r="B92" s="1944"/>
      <c r="C92" s="664" t="s">
        <v>18</v>
      </c>
      <c r="D92" s="851"/>
      <c r="E92" s="823">
        <f>SUM(E93,E101,E102,E117,E118,E103)</f>
        <v>19331284</v>
      </c>
      <c r="F92" s="823">
        <f>SUM(F93,F101,F102,F117,F118,F103)</f>
        <v>24337696</v>
      </c>
      <c r="G92" s="823">
        <f>SUM(G93,G101,G102,G117,G118,G103)</f>
        <v>0</v>
      </c>
      <c r="H92" s="823">
        <f>SUM(H93,H101,H102,H117,H118,H103)</f>
        <v>17773825</v>
      </c>
      <c r="I92" s="828">
        <f t="shared" si="6"/>
        <v>0.9194332357850622</v>
      </c>
      <c r="J92" s="823">
        <f>SUM(J93,J101,J102,J117,J118,J103)</f>
        <v>1300000</v>
      </c>
      <c r="K92" s="823">
        <f>SUM(K93,K101,K102,K117,K118,K103)</f>
        <v>19073825</v>
      </c>
      <c r="L92" s="1074">
        <f t="shared" ref="L92:L93" si="7">K92/E92</f>
        <v>0.98668174343721815</v>
      </c>
      <c r="M92" s="2507"/>
      <c r="N92" s="926"/>
    </row>
    <row r="93" spans="1:14" ht="42" customHeight="1">
      <c r="A93" s="1967"/>
      <c r="B93" s="1944"/>
      <c r="C93" s="668" t="s">
        <v>19</v>
      </c>
      <c r="D93" s="929"/>
      <c r="E93" s="830">
        <f>SUM(E94,E95)</f>
        <v>5039058</v>
      </c>
      <c r="F93" s="830">
        <f>SUM(F94,F95)</f>
        <v>5339005</v>
      </c>
      <c r="G93" s="830">
        <f>SUM(G94,G95)</f>
        <v>0</v>
      </c>
      <c r="H93" s="830">
        <f>SUM(H94,H95)</f>
        <v>13773825</v>
      </c>
      <c r="I93" s="828">
        <f t="shared" si="6"/>
        <v>2.7334126735592248</v>
      </c>
      <c r="J93" s="830">
        <f>SUM(J94,J95)</f>
        <v>1300000</v>
      </c>
      <c r="K93" s="830">
        <f>SUM(K94,K95)</f>
        <v>15073825</v>
      </c>
      <c r="L93" s="1075">
        <f t="shared" si="7"/>
        <v>2.9913974000696162</v>
      </c>
      <c r="M93" s="2507"/>
    </row>
    <row r="94" spans="1:14" ht="44.25" customHeight="1">
      <c r="A94" s="1967"/>
      <c r="B94" s="1944"/>
      <c r="C94" s="1085" t="s">
        <v>20</v>
      </c>
      <c r="D94" s="929">
        <v>4170</v>
      </c>
      <c r="E94" s="830">
        <v>50000</v>
      </c>
      <c r="F94" s="830">
        <v>50000</v>
      </c>
      <c r="G94" s="830"/>
      <c r="H94" s="830">
        <v>57500</v>
      </c>
      <c r="I94" s="828">
        <f t="shared" si="6"/>
        <v>1.1499999999999999</v>
      </c>
      <c r="J94" s="830"/>
      <c r="K94" s="830">
        <f>H94+J94</f>
        <v>57500</v>
      </c>
      <c r="L94" s="1075">
        <f>K94/E94</f>
        <v>1.1499999999999999</v>
      </c>
      <c r="M94" s="2507"/>
    </row>
    <row r="95" spans="1:14" ht="30" customHeight="1">
      <c r="A95" s="1967"/>
      <c r="B95" s="1944"/>
      <c r="C95" s="1980" t="s">
        <v>21</v>
      </c>
      <c r="D95" s="929" t="s">
        <v>22</v>
      </c>
      <c r="E95" s="830">
        <f>SUM(E96:E100)</f>
        <v>4989058</v>
      </c>
      <c r="F95" s="830">
        <f>SUM(F96:F100)</f>
        <v>5289005</v>
      </c>
      <c r="G95" s="830">
        <f>SUM(G96:G100)</f>
        <v>0</v>
      </c>
      <c r="H95" s="830">
        <f>SUM(H96:H100)</f>
        <v>13716325</v>
      </c>
      <c r="I95" s="828">
        <f t="shared" si="6"/>
        <v>2.7492815276952083</v>
      </c>
      <c r="J95" s="830">
        <f>SUM(J96:J100)</f>
        <v>1300000</v>
      </c>
      <c r="K95" s="830">
        <f>SUM(K96:K100)</f>
        <v>15016325</v>
      </c>
      <c r="L95" s="1075">
        <f>K95/E95</f>
        <v>3.0098517595906884</v>
      </c>
      <c r="M95" s="2507"/>
      <c r="N95" s="1021" t="s">
        <v>42</v>
      </c>
    </row>
    <row r="96" spans="1:14" ht="27.75" customHeight="1">
      <c r="A96" s="1967"/>
      <c r="B96" s="1944"/>
      <c r="C96" s="1980"/>
      <c r="D96" s="936">
        <v>4210</v>
      </c>
      <c r="E96" s="836">
        <v>310000</v>
      </c>
      <c r="F96" s="836">
        <v>687700</v>
      </c>
      <c r="G96" s="836"/>
      <c r="H96" s="836">
        <v>414195</v>
      </c>
      <c r="I96" s="837">
        <f t="shared" si="6"/>
        <v>1.3361129032258066</v>
      </c>
      <c r="J96" s="836"/>
      <c r="K96" s="836">
        <f>H96+J96</f>
        <v>414195</v>
      </c>
      <c r="L96" s="1076">
        <f t="shared" ref="L96:L123" si="8">K96/E96</f>
        <v>1.3361129032258066</v>
      </c>
      <c r="M96" s="2507"/>
      <c r="N96" s="1021" t="s">
        <v>43</v>
      </c>
    </row>
    <row r="97" spans="1:14" ht="24.75" customHeight="1">
      <c r="A97" s="1967"/>
      <c r="B97" s="1944"/>
      <c r="C97" s="1980"/>
      <c r="D97" s="936">
        <v>4270</v>
      </c>
      <c r="E97" s="836">
        <v>25000</v>
      </c>
      <c r="F97" s="836">
        <v>25000</v>
      </c>
      <c r="G97" s="836"/>
      <c r="H97" s="836">
        <v>25000</v>
      </c>
      <c r="I97" s="837">
        <f t="shared" si="6"/>
        <v>1</v>
      </c>
      <c r="J97" s="836"/>
      <c r="K97" s="836">
        <f>H97+J97</f>
        <v>25000</v>
      </c>
      <c r="L97" s="1076">
        <f t="shared" si="8"/>
        <v>1</v>
      </c>
      <c r="M97" s="2507"/>
      <c r="N97" s="1021"/>
    </row>
    <row r="98" spans="1:14" ht="24" customHeight="1">
      <c r="A98" s="1967"/>
      <c r="B98" s="1944"/>
      <c r="C98" s="1980"/>
      <c r="D98" s="936">
        <v>4300</v>
      </c>
      <c r="E98" s="836">
        <v>4604058</v>
      </c>
      <c r="F98" s="836">
        <v>4507185</v>
      </c>
      <c r="G98" s="836"/>
      <c r="H98" s="836">
        <f>5232130+7995000-200000+150000</f>
        <v>13177130</v>
      </c>
      <c r="I98" s="837">
        <f t="shared" si="6"/>
        <v>2.8620686359728742</v>
      </c>
      <c r="J98" s="836">
        <f>700000+200000</f>
        <v>900000</v>
      </c>
      <c r="K98" s="836">
        <f>H98+J98</f>
        <v>14077130</v>
      </c>
      <c r="L98" s="1076">
        <f t="shared" si="8"/>
        <v>3.0575483627704081</v>
      </c>
      <c r="M98" s="2507"/>
      <c r="N98" s="1026" t="s">
        <v>44</v>
      </c>
    </row>
    <row r="99" spans="1:14" ht="30.75" customHeight="1">
      <c r="A99" s="1967"/>
      <c r="B99" s="1944"/>
      <c r="C99" s="1980"/>
      <c r="D99" s="936">
        <v>4390</v>
      </c>
      <c r="E99" s="836">
        <v>50000</v>
      </c>
      <c r="F99" s="836">
        <v>67650</v>
      </c>
      <c r="G99" s="836"/>
      <c r="H99" s="836">
        <v>100000</v>
      </c>
      <c r="I99" s="837">
        <f t="shared" si="6"/>
        <v>2</v>
      </c>
      <c r="J99" s="836">
        <v>400000</v>
      </c>
      <c r="K99" s="836">
        <f>H99+J99</f>
        <v>500000</v>
      </c>
      <c r="L99" s="1076">
        <f t="shared" si="8"/>
        <v>10</v>
      </c>
      <c r="M99" s="2507"/>
    </row>
    <row r="100" spans="1:14" ht="21.75" hidden="1" customHeight="1">
      <c r="A100" s="1967"/>
      <c r="B100" s="1944"/>
      <c r="C100" s="1980"/>
      <c r="D100" s="936">
        <v>4430</v>
      </c>
      <c r="E100" s="836">
        <v>0</v>
      </c>
      <c r="F100" s="836">
        <v>1470</v>
      </c>
      <c r="G100" s="836"/>
      <c r="H100" s="836">
        <v>0</v>
      </c>
      <c r="I100" s="837"/>
      <c r="J100" s="836"/>
      <c r="K100" s="836">
        <f>H100+J100</f>
        <v>0</v>
      </c>
      <c r="L100" s="1076"/>
      <c r="M100" s="2507"/>
    </row>
    <row r="101" spans="1:14" ht="32.25" customHeight="1">
      <c r="A101" s="1967"/>
      <c r="B101" s="1944"/>
      <c r="C101" s="668" t="s">
        <v>23</v>
      </c>
      <c r="D101" s="936"/>
      <c r="E101" s="836"/>
      <c r="F101" s="836"/>
      <c r="G101" s="836"/>
      <c r="H101" s="836"/>
      <c r="I101" s="837"/>
      <c r="J101" s="836"/>
      <c r="K101" s="836"/>
      <c r="L101" s="1075"/>
      <c r="M101" s="2507"/>
      <c r="N101" s="758"/>
    </row>
    <row r="102" spans="1:14" ht="30" customHeight="1">
      <c r="A102" s="1967"/>
      <c r="B102" s="1973"/>
      <c r="C102" s="668" t="s">
        <v>24</v>
      </c>
      <c r="D102" s="929"/>
      <c r="E102" s="830"/>
      <c r="F102" s="830"/>
      <c r="G102" s="830"/>
      <c r="H102" s="830"/>
      <c r="I102" s="828"/>
      <c r="J102" s="830"/>
      <c r="K102" s="830"/>
      <c r="L102" s="1075"/>
      <c r="M102" s="2507"/>
      <c r="N102" s="419"/>
    </row>
    <row r="103" spans="1:14" ht="19.5" customHeight="1">
      <c r="A103" s="1967"/>
      <c r="B103" s="1972" t="s">
        <v>67</v>
      </c>
      <c r="C103" s="1971" t="s">
        <v>25</v>
      </c>
      <c r="D103" s="929" t="s">
        <v>22</v>
      </c>
      <c r="E103" s="830">
        <f>SUM(E104:E116)</f>
        <v>14292226</v>
      </c>
      <c r="F103" s="830">
        <f>SUM(F104:F116)</f>
        <v>18998691</v>
      </c>
      <c r="G103" s="830">
        <f>SUM(G104:G116)</f>
        <v>0</v>
      </c>
      <c r="H103" s="830">
        <f>SUM(H104:H116)</f>
        <v>4000000</v>
      </c>
      <c r="I103" s="828">
        <f t="shared" ref="I103:I116" si="9">H103/E103</f>
        <v>0.27987242854961852</v>
      </c>
      <c r="J103" s="830">
        <f>SUM(J104:J116)</f>
        <v>0</v>
      </c>
      <c r="K103" s="830">
        <f>SUM(K104:K116)</f>
        <v>4000000</v>
      </c>
      <c r="L103" s="1075">
        <f t="shared" si="8"/>
        <v>0.27987242854961852</v>
      </c>
      <c r="M103" s="2507"/>
      <c r="N103" s="419"/>
    </row>
    <row r="104" spans="1:14" ht="19.5" customHeight="1">
      <c r="A104" s="1967"/>
      <c r="B104" s="1944"/>
      <c r="C104" s="1971"/>
      <c r="D104" s="936">
        <v>4017</v>
      </c>
      <c r="E104" s="836">
        <v>480000</v>
      </c>
      <c r="F104" s="836">
        <v>480000</v>
      </c>
      <c r="G104" s="836"/>
      <c r="H104" s="836">
        <v>313486</v>
      </c>
      <c r="I104" s="837">
        <f t="shared" si="9"/>
        <v>0.65309583333333332</v>
      </c>
      <c r="J104" s="836"/>
      <c r="K104" s="836">
        <f t="shared" ref="K104:K116" si="10">H104+J104</f>
        <v>313486</v>
      </c>
      <c r="L104" s="1076">
        <f t="shared" si="8"/>
        <v>0.65309583333333332</v>
      </c>
      <c r="M104" s="2507"/>
      <c r="N104" s="419"/>
    </row>
    <row r="105" spans="1:14" ht="19.5" customHeight="1">
      <c r="A105" s="1967"/>
      <c r="B105" s="1944"/>
      <c r="C105" s="1971"/>
      <c r="D105" s="936">
        <v>4117</v>
      </c>
      <c r="E105" s="836">
        <v>83424</v>
      </c>
      <c r="F105" s="836">
        <v>83424</v>
      </c>
      <c r="G105" s="836"/>
      <c r="H105" s="836">
        <v>56081</v>
      </c>
      <c r="I105" s="837">
        <f t="shared" si="9"/>
        <v>0.67224060222477944</v>
      </c>
      <c r="J105" s="836"/>
      <c r="K105" s="836">
        <f t="shared" si="10"/>
        <v>56081</v>
      </c>
      <c r="L105" s="1076">
        <f t="shared" si="8"/>
        <v>0.67224060222477944</v>
      </c>
      <c r="M105" s="2507"/>
      <c r="N105" s="419"/>
    </row>
    <row r="106" spans="1:14" ht="19.5" customHeight="1">
      <c r="A106" s="1967"/>
      <c r="B106" s="1944"/>
      <c r="C106" s="1971"/>
      <c r="D106" s="936">
        <v>4127</v>
      </c>
      <c r="E106" s="836">
        <v>11760</v>
      </c>
      <c r="F106" s="836">
        <v>11760</v>
      </c>
      <c r="G106" s="836"/>
      <c r="H106" s="836">
        <v>7634</v>
      </c>
      <c r="I106" s="837">
        <f t="shared" si="9"/>
        <v>0.64914965986394557</v>
      </c>
      <c r="J106" s="836"/>
      <c r="K106" s="836">
        <f t="shared" si="10"/>
        <v>7634</v>
      </c>
      <c r="L106" s="1076">
        <f t="shared" si="8"/>
        <v>0.64914965986394557</v>
      </c>
      <c r="M106" s="2507"/>
      <c r="N106" s="419"/>
    </row>
    <row r="107" spans="1:14" ht="19.5" customHeight="1">
      <c r="A107" s="1967"/>
      <c r="B107" s="1944"/>
      <c r="C107" s="1971"/>
      <c r="D107" s="936">
        <v>4177</v>
      </c>
      <c r="E107" s="836">
        <v>20000</v>
      </c>
      <c r="F107" s="836">
        <v>20000</v>
      </c>
      <c r="G107" s="836"/>
      <c r="H107" s="836">
        <v>0</v>
      </c>
      <c r="I107" s="837">
        <f t="shared" si="9"/>
        <v>0</v>
      </c>
      <c r="J107" s="836"/>
      <c r="K107" s="836">
        <f t="shared" si="10"/>
        <v>0</v>
      </c>
      <c r="L107" s="1076">
        <f t="shared" si="8"/>
        <v>0</v>
      </c>
      <c r="M107" s="2507"/>
      <c r="N107" s="419"/>
    </row>
    <row r="108" spans="1:14" ht="19.5" customHeight="1">
      <c r="A108" s="1967"/>
      <c r="B108" s="1944"/>
      <c r="C108" s="1971"/>
      <c r="D108" s="936">
        <v>4217</v>
      </c>
      <c r="E108" s="836">
        <v>200000</v>
      </c>
      <c r="F108" s="836">
        <v>500000</v>
      </c>
      <c r="G108" s="836"/>
      <c r="H108" s="836">
        <v>75321</v>
      </c>
      <c r="I108" s="837">
        <f t="shared" si="9"/>
        <v>0.37660500000000002</v>
      </c>
      <c r="J108" s="836"/>
      <c r="K108" s="836">
        <f t="shared" si="10"/>
        <v>75321</v>
      </c>
      <c r="L108" s="1076">
        <f t="shared" si="8"/>
        <v>0.37660500000000002</v>
      </c>
      <c r="M108" s="2507"/>
      <c r="N108" s="419"/>
    </row>
    <row r="109" spans="1:14" ht="19.5" customHeight="1">
      <c r="A109" s="1967"/>
      <c r="B109" s="1944"/>
      <c r="C109" s="1971"/>
      <c r="D109" s="936">
        <v>4307</v>
      </c>
      <c r="E109" s="836">
        <v>12745182</v>
      </c>
      <c r="F109" s="836">
        <v>17151594</v>
      </c>
      <c r="G109" s="836"/>
      <c r="H109" s="836">
        <v>3231784</v>
      </c>
      <c r="I109" s="837">
        <f t="shared" si="9"/>
        <v>0.25356907418034519</v>
      </c>
      <c r="J109" s="836"/>
      <c r="K109" s="836">
        <f t="shared" si="10"/>
        <v>3231784</v>
      </c>
      <c r="L109" s="1076">
        <f t="shared" si="8"/>
        <v>0.25356907418034519</v>
      </c>
      <c r="M109" s="2507"/>
      <c r="N109" s="419"/>
    </row>
    <row r="110" spans="1:14" ht="19.5" customHeight="1">
      <c r="A110" s="1967"/>
      <c r="B110" s="1944"/>
      <c r="C110" s="1971"/>
      <c r="D110" s="936">
        <v>4387</v>
      </c>
      <c r="E110" s="836">
        <v>150000</v>
      </c>
      <c r="F110" s="836">
        <v>140000</v>
      </c>
      <c r="G110" s="836"/>
      <c r="H110" s="836">
        <v>0</v>
      </c>
      <c r="I110" s="837">
        <f t="shared" si="9"/>
        <v>0</v>
      </c>
      <c r="J110" s="836"/>
      <c r="K110" s="836">
        <f t="shared" si="10"/>
        <v>0</v>
      </c>
      <c r="L110" s="1076">
        <f t="shared" si="8"/>
        <v>0</v>
      </c>
      <c r="M110" s="2507"/>
      <c r="N110" s="419"/>
    </row>
    <row r="111" spans="1:14" ht="19.5" customHeight="1">
      <c r="A111" s="1967"/>
      <c r="B111" s="1944"/>
      <c r="C111" s="1971"/>
      <c r="D111" s="936">
        <v>4397</v>
      </c>
      <c r="E111" s="836">
        <v>500000</v>
      </c>
      <c r="F111" s="836">
        <v>500000</v>
      </c>
      <c r="G111" s="836"/>
      <c r="H111" s="836">
        <v>242630</v>
      </c>
      <c r="I111" s="837">
        <f t="shared" si="9"/>
        <v>0.48526000000000002</v>
      </c>
      <c r="J111" s="836"/>
      <c r="K111" s="836">
        <f t="shared" si="10"/>
        <v>242630</v>
      </c>
      <c r="L111" s="1076">
        <f t="shared" si="8"/>
        <v>0.48526000000000002</v>
      </c>
      <c r="M111" s="2507"/>
      <c r="N111" s="419"/>
    </row>
    <row r="112" spans="1:14" ht="19.5" customHeight="1">
      <c r="A112" s="1967"/>
      <c r="B112" s="1944"/>
      <c r="C112" s="1971"/>
      <c r="D112" s="936">
        <v>4417</v>
      </c>
      <c r="E112" s="836">
        <v>5000</v>
      </c>
      <c r="F112" s="836">
        <v>13500</v>
      </c>
      <c r="G112" s="836"/>
      <c r="H112" s="836">
        <v>5000</v>
      </c>
      <c r="I112" s="837">
        <f t="shared" si="9"/>
        <v>1</v>
      </c>
      <c r="J112" s="836"/>
      <c r="K112" s="836">
        <f t="shared" si="10"/>
        <v>5000</v>
      </c>
      <c r="L112" s="1076">
        <f t="shared" si="8"/>
        <v>1</v>
      </c>
      <c r="M112" s="2507"/>
      <c r="N112" s="419"/>
    </row>
    <row r="113" spans="1:14" ht="19.5" customHeight="1">
      <c r="A113" s="1967"/>
      <c r="B113" s="1944"/>
      <c r="C113" s="1971"/>
      <c r="D113" s="936">
        <v>4427</v>
      </c>
      <c r="E113" s="836">
        <v>80000</v>
      </c>
      <c r="F113" s="836">
        <v>80000</v>
      </c>
      <c r="G113" s="836"/>
      <c r="H113" s="836">
        <v>40000</v>
      </c>
      <c r="I113" s="837">
        <f t="shared" si="9"/>
        <v>0.5</v>
      </c>
      <c r="J113" s="836"/>
      <c r="K113" s="836">
        <f t="shared" si="10"/>
        <v>40000</v>
      </c>
      <c r="L113" s="1076">
        <f t="shared" si="8"/>
        <v>0.5</v>
      </c>
      <c r="M113" s="2507"/>
      <c r="N113" s="419"/>
    </row>
    <row r="114" spans="1:14" ht="19.5" customHeight="1">
      <c r="A114" s="1967"/>
      <c r="B114" s="1944"/>
      <c r="C114" s="1971"/>
      <c r="D114" s="936">
        <v>4569</v>
      </c>
      <c r="E114" s="836">
        <v>0</v>
      </c>
      <c r="F114" s="836">
        <v>53</v>
      </c>
      <c r="G114" s="836"/>
      <c r="H114" s="836">
        <v>0</v>
      </c>
      <c r="I114" s="837"/>
      <c r="J114" s="836"/>
      <c r="K114" s="836">
        <f t="shared" si="10"/>
        <v>0</v>
      </c>
      <c r="L114" s="1076"/>
      <c r="M114" s="2507"/>
      <c r="N114" s="419"/>
    </row>
    <row r="115" spans="1:14" ht="19.5" customHeight="1">
      <c r="A115" s="1967"/>
      <c r="B115" s="1944"/>
      <c r="C115" s="1971"/>
      <c r="D115" s="933">
        <v>4707</v>
      </c>
      <c r="E115" s="836">
        <v>15000</v>
      </c>
      <c r="F115" s="836">
        <v>15000</v>
      </c>
      <c r="G115" s="836"/>
      <c r="H115" s="836">
        <v>24564</v>
      </c>
      <c r="I115" s="837">
        <f t="shared" si="9"/>
        <v>1.6375999999999999</v>
      </c>
      <c r="J115" s="836"/>
      <c r="K115" s="836">
        <f t="shared" si="10"/>
        <v>24564</v>
      </c>
      <c r="L115" s="1076">
        <f t="shared" si="8"/>
        <v>1.6375999999999999</v>
      </c>
      <c r="M115" s="2507"/>
      <c r="N115" s="419"/>
    </row>
    <row r="116" spans="1:14" ht="19.5" customHeight="1">
      <c r="A116" s="1967"/>
      <c r="B116" s="1944"/>
      <c r="C116" s="2502"/>
      <c r="D116" s="933">
        <v>4717</v>
      </c>
      <c r="E116" s="836">
        <v>1860</v>
      </c>
      <c r="F116" s="836">
        <v>3360</v>
      </c>
      <c r="G116" s="836"/>
      <c r="H116" s="836">
        <v>3500</v>
      </c>
      <c r="I116" s="837">
        <f t="shared" si="9"/>
        <v>1.881720430107527</v>
      </c>
      <c r="J116" s="836"/>
      <c r="K116" s="836">
        <f t="shared" si="10"/>
        <v>3500</v>
      </c>
      <c r="L116" s="1076">
        <f t="shared" si="8"/>
        <v>1.881720430107527</v>
      </c>
      <c r="M116" s="2507"/>
      <c r="N116" s="419"/>
    </row>
    <row r="117" spans="1:14" ht="19.5" customHeight="1">
      <c r="A117" s="1967"/>
      <c r="B117" s="1944"/>
      <c r="C117" s="668" t="s">
        <v>26</v>
      </c>
      <c r="D117" s="929"/>
      <c r="E117" s="830"/>
      <c r="F117" s="830"/>
      <c r="G117" s="830"/>
      <c r="H117" s="830"/>
      <c r="I117" s="828"/>
      <c r="J117" s="830"/>
      <c r="K117" s="830"/>
      <c r="L117" s="1075"/>
      <c r="M117" s="2507"/>
    </row>
    <row r="118" spans="1:14" ht="19.5" customHeight="1">
      <c r="A118" s="1967"/>
      <c r="B118" s="1944"/>
      <c r="C118" s="668" t="s">
        <v>27</v>
      </c>
      <c r="D118" s="929"/>
      <c r="E118" s="830"/>
      <c r="F118" s="830"/>
      <c r="G118" s="830"/>
      <c r="H118" s="830"/>
      <c r="I118" s="828"/>
      <c r="J118" s="830"/>
      <c r="K118" s="830"/>
      <c r="L118" s="1075"/>
      <c r="M118" s="2507"/>
    </row>
    <row r="119" spans="1:14" s="640" customFormat="1" ht="19.5" customHeight="1">
      <c r="A119" s="1967"/>
      <c r="B119" s="1944"/>
      <c r="C119" s="676" t="s">
        <v>28</v>
      </c>
      <c r="D119" s="938"/>
      <c r="E119" s="823">
        <f>SUM(E120,E124,E125)</f>
        <v>434769</v>
      </c>
      <c r="F119" s="823">
        <f>SUM(F120,F124,F125)</f>
        <v>269852</v>
      </c>
      <c r="G119" s="823">
        <f>SUM(G120,G124,G125)</f>
        <v>0</v>
      </c>
      <c r="H119" s="823">
        <f>SUM(H120,H124,H125)</f>
        <v>42000</v>
      </c>
      <c r="I119" s="828">
        <f>H119/E119</f>
        <v>9.660302367464102E-2</v>
      </c>
      <c r="J119" s="823">
        <f>SUM(J120,J124,J125)</f>
        <v>0</v>
      </c>
      <c r="K119" s="823">
        <f>SUM(K120,K124,K125)</f>
        <v>42000</v>
      </c>
      <c r="L119" s="1075">
        <f t="shared" si="8"/>
        <v>9.660302367464102E-2</v>
      </c>
      <c r="M119" s="2507"/>
    </row>
    <row r="120" spans="1:14" s="640" customFormat="1" ht="19.5" customHeight="1">
      <c r="A120" s="1967"/>
      <c r="B120" s="1944"/>
      <c r="C120" s="1976" t="s">
        <v>29</v>
      </c>
      <c r="D120" s="929" t="s">
        <v>22</v>
      </c>
      <c r="E120" s="830">
        <f>SUM(E121:E122)</f>
        <v>434769</v>
      </c>
      <c r="F120" s="830">
        <f>SUM(F121:G122)</f>
        <v>269852</v>
      </c>
      <c r="G120" s="830">
        <f>SUM(G121:G122)</f>
        <v>0</v>
      </c>
      <c r="H120" s="830">
        <f>SUM(H121:H122)</f>
        <v>42000</v>
      </c>
      <c r="I120" s="828">
        <f>H120/E120</f>
        <v>9.660302367464102E-2</v>
      </c>
      <c r="J120" s="830"/>
      <c r="K120" s="830">
        <f>SUM(K121:K122)</f>
        <v>42000</v>
      </c>
      <c r="L120" s="1075">
        <f t="shared" si="8"/>
        <v>9.660302367464102E-2</v>
      </c>
      <c r="M120" s="2507"/>
    </row>
    <row r="121" spans="1:14" s="1086" customFormat="1" ht="19.5" customHeight="1">
      <c r="A121" s="1967"/>
      <c r="B121" s="1944"/>
      <c r="C121" s="1976"/>
      <c r="D121" s="936">
        <v>6060</v>
      </c>
      <c r="E121" s="836">
        <v>220000</v>
      </c>
      <c r="F121" s="836">
        <v>220000</v>
      </c>
      <c r="G121" s="836"/>
      <c r="H121" s="836">
        <v>42000</v>
      </c>
      <c r="I121" s="837">
        <f>H121/E121</f>
        <v>0.19090909090909092</v>
      </c>
      <c r="J121" s="836"/>
      <c r="K121" s="836">
        <f>H121+J121</f>
        <v>42000</v>
      </c>
      <c r="L121" s="1076">
        <f t="shared" si="8"/>
        <v>0.19090909090909092</v>
      </c>
      <c r="M121" s="2507"/>
    </row>
    <row r="122" spans="1:14" s="1086" customFormat="1" ht="19.5" customHeight="1">
      <c r="A122" s="1967"/>
      <c r="B122" s="1944"/>
      <c r="C122" s="1976"/>
      <c r="D122" s="936">
        <v>6067</v>
      </c>
      <c r="E122" s="836">
        <v>214769</v>
      </c>
      <c r="F122" s="836">
        <v>49852</v>
      </c>
      <c r="G122" s="836"/>
      <c r="H122" s="836">
        <v>0</v>
      </c>
      <c r="I122" s="837">
        <f>H122/E122</f>
        <v>0</v>
      </c>
      <c r="J122" s="836"/>
      <c r="K122" s="836">
        <f>H122+J122</f>
        <v>0</v>
      </c>
      <c r="L122" s="1076">
        <f t="shared" si="8"/>
        <v>0</v>
      </c>
      <c r="M122" s="2507"/>
    </row>
    <row r="123" spans="1:14" s="640" customFormat="1" ht="24" customHeight="1">
      <c r="A123" s="1967"/>
      <c r="B123" s="1944"/>
      <c r="C123" s="863" t="s">
        <v>89</v>
      </c>
      <c r="D123" s="929">
        <v>6067</v>
      </c>
      <c r="E123" s="830">
        <v>214769</v>
      </c>
      <c r="F123" s="830">
        <v>49852</v>
      </c>
      <c r="G123" s="830"/>
      <c r="H123" s="830">
        <v>0</v>
      </c>
      <c r="I123" s="828">
        <f>H123/E123</f>
        <v>0</v>
      </c>
      <c r="J123" s="830"/>
      <c r="K123" s="830">
        <f>H123+J123</f>
        <v>0</v>
      </c>
      <c r="L123" s="1076">
        <f t="shared" si="8"/>
        <v>0</v>
      </c>
      <c r="M123" s="2507"/>
    </row>
    <row r="124" spans="1:14" s="640" customFormat="1" ht="19.5" customHeight="1">
      <c r="A124" s="1967"/>
      <c r="B124" s="1944"/>
      <c r="C124" s="668" t="s">
        <v>31</v>
      </c>
      <c r="D124" s="929"/>
      <c r="E124" s="830"/>
      <c r="F124" s="830"/>
      <c r="G124" s="830"/>
      <c r="H124" s="830"/>
      <c r="I124" s="828"/>
      <c r="J124" s="830"/>
      <c r="K124" s="830"/>
      <c r="L124" s="1075"/>
      <c r="M124" s="2507"/>
    </row>
    <row r="125" spans="1:14" s="1087" customFormat="1" ht="19.5" customHeight="1" thickBot="1">
      <c r="A125" s="1967"/>
      <c r="B125" s="1973"/>
      <c r="C125" s="668" t="s">
        <v>32</v>
      </c>
      <c r="D125" s="929"/>
      <c r="E125" s="823"/>
      <c r="F125" s="823"/>
      <c r="G125" s="823"/>
      <c r="H125" s="823"/>
      <c r="I125" s="828"/>
      <c r="J125" s="823"/>
      <c r="K125" s="823"/>
      <c r="L125" s="1074"/>
      <c r="M125" s="2508"/>
    </row>
    <row r="126" spans="1:14" s="381" customFormat="1" ht="0.75" hidden="1" customHeight="1" thickBot="1">
      <c r="A126" s="1967"/>
      <c r="B126" s="1932" t="s">
        <v>16</v>
      </c>
      <c r="C126" s="660" t="s">
        <v>17</v>
      </c>
      <c r="D126" s="847"/>
      <c r="E126" s="848">
        <f>SUM(E127,E136)</f>
        <v>0</v>
      </c>
      <c r="F126" s="848">
        <f>SUM(F127,F136)</f>
        <v>15000</v>
      </c>
      <c r="G126" s="848"/>
      <c r="H126" s="848">
        <f>SUM(H127,H136)</f>
        <v>0</v>
      </c>
      <c r="I126" s="820"/>
      <c r="J126" s="848">
        <f>SUM(J127,J136)</f>
        <v>0</v>
      </c>
      <c r="K126" s="848">
        <f>SUM(K127,K136)</f>
        <v>0</v>
      </c>
      <c r="L126" s="1088"/>
      <c r="M126" s="2498" t="s">
        <v>550</v>
      </c>
    </row>
    <row r="127" spans="1:14" s="381" customFormat="1" hidden="1" thickBot="1">
      <c r="A127" s="1967"/>
      <c r="B127" s="1932"/>
      <c r="C127" s="664" t="s">
        <v>18</v>
      </c>
      <c r="D127" s="851"/>
      <c r="E127" s="852">
        <f>SUM(E128,E131,E132,E133,E134,E135)</f>
        <v>0</v>
      </c>
      <c r="F127" s="852">
        <f>SUM(F128,F131,F132,F133,F134,F135)</f>
        <v>15000</v>
      </c>
      <c r="G127" s="852">
        <f>SUM(G128,G131,G132,G133,G134,G135)</f>
        <v>0</v>
      </c>
      <c r="H127" s="852">
        <f>SUM(H128,H131,H132,H133,H134,H135)</f>
        <v>0</v>
      </c>
      <c r="I127" s="1011"/>
      <c r="J127" s="852">
        <f>SUM(J128,J131,J132,J133,J134,J135)</f>
        <v>0</v>
      </c>
      <c r="K127" s="852">
        <f>SUM(K128,K131,K132,K133,K134,K135)</f>
        <v>0</v>
      </c>
      <c r="L127" s="1089"/>
      <c r="M127" s="2498"/>
    </row>
    <row r="128" spans="1:14" s="381" customFormat="1" hidden="1" thickBot="1">
      <c r="A128" s="1967"/>
      <c r="B128" s="1932"/>
      <c r="C128" s="668" t="s">
        <v>19</v>
      </c>
      <c r="D128" s="929"/>
      <c r="E128" s="857">
        <f>SUM(E129:E130)</f>
        <v>0</v>
      </c>
      <c r="F128" s="857">
        <f>SUM(F129:F130)</f>
        <v>15000</v>
      </c>
      <c r="G128" s="857"/>
      <c r="H128" s="857">
        <f>SUM(H129:H130)</f>
        <v>0</v>
      </c>
      <c r="I128" s="1011"/>
      <c r="J128" s="857">
        <f>SUM(J129:J130)</f>
        <v>0</v>
      </c>
      <c r="K128" s="857">
        <f>SUM(K129:K130)</f>
        <v>0</v>
      </c>
      <c r="L128" s="1090"/>
      <c r="M128" s="2498"/>
    </row>
    <row r="129" spans="1:14" s="381" customFormat="1" hidden="1" thickBot="1">
      <c r="A129" s="1967"/>
      <c r="B129" s="1932"/>
      <c r="C129" s="668" t="s">
        <v>20</v>
      </c>
      <c r="D129" s="929"/>
      <c r="E129" s="857"/>
      <c r="F129" s="857"/>
      <c r="G129" s="857"/>
      <c r="H129" s="857"/>
      <c r="I129" s="1011"/>
      <c r="J129" s="857"/>
      <c r="K129" s="857">
        <f>H129+J129</f>
        <v>0</v>
      </c>
      <c r="L129" s="1090"/>
      <c r="M129" s="2498"/>
    </row>
    <row r="130" spans="1:14" s="381" customFormat="1" ht="26.25" hidden="1" customHeight="1" thickBot="1">
      <c r="A130" s="1967"/>
      <c r="B130" s="1932"/>
      <c r="C130" s="672" t="s">
        <v>21</v>
      </c>
      <c r="D130" s="932">
        <v>4300</v>
      </c>
      <c r="E130" s="857">
        <v>0</v>
      </c>
      <c r="F130" s="857">
        <v>15000</v>
      </c>
      <c r="G130" s="857"/>
      <c r="H130" s="857">
        <v>0</v>
      </c>
      <c r="I130" s="1011"/>
      <c r="J130" s="857"/>
      <c r="K130" s="857">
        <f>H130+J130</f>
        <v>0</v>
      </c>
      <c r="L130" s="1090"/>
      <c r="M130" s="2498"/>
    </row>
    <row r="131" spans="1:14" s="381" customFormat="1" hidden="1" thickBot="1">
      <c r="A131" s="1967"/>
      <c r="B131" s="1932"/>
      <c r="C131" s="404" t="s">
        <v>23</v>
      </c>
      <c r="D131" s="929"/>
      <c r="E131" s="857">
        <v>0</v>
      </c>
      <c r="F131" s="857"/>
      <c r="G131" s="857"/>
      <c r="H131" s="857">
        <v>0</v>
      </c>
      <c r="I131" s="1011"/>
      <c r="J131" s="857"/>
      <c r="K131" s="857">
        <f t="shared" ref="K131:K135" si="11">H131+J131</f>
        <v>0</v>
      </c>
      <c r="L131" s="1090"/>
      <c r="M131" s="2498"/>
    </row>
    <row r="132" spans="1:14" s="381" customFormat="1" hidden="1" thickBot="1">
      <c r="A132" s="1967"/>
      <c r="B132" s="1932"/>
      <c r="C132" s="668" t="s">
        <v>24</v>
      </c>
      <c r="D132" s="929"/>
      <c r="E132" s="857"/>
      <c r="F132" s="857"/>
      <c r="G132" s="857"/>
      <c r="H132" s="857"/>
      <c r="I132" s="1091"/>
      <c r="J132" s="857"/>
      <c r="K132" s="857">
        <f t="shared" si="11"/>
        <v>0</v>
      </c>
      <c r="L132" s="1090"/>
      <c r="M132" s="2498"/>
    </row>
    <row r="133" spans="1:14" s="381" customFormat="1" ht="23.25" hidden="1" thickBot="1">
      <c r="A133" s="1967"/>
      <c r="B133" s="1932"/>
      <c r="C133" s="174" t="s">
        <v>25</v>
      </c>
      <c r="D133" s="929"/>
      <c r="E133" s="857"/>
      <c r="F133" s="857"/>
      <c r="G133" s="857"/>
      <c r="H133" s="857"/>
      <c r="I133" s="1091"/>
      <c r="J133" s="857"/>
      <c r="K133" s="857">
        <f t="shared" si="11"/>
        <v>0</v>
      </c>
      <c r="L133" s="1090"/>
      <c r="M133" s="2498"/>
    </row>
    <row r="134" spans="1:14" s="381" customFormat="1" hidden="1" thickBot="1">
      <c r="A134" s="1967"/>
      <c r="B134" s="1932"/>
      <c r="C134" s="668" t="s">
        <v>26</v>
      </c>
      <c r="D134" s="929"/>
      <c r="E134" s="857"/>
      <c r="F134" s="857"/>
      <c r="G134" s="857"/>
      <c r="H134" s="857"/>
      <c r="I134" s="1091"/>
      <c r="J134" s="857"/>
      <c r="K134" s="857">
        <f t="shared" si="11"/>
        <v>0</v>
      </c>
      <c r="L134" s="1090"/>
      <c r="M134" s="2498"/>
    </row>
    <row r="135" spans="1:14" s="381" customFormat="1" hidden="1" thickBot="1">
      <c r="A135" s="1967"/>
      <c r="B135" s="1932"/>
      <c r="C135" s="668" t="s">
        <v>27</v>
      </c>
      <c r="D135" s="929"/>
      <c r="E135" s="857"/>
      <c r="F135" s="857"/>
      <c r="G135" s="857"/>
      <c r="H135" s="857"/>
      <c r="I135" s="1091"/>
      <c r="J135" s="857"/>
      <c r="K135" s="857">
        <f t="shared" si="11"/>
        <v>0</v>
      </c>
      <c r="L135" s="1090"/>
      <c r="M135" s="2498"/>
    </row>
    <row r="136" spans="1:14" s="381" customFormat="1" hidden="1" thickBot="1">
      <c r="A136" s="1967"/>
      <c r="B136" s="1932"/>
      <c r="C136" s="676" t="s">
        <v>28</v>
      </c>
      <c r="D136" s="938"/>
      <c r="E136" s="852">
        <f>SUM(E137,E139,E140)</f>
        <v>0</v>
      </c>
      <c r="F136" s="852">
        <f>SUM(F137,F139,F140)</f>
        <v>0</v>
      </c>
      <c r="G136" s="852">
        <f>SUM(G137,G139,G140)</f>
        <v>0</v>
      </c>
      <c r="H136" s="852">
        <f>SUM(H137,H139,H140)</f>
        <v>0</v>
      </c>
      <c r="I136" s="1091"/>
      <c r="J136" s="852">
        <f>SUM(J137,J139,J140)</f>
        <v>0</v>
      </c>
      <c r="K136" s="852">
        <f>SUM(K137,K139,K140)</f>
        <v>0</v>
      </c>
      <c r="L136" s="1089"/>
      <c r="M136" s="2498"/>
    </row>
    <row r="137" spans="1:14" s="381" customFormat="1" hidden="1" thickBot="1">
      <c r="A137" s="1967"/>
      <c r="B137" s="1932"/>
      <c r="C137" s="404" t="s">
        <v>29</v>
      </c>
      <c r="D137" s="929"/>
      <c r="E137" s="857"/>
      <c r="F137" s="857"/>
      <c r="G137" s="857"/>
      <c r="H137" s="857"/>
      <c r="I137" s="1092"/>
      <c r="J137" s="857"/>
      <c r="K137" s="857">
        <f>J137+H137</f>
        <v>0</v>
      </c>
      <c r="L137" s="1090"/>
      <c r="M137" s="2498"/>
    </row>
    <row r="138" spans="1:14" s="381" customFormat="1" ht="23.25" hidden="1" thickBot="1">
      <c r="A138" s="1967"/>
      <c r="B138" s="1932"/>
      <c r="C138" s="174" t="s">
        <v>30</v>
      </c>
      <c r="D138" s="932"/>
      <c r="E138" s="857"/>
      <c r="F138" s="857"/>
      <c r="G138" s="857"/>
      <c r="H138" s="857"/>
      <c r="I138" s="1091"/>
      <c r="J138" s="857"/>
      <c r="K138" s="857">
        <f>H138+J138</f>
        <v>0</v>
      </c>
      <c r="L138" s="1090"/>
      <c r="M138" s="2498"/>
    </row>
    <row r="139" spans="1:14" s="381" customFormat="1" ht="0.75" hidden="1" customHeight="1" thickBot="1">
      <c r="A139" s="1967"/>
      <c r="B139" s="1932"/>
      <c r="C139" s="668" t="s">
        <v>31</v>
      </c>
      <c r="D139" s="929"/>
      <c r="E139" s="857"/>
      <c r="F139" s="857"/>
      <c r="G139" s="857"/>
      <c r="H139" s="857"/>
      <c r="I139" s="1091"/>
      <c r="J139" s="857"/>
      <c r="K139" s="857">
        <f>H139+J139</f>
        <v>0</v>
      </c>
      <c r="L139" s="1090"/>
      <c r="M139" s="2498"/>
    </row>
    <row r="140" spans="1:14" s="381" customFormat="1" ht="1.5" hidden="1" customHeight="1" thickBot="1">
      <c r="A140" s="2505"/>
      <c r="B140" s="1932"/>
      <c r="C140" s="668" t="s">
        <v>32</v>
      </c>
      <c r="D140" s="929"/>
      <c r="E140" s="852"/>
      <c r="F140" s="852"/>
      <c r="G140" s="852"/>
      <c r="H140" s="852"/>
      <c r="I140" s="1091"/>
      <c r="J140" s="852"/>
      <c r="K140" s="857">
        <f>H140+J140</f>
        <v>0</v>
      </c>
      <c r="L140" s="1093"/>
      <c r="M140" s="2498"/>
    </row>
    <row r="141" spans="1:14" s="1044" customFormat="1" ht="25.5" customHeight="1" thickBot="1">
      <c r="A141" s="2499" t="s">
        <v>33</v>
      </c>
      <c r="B141" s="2500"/>
      <c r="C141" s="2501"/>
      <c r="D141" s="895"/>
      <c r="E141" s="896">
        <f>SUM(E5,E41)</f>
        <v>25231153</v>
      </c>
      <c r="F141" s="896">
        <f>SUM(F5,F41)</f>
        <v>31187648</v>
      </c>
      <c r="G141" s="896">
        <f>SUM(G5,G41)</f>
        <v>8293.5</v>
      </c>
      <c r="H141" s="896">
        <f>SUM(H5,H41)</f>
        <v>24729331</v>
      </c>
      <c r="I141" s="1094">
        <f>H141/E141</f>
        <v>0.98011101593335825</v>
      </c>
      <c r="J141" s="896">
        <f>SUM(J5,J41)</f>
        <v>1350000</v>
      </c>
      <c r="K141" s="896">
        <f>SUM(K5,K41)</f>
        <v>26079331</v>
      </c>
      <c r="L141" s="1095">
        <f>K141/E141</f>
        <v>1.0336162996593934</v>
      </c>
      <c r="M141" s="1096"/>
    </row>
    <row r="142" spans="1:14" ht="7.5" customHeight="1">
      <c r="A142" s="1097"/>
      <c r="B142" s="1097"/>
      <c r="C142" s="1097"/>
      <c r="D142" s="1098"/>
      <c r="E142" s="1099"/>
      <c r="F142" s="1100"/>
      <c r="G142" s="1099"/>
      <c r="H142" s="1099"/>
      <c r="I142" s="1101"/>
      <c r="J142" s="1099"/>
      <c r="K142" s="1099"/>
      <c r="L142" s="1102"/>
      <c r="M142" s="1103"/>
      <c r="N142" s="419"/>
    </row>
    <row r="364" spans="3:14" ht="15.75">
      <c r="C364" s="1106" t="s">
        <v>551</v>
      </c>
      <c r="D364" s="1107"/>
      <c r="E364" s="1058"/>
      <c r="F364" s="1059"/>
      <c r="G364" s="1058"/>
      <c r="H364" s="1108"/>
      <c r="I364" s="1109"/>
      <c r="J364" s="1108"/>
      <c r="K364" s="1110"/>
      <c r="L364" s="1110"/>
      <c r="M364" s="1111"/>
      <c r="N364" s="1051"/>
    </row>
    <row r="365" spans="3:14" ht="15.75">
      <c r="C365" s="1112" t="s">
        <v>552</v>
      </c>
      <c r="D365" s="1113"/>
      <c r="E365" s="1058"/>
      <c r="F365" s="1059"/>
      <c r="G365" s="1058"/>
      <c r="H365" s="1108"/>
      <c r="I365" s="1109"/>
      <c r="J365" s="1108"/>
      <c r="K365" s="1110"/>
      <c r="L365" s="1110"/>
      <c r="M365" s="1111"/>
      <c r="N365" s="1051"/>
    </row>
    <row r="366" spans="3:14">
      <c r="C366" s="1112" t="s">
        <v>553</v>
      </c>
      <c r="D366" s="1113"/>
      <c r="E366" s="1113"/>
      <c r="F366" s="1114"/>
      <c r="G366" s="1113"/>
      <c r="H366" s="1115"/>
      <c r="I366" s="1116"/>
      <c r="J366" s="1115"/>
      <c r="K366" s="1117"/>
      <c r="L366" s="1118"/>
      <c r="M366" s="1119"/>
      <c r="N366" s="1052"/>
    </row>
    <row r="367" spans="3:14">
      <c r="C367" s="1112" t="s">
        <v>554</v>
      </c>
      <c r="D367" s="1113"/>
      <c r="E367" s="1113"/>
      <c r="F367" s="1114"/>
      <c r="G367" s="1113"/>
      <c r="H367" s="1115"/>
      <c r="I367" s="1116"/>
      <c r="J367" s="1115"/>
      <c r="K367" s="1117"/>
      <c r="L367" s="1118"/>
      <c r="M367" s="1119"/>
      <c r="N367" s="1053"/>
    </row>
    <row r="368" spans="3:14" ht="15.75">
      <c r="C368" s="2497" t="s">
        <v>555</v>
      </c>
      <c r="D368" s="2497"/>
      <c r="E368" s="2497"/>
      <c r="F368" s="2497"/>
      <c r="G368" s="2497"/>
      <c r="H368" s="2497"/>
      <c r="I368" s="2497"/>
      <c r="J368" s="2497"/>
      <c r="K368" s="2497"/>
      <c r="L368" s="2497"/>
      <c r="M368" s="2497"/>
      <c r="N368" s="1053"/>
    </row>
  </sheetData>
  <mergeCells count="31">
    <mergeCell ref="A1:M1"/>
    <mergeCell ref="B3:C3"/>
    <mergeCell ref="B4:C4"/>
    <mergeCell ref="A6:A23"/>
    <mergeCell ref="B6:B23"/>
    <mergeCell ref="M6:M23"/>
    <mergeCell ref="C10:C13"/>
    <mergeCell ref="A24:A40"/>
    <mergeCell ref="B24:B40"/>
    <mergeCell ref="M24:M40"/>
    <mergeCell ref="C28:C30"/>
    <mergeCell ref="A42:A140"/>
    <mergeCell ref="B42:B70"/>
    <mergeCell ref="M42:M70"/>
    <mergeCell ref="C49:C59"/>
    <mergeCell ref="C63:C65"/>
    <mergeCell ref="C66:C68"/>
    <mergeCell ref="B71:B90"/>
    <mergeCell ref="M71:M90"/>
    <mergeCell ref="C74:C77"/>
    <mergeCell ref="C78:C80"/>
    <mergeCell ref="B91:B102"/>
    <mergeCell ref="M91:M125"/>
    <mergeCell ref="C368:M368"/>
    <mergeCell ref="M126:M140"/>
    <mergeCell ref="A141:C141"/>
    <mergeCell ref="C95:C100"/>
    <mergeCell ref="B103:B125"/>
    <mergeCell ref="C103:C116"/>
    <mergeCell ref="C120:C122"/>
    <mergeCell ref="B126:B140"/>
  </mergeCells>
  <printOptions horizontalCentered="1"/>
  <pageMargins left="0" right="0" top="0.59055118110236227" bottom="0" header="0" footer="0"/>
  <pageSetup paperSize="9" scale="74" fitToHeight="0" orientation="landscape" horizontalDpi="4294967295" verticalDpi="4294967295" r:id="rId1"/>
  <headerFooter alignWithMargins="0"/>
  <rowBreaks count="1" manualBreakCount="1">
    <brk id="98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FFFF"/>
  </sheetPr>
  <dimension ref="A1:L137"/>
  <sheetViews>
    <sheetView view="pageBreakPreview" topLeftCell="A63" zoomScaleSheetLayoutView="100" workbookViewId="0">
      <pane xSplit="4" topLeftCell="E1" activePane="topRight" state="frozen"/>
      <selection activeCell="L62" sqref="L62"/>
      <selection pane="topRight" activeCell="O10" sqref="O10"/>
    </sheetView>
  </sheetViews>
  <sheetFormatPr defaultRowHeight="12.75"/>
  <cols>
    <col min="1" max="2" width="5.42578125" style="101" customWidth="1"/>
    <col min="3" max="3" width="43.140625" style="101" customWidth="1"/>
    <col min="4" max="4" width="6.28515625" style="101" customWidth="1"/>
    <col min="5" max="5" width="12.28515625" style="101" customWidth="1"/>
    <col min="6" max="6" width="12.140625" style="101" customWidth="1"/>
    <col min="7" max="7" width="21.7109375" style="101" hidden="1" customWidth="1"/>
    <col min="8" max="8" width="12.42578125" style="101" hidden="1" customWidth="1"/>
    <col min="9" max="9" width="8.85546875" style="101" hidden="1" customWidth="1"/>
    <col min="10" max="10" width="10.28515625" style="101" hidden="1" customWidth="1"/>
    <col min="11" max="11" width="10.85546875" style="101" bestFit="1" customWidth="1"/>
    <col min="12" max="12" width="102.85546875" style="101" customWidth="1"/>
    <col min="13" max="241" width="9.140625" style="101" customWidth="1"/>
    <col min="242" max="242" width="4.28515625" style="101" bestFit="1" customWidth="1"/>
    <col min="243" max="243" width="6.85546875" style="101" bestFit="1" customWidth="1"/>
    <col min="244" max="244" width="11" style="101" customWidth="1"/>
    <col min="245" max="245" width="11.140625" style="101" bestFit="1" customWidth="1"/>
    <col min="246" max="246" width="10.85546875" style="101" customWidth="1"/>
    <col min="247" max="247" width="11.5703125" style="101" customWidth="1"/>
    <col min="248" max="248" width="11.140625" style="101" bestFit="1" customWidth="1"/>
    <col min="249" max="249" width="11" style="101" customWidth="1"/>
    <col min="250" max="250" width="10.42578125" style="101" customWidth="1"/>
    <col min="251" max="251" width="11.28515625" style="101" customWidth="1"/>
    <col min="252" max="253" width="9.140625" style="101" bestFit="1" customWidth="1"/>
    <col min="254" max="255" width="11.140625" style="101" bestFit="1" customWidth="1"/>
    <col min="256" max="256" width="11.5703125" style="101" bestFit="1" customWidth="1"/>
    <col min="257" max="257" width="9.140625" style="101" bestFit="1" customWidth="1"/>
    <col min="258" max="258" width="10.28515625" style="101" customWidth="1"/>
    <col min="259" max="497" width="9.140625" style="101" customWidth="1"/>
    <col min="498" max="498" width="4.28515625" style="101" bestFit="1" customWidth="1"/>
    <col min="499" max="499" width="6.85546875" style="101" bestFit="1" customWidth="1"/>
    <col min="500" max="500" width="11" style="101" customWidth="1"/>
    <col min="501" max="501" width="11.140625" style="101" bestFit="1" customWidth="1"/>
    <col min="502" max="502" width="10.85546875" style="101" customWidth="1"/>
    <col min="503" max="503" width="11.5703125" style="101" customWidth="1"/>
    <col min="504" max="504" width="11.140625" style="101" bestFit="1" customWidth="1"/>
    <col min="505" max="505" width="11" style="101" customWidth="1"/>
    <col min="506" max="506" width="10.42578125" style="101" customWidth="1"/>
    <col min="507" max="507" width="11.28515625" style="101" customWidth="1"/>
    <col min="508" max="509" width="9.140625" style="101" bestFit="1" customWidth="1"/>
    <col min="510" max="511" width="11.140625" style="101" bestFit="1" customWidth="1"/>
    <col min="512" max="512" width="11.5703125" style="101" bestFit="1" customWidth="1"/>
    <col min="513" max="513" width="9.140625" style="101" bestFit="1" customWidth="1"/>
    <col min="514" max="514" width="10.28515625" style="101" customWidth="1"/>
    <col min="515" max="753" width="9.140625" style="101" customWidth="1"/>
    <col min="754" max="754" width="4.28515625" style="101" bestFit="1" customWidth="1"/>
    <col min="755" max="755" width="6.85546875" style="101" bestFit="1" customWidth="1"/>
    <col min="756" max="756" width="11" style="101" customWidth="1"/>
    <col min="757" max="757" width="11.140625" style="101" bestFit="1" customWidth="1"/>
    <col min="758" max="758" width="10.85546875" style="101" customWidth="1"/>
    <col min="759" max="759" width="11.5703125" style="101" customWidth="1"/>
    <col min="760" max="760" width="11.140625" style="101" bestFit="1" customWidth="1"/>
    <col min="761" max="761" width="11" style="101" customWidth="1"/>
    <col min="762" max="762" width="10.42578125" style="101" customWidth="1"/>
    <col min="763" max="763" width="11.28515625" style="101" customWidth="1"/>
    <col min="764" max="765" width="9.140625" style="101" bestFit="1" customWidth="1"/>
    <col min="766" max="767" width="11.140625" style="101" bestFit="1" customWidth="1"/>
    <col min="768" max="768" width="11.5703125" style="101" bestFit="1" customWidth="1"/>
    <col min="769" max="769" width="9.140625" style="101" bestFit="1" customWidth="1"/>
    <col min="770" max="770" width="10.28515625" style="101" customWidth="1"/>
    <col min="771" max="1009" width="9.140625" style="101" customWidth="1"/>
    <col min="1010" max="1010" width="4.28515625" style="101" bestFit="1" customWidth="1"/>
    <col min="1011" max="1011" width="6.85546875" style="101" bestFit="1" customWidth="1"/>
    <col min="1012" max="1012" width="11" style="101" customWidth="1"/>
    <col min="1013" max="1013" width="11.140625" style="101" bestFit="1" customWidth="1"/>
    <col min="1014" max="1014" width="10.85546875" style="101" customWidth="1"/>
    <col min="1015" max="1015" width="11.5703125" style="101" customWidth="1"/>
    <col min="1016" max="1016" width="11.140625" style="101" bestFit="1" customWidth="1"/>
    <col min="1017" max="1017" width="11" style="101" customWidth="1"/>
    <col min="1018" max="1018" width="10.42578125" style="101" customWidth="1"/>
    <col min="1019" max="1019" width="11.28515625" style="101" customWidth="1"/>
    <col min="1020" max="1021" width="9.140625" style="101" bestFit="1" customWidth="1"/>
    <col min="1022" max="1023" width="11.140625" style="101" bestFit="1" customWidth="1"/>
    <col min="1024" max="1024" width="11.5703125" style="101" bestFit="1" customWidth="1"/>
    <col min="1025" max="1025" width="9.140625" style="101" bestFit="1" customWidth="1"/>
    <col min="1026" max="1026" width="10.28515625" style="101" customWidth="1"/>
    <col min="1027" max="1265" width="9.140625" style="101" customWidth="1"/>
    <col min="1266" max="1266" width="4.28515625" style="101" bestFit="1" customWidth="1"/>
    <col min="1267" max="1267" width="6.85546875" style="101" bestFit="1" customWidth="1"/>
    <col min="1268" max="1268" width="11" style="101" customWidth="1"/>
    <col min="1269" max="1269" width="11.140625" style="101" bestFit="1" customWidth="1"/>
    <col min="1270" max="1270" width="10.85546875" style="101" customWidth="1"/>
    <col min="1271" max="1271" width="11.5703125" style="101" customWidth="1"/>
    <col min="1272" max="1272" width="11.140625" style="101" bestFit="1" customWidth="1"/>
    <col min="1273" max="1273" width="11" style="101" customWidth="1"/>
    <col min="1274" max="1274" width="10.42578125" style="101" customWidth="1"/>
    <col min="1275" max="1275" width="11.28515625" style="101" customWidth="1"/>
    <col min="1276" max="1277" width="9.140625" style="101" bestFit="1" customWidth="1"/>
    <col min="1278" max="1279" width="11.140625" style="101" bestFit="1" customWidth="1"/>
    <col min="1280" max="1280" width="11.5703125" style="101" bestFit="1" customWidth="1"/>
    <col min="1281" max="1281" width="9.140625" style="101" bestFit="1" customWidth="1"/>
    <col min="1282" max="1282" width="10.28515625" style="101" customWidth="1"/>
    <col min="1283" max="1521" width="9.140625" style="101" customWidth="1"/>
    <col min="1522" max="1522" width="4.28515625" style="101" bestFit="1" customWidth="1"/>
    <col min="1523" max="1523" width="6.85546875" style="101" bestFit="1" customWidth="1"/>
    <col min="1524" max="1524" width="11" style="101" customWidth="1"/>
    <col min="1525" max="1525" width="11.140625" style="101" bestFit="1" customWidth="1"/>
    <col min="1526" max="1526" width="10.85546875" style="101" customWidth="1"/>
    <col min="1527" max="1527" width="11.5703125" style="101" customWidth="1"/>
    <col min="1528" max="1528" width="11.140625" style="101" bestFit="1" customWidth="1"/>
    <col min="1529" max="1529" width="11" style="101" customWidth="1"/>
    <col min="1530" max="1530" width="10.42578125" style="101" customWidth="1"/>
    <col min="1531" max="1531" width="11.28515625" style="101" customWidth="1"/>
    <col min="1532" max="1533" width="9.140625" style="101" bestFit="1" customWidth="1"/>
    <col min="1534" max="1535" width="11.140625" style="101" bestFit="1" customWidth="1"/>
    <col min="1536" max="1536" width="11.5703125" style="101" bestFit="1" customWidth="1"/>
    <col min="1537" max="1537" width="9.140625" style="101" bestFit="1" customWidth="1"/>
    <col min="1538" max="1538" width="10.28515625" style="101" customWidth="1"/>
    <col min="1539" max="1777" width="9.140625" style="101" customWidth="1"/>
    <col min="1778" max="1778" width="4.28515625" style="101" bestFit="1" customWidth="1"/>
    <col min="1779" max="1779" width="6.85546875" style="101" bestFit="1" customWidth="1"/>
    <col min="1780" max="1780" width="11" style="101" customWidth="1"/>
    <col min="1781" max="1781" width="11.140625" style="101" bestFit="1" customWidth="1"/>
    <col min="1782" max="1782" width="10.85546875" style="101" customWidth="1"/>
    <col min="1783" max="1783" width="11.5703125" style="101" customWidth="1"/>
    <col min="1784" max="1784" width="11.140625" style="101" bestFit="1" customWidth="1"/>
    <col min="1785" max="1785" width="11" style="101" customWidth="1"/>
    <col min="1786" max="1786" width="10.42578125" style="101" customWidth="1"/>
    <col min="1787" max="1787" width="11.28515625" style="101" customWidth="1"/>
    <col min="1788" max="1789" width="9.140625" style="101" bestFit="1" customWidth="1"/>
    <col min="1790" max="1791" width="11.140625" style="101" bestFit="1" customWidth="1"/>
    <col min="1792" max="1792" width="11.5703125" style="101" bestFit="1" customWidth="1"/>
    <col min="1793" max="1793" width="9.140625" style="101" bestFit="1" customWidth="1"/>
    <col min="1794" max="1794" width="10.28515625" style="101" customWidth="1"/>
    <col min="1795" max="2033" width="9.140625" style="101" customWidth="1"/>
    <col min="2034" max="2034" width="4.28515625" style="101" bestFit="1" customWidth="1"/>
    <col min="2035" max="2035" width="6.85546875" style="101" bestFit="1" customWidth="1"/>
    <col min="2036" max="2036" width="11" style="101" customWidth="1"/>
    <col min="2037" max="2037" width="11.140625" style="101" bestFit="1" customWidth="1"/>
    <col min="2038" max="2038" width="10.85546875" style="101" customWidth="1"/>
    <col min="2039" max="2039" width="11.5703125" style="101" customWidth="1"/>
    <col min="2040" max="2040" width="11.140625" style="101" bestFit="1" customWidth="1"/>
    <col min="2041" max="2041" width="11" style="101" customWidth="1"/>
    <col min="2042" max="2042" width="10.42578125" style="101" customWidth="1"/>
    <col min="2043" max="2043" width="11.28515625" style="101" customWidth="1"/>
    <col min="2044" max="2045" width="9.140625" style="101" bestFit="1" customWidth="1"/>
    <col min="2046" max="2047" width="11.140625" style="101" bestFit="1" customWidth="1"/>
    <col min="2048" max="2048" width="11.5703125" style="101" bestFit="1" customWidth="1"/>
    <col min="2049" max="2049" width="9.140625" style="101" bestFit="1" customWidth="1"/>
    <col min="2050" max="2050" width="10.28515625" style="101" customWidth="1"/>
    <col min="2051" max="2289" width="9.140625" style="101" customWidth="1"/>
    <col min="2290" max="2290" width="4.28515625" style="101" bestFit="1" customWidth="1"/>
    <col min="2291" max="2291" width="6.85546875" style="101" bestFit="1" customWidth="1"/>
    <col min="2292" max="2292" width="11" style="101" customWidth="1"/>
    <col min="2293" max="2293" width="11.140625" style="101" bestFit="1" customWidth="1"/>
    <col min="2294" max="2294" width="10.85546875" style="101" customWidth="1"/>
    <col min="2295" max="2295" width="11.5703125" style="101" customWidth="1"/>
    <col min="2296" max="2296" width="11.140625" style="101" bestFit="1" customWidth="1"/>
    <col min="2297" max="2297" width="11" style="101" customWidth="1"/>
    <col min="2298" max="2298" width="10.42578125" style="101" customWidth="1"/>
    <col min="2299" max="2299" width="11.28515625" style="101" customWidth="1"/>
    <col min="2300" max="2301" width="9.140625" style="101" bestFit="1" customWidth="1"/>
    <col min="2302" max="2303" width="11.140625" style="101" bestFit="1" customWidth="1"/>
    <col min="2304" max="2304" width="11.5703125" style="101" bestFit="1" customWidth="1"/>
    <col min="2305" max="2305" width="9.140625" style="101" bestFit="1" customWidth="1"/>
    <col min="2306" max="2306" width="10.28515625" style="101" customWidth="1"/>
    <col min="2307" max="2545" width="9.140625" style="101" customWidth="1"/>
    <col min="2546" max="2546" width="4.28515625" style="101" bestFit="1" customWidth="1"/>
    <col min="2547" max="2547" width="6.85546875" style="101" bestFit="1" customWidth="1"/>
    <col min="2548" max="2548" width="11" style="101" customWidth="1"/>
    <col min="2549" max="2549" width="11.140625" style="101" bestFit="1" customWidth="1"/>
    <col min="2550" max="2550" width="10.85546875" style="101" customWidth="1"/>
    <col min="2551" max="2551" width="11.5703125" style="101" customWidth="1"/>
    <col min="2552" max="2552" width="11.140625" style="101" bestFit="1" customWidth="1"/>
    <col min="2553" max="2553" width="11" style="101" customWidth="1"/>
    <col min="2554" max="2554" width="10.42578125" style="101" customWidth="1"/>
    <col min="2555" max="2555" width="11.28515625" style="101" customWidth="1"/>
    <col min="2556" max="2557" width="9.140625" style="101" bestFit="1" customWidth="1"/>
    <col min="2558" max="2559" width="11.140625" style="101" bestFit="1" customWidth="1"/>
    <col min="2560" max="2560" width="11.5703125" style="101" bestFit="1" customWidth="1"/>
    <col min="2561" max="2561" width="9.140625" style="101" bestFit="1" customWidth="1"/>
    <col min="2562" max="2562" width="10.28515625" style="101" customWidth="1"/>
    <col min="2563" max="2801" width="9.140625" style="101" customWidth="1"/>
    <col min="2802" max="2802" width="4.28515625" style="101" bestFit="1" customWidth="1"/>
    <col min="2803" max="2803" width="6.85546875" style="101" bestFit="1" customWidth="1"/>
    <col min="2804" max="2804" width="11" style="101" customWidth="1"/>
    <col min="2805" max="2805" width="11.140625" style="101" bestFit="1" customWidth="1"/>
    <col min="2806" max="2806" width="10.85546875" style="101" customWidth="1"/>
    <col min="2807" max="2807" width="11.5703125" style="101" customWidth="1"/>
    <col min="2808" max="2808" width="11.140625" style="101" bestFit="1" customWidth="1"/>
    <col min="2809" max="2809" width="11" style="101" customWidth="1"/>
    <col min="2810" max="2810" width="10.42578125" style="101" customWidth="1"/>
    <col min="2811" max="2811" width="11.28515625" style="101" customWidth="1"/>
    <col min="2812" max="2813" width="9.140625" style="101" bestFit="1" customWidth="1"/>
    <col min="2814" max="2815" width="11.140625" style="101" bestFit="1" customWidth="1"/>
    <col min="2816" max="2816" width="11.5703125" style="101" bestFit="1" customWidth="1"/>
    <col min="2817" max="2817" width="9.140625" style="101" bestFit="1" customWidth="1"/>
    <col min="2818" max="2818" width="10.28515625" style="101" customWidth="1"/>
    <col min="2819" max="3057" width="9.140625" style="101" customWidth="1"/>
    <col min="3058" max="3058" width="4.28515625" style="101" bestFit="1" customWidth="1"/>
    <col min="3059" max="3059" width="6.85546875" style="101" bestFit="1" customWidth="1"/>
    <col min="3060" max="3060" width="11" style="101" customWidth="1"/>
    <col min="3061" max="3061" width="11.140625" style="101" bestFit="1" customWidth="1"/>
    <col min="3062" max="3062" width="10.85546875" style="101" customWidth="1"/>
    <col min="3063" max="3063" width="11.5703125" style="101" customWidth="1"/>
    <col min="3064" max="3064" width="11.140625" style="101" bestFit="1" customWidth="1"/>
    <col min="3065" max="3065" width="11" style="101" customWidth="1"/>
    <col min="3066" max="3066" width="10.42578125" style="101" customWidth="1"/>
    <col min="3067" max="3067" width="11.28515625" style="101" customWidth="1"/>
    <col min="3068" max="3069" width="9.140625" style="101" bestFit="1" customWidth="1"/>
    <col min="3070" max="3071" width="11.140625" style="101" bestFit="1" customWidth="1"/>
    <col min="3072" max="3072" width="11.5703125" style="101" bestFit="1" customWidth="1"/>
    <col min="3073" max="3073" width="9.140625" style="101" bestFit="1" customWidth="1"/>
    <col min="3074" max="3074" width="10.28515625" style="101" customWidth="1"/>
    <col min="3075" max="3313" width="9.140625" style="101" customWidth="1"/>
    <col min="3314" max="3314" width="4.28515625" style="101" bestFit="1" customWidth="1"/>
    <col min="3315" max="3315" width="6.85546875" style="101" bestFit="1" customWidth="1"/>
    <col min="3316" max="3316" width="11" style="101" customWidth="1"/>
    <col min="3317" max="3317" width="11.140625" style="101" bestFit="1" customWidth="1"/>
    <col min="3318" max="3318" width="10.85546875" style="101" customWidth="1"/>
    <col min="3319" max="3319" width="11.5703125" style="101" customWidth="1"/>
    <col min="3320" max="3320" width="11.140625" style="101" bestFit="1" customWidth="1"/>
    <col min="3321" max="3321" width="11" style="101" customWidth="1"/>
    <col min="3322" max="3322" width="10.42578125" style="101" customWidth="1"/>
    <col min="3323" max="3323" width="11.28515625" style="101" customWidth="1"/>
    <col min="3324" max="3325" width="9.140625" style="101" bestFit="1" customWidth="1"/>
    <col min="3326" max="3327" width="11.140625" style="101" bestFit="1" customWidth="1"/>
    <col min="3328" max="3328" width="11.5703125" style="101" bestFit="1" customWidth="1"/>
    <col min="3329" max="3329" width="9.140625" style="101" bestFit="1" customWidth="1"/>
    <col min="3330" max="3330" width="10.28515625" style="101" customWidth="1"/>
    <col min="3331" max="3569" width="9.140625" style="101" customWidth="1"/>
    <col min="3570" max="3570" width="4.28515625" style="101" bestFit="1" customWidth="1"/>
    <col min="3571" max="3571" width="6.85546875" style="101" bestFit="1" customWidth="1"/>
    <col min="3572" max="3572" width="11" style="101" customWidth="1"/>
    <col min="3573" max="3573" width="11.140625" style="101" bestFit="1" customWidth="1"/>
    <col min="3574" max="3574" width="10.85546875" style="101" customWidth="1"/>
    <col min="3575" max="3575" width="11.5703125" style="101" customWidth="1"/>
    <col min="3576" max="3576" width="11.140625" style="101" bestFit="1" customWidth="1"/>
    <col min="3577" max="3577" width="11" style="101" customWidth="1"/>
    <col min="3578" max="3578" width="10.42578125" style="101" customWidth="1"/>
    <col min="3579" max="3579" width="11.28515625" style="101" customWidth="1"/>
    <col min="3580" max="3581" width="9.140625" style="101" bestFit="1" customWidth="1"/>
    <col min="3582" max="3583" width="11.140625" style="101" bestFit="1" customWidth="1"/>
    <col min="3584" max="3584" width="11.5703125" style="101" bestFit="1" customWidth="1"/>
    <col min="3585" max="3585" width="9.140625" style="101" bestFit="1" customWidth="1"/>
    <col min="3586" max="3586" width="10.28515625" style="101" customWidth="1"/>
    <col min="3587" max="3825" width="9.140625" style="101" customWidth="1"/>
    <col min="3826" max="3826" width="4.28515625" style="101" bestFit="1" customWidth="1"/>
    <col min="3827" max="3827" width="6.85546875" style="101" bestFit="1" customWidth="1"/>
    <col min="3828" max="3828" width="11" style="101" customWidth="1"/>
    <col min="3829" max="3829" width="11.140625" style="101" bestFit="1" customWidth="1"/>
    <col min="3830" max="3830" width="10.85546875" style="101" customWidth="1"/>
    <col min="3831" max="3831" width="11.5703125" style="101" customWidth="1"/>
    <col min="3832" max="3832" width="11.140625" style="101" bestFit="1" customWidth="1"/>
    <col min="3833" max="3833" width="11" style="101" customWidth="1"/>
    <col min="3834" max="3834" width="10.42578125" style="101" customWidth="1"/>
    <col min="3835" max="3835" width="11.28515625" style="101" customWidth="1"/>
    <col min="3836" max="3837" width="9.140625" style="101" bestFit="1" customWidth="1"/>
    <col min="3838" max="3839" width="11.140625" style="101" bestFit="1" customWidth="1"/>
    <col min="3840" max="3840" width="11.5703125" style="101" bestFit="1" customWidth="1"/>
    <col min="3841" max="3841" width="9.140625" style="101" bestFit="1" customWidth="1"/>
    <col min="3842" max="3842" width="10.28515625" style="101" customWidth="1"/>
    <col min="3843" max="4081" width="9.140625" style="101" customWidth="1"/>
    <col min="4082" max="4082" width="4.28515625" style="101" bestFit="1" customWidth="1"/>
    <col min="4083" max="4083" width="6.85546875" style="101" bestFit="1" customWidth="1"/>
    <col min="4084" max="4084" width="11" style="101" customWidth="1"/>
    <col min="4085" max="4085" width="11.140625" style="101" bestFit="1" customWidth="1"/>
    <col min="4086" max="4086" width="10.85546875" style="101" customWidth="1"/>
    <col min="4087" max="4087" width="11.5703125" style="101" customWidth="1"/>
    <col min="4088" max="4088" width="11.140625" style="101" bestFit="1" customWidth="1"/>
    <col min="4089" max="4089" width="11" style="101" customWidth="1"/>
    <col min="4090" max="4090" width="10.42578125" style="101" customWidth="1"/>
    <col min="4091" max="4091" width="11.28515625" style="101" customWidth="1"/>
    <col min="4092" max="4093" width="9.140625" style="101" bestFit="1" customWidth="1"/>
    <col min="4094" max="4095" width="11.140625" style="101" bestFit="1" customWidth="1"/>
    <col min="4096" max="4096" width="11.5703125" style="101" bestFit="1" customWidth="1"/>
    <col min="4097" max="4097" width="9.140625" style="101" bestFit="1" customWidth="1"/>
    <col min="4098" max="4098" width="10.28515625" style="101" customWidth="1"/>
    <col min="4099" max="4337" width="9.140625" style="101" customWidth="1"/>
    <col min="4338" max="4338" width="4.28515625" style="101" bestFit="1" customWidth="1"/>
    <col min="4339" max="4339" width="6.85546875" style="101" bestFit="1" customWidth="1"/>
    <col min="4340" max="4340" width="11" style="101" customWidth="1"/>
    <col min="4341" max="4341" width="11.140625" style="101" bestFit="1" customWidth="1"/>
    <col min="4342" max="4342" width="10.85546875" style="101" customWidth="1"/>
    <col min="4343" max="4343" width="11.5703125" style="101" customWidth="1"/>
    <col min="4344" max="4344" width="11.140625" style="101" bestFit="1" customWidth="1"/>
    <col min="4345" max="4345" width="11" style="101" customWidth="1"/>
    <col min="4346" max="4346" width="10.42578125" style="101" customWidth="1"/>
    <col min="4347" max="4347" width="11.28515625" style="101" customWidth="1"/>
    <col min="4348" max="4349" width="9.140625" style="101" bestFit="1" customWidth="1"/>
    <col min="4350" max="4351" width="11.140625" style="101" bestFit="1" customWidth="1"/>
    <col min="4352" max="4352" width="11.5703125" style="101" bestFit="1" customWidth="1"/>
    <col min="4353" max="4353" width="9.140625" style="101" bestFit="1" customWidth="1"/>
    <col min="4354" max="4354" width="10.28515625" style="101" customWidth="1"/>
    <col min="4355" max="4593" width="9.140625" style="101" customWidth="1"/>
    <col min="4594" max="4594" width="4.28515625" style="101" bestFit="1" customWidth="1"/>
    <col min="4595" max="4595" width="6.85546875" style="101" bestFit="1" customWidth="1"/>
    <col min="4596" max="4596" width="11" style="101" customWidth="1"/>
    <col min="4597" max="4597" width="11.140625" style="101" bestFit="1" customWidth="1"/>
    <col min="4598" max="4598" width="10.85546875" style="101" customWidth="1"/>
    <col min="4599" max="4599" width="11.5703125" style="101" customWidth="1"/>
    <col min="4600" max="4600" width="11.140625" style="101" bestFit="1" customWidth="1"/>
    <col min="4601" max="4601" width="11" style="101" customWidth="1"/>
    <col min="4602" max="4602" width="10.42578125" style="101" customWidth="1"/>
    <col min="4603" max="4603" width="11.28515625" style="101" customWidth="1"/>
    <col min="4604" max="4605" width="9.140625" style="101" bestFit="1" customWidth="1"/>
    <col min="4606" max="4607" width="11.140625" style="101" bestFit="1" customWidth="1"/>
    <col min="4608" max="4608" width="11.5703125" style="101" bestFit="1" customWidth="1"/>
    <col min="4609" max="4609" width="9.140625" style="101" bestFit="1" customWidth="1"/>
    <col min="4610" max="4610" width="10.28515625" style="101" customWidth="1"/>
    <col min="4611" max="4849" width="9.140625" style="101" customWidth="1"/>
    <col min="4850" max="4850" width="4.28515625" style="101" bestFit="1" customWidth="1"/>
    <col min="4851" max="4851" width="6.85546875" style="101" bestFit="1" customWidth="1"/>
    <col min="4852" max="4852" width="11" style="101" customWidth="1"/>
    <col min="4853" max="4853" width="11.140625" style="101" bestFit="1" customWidth="1"/>
    <col min="4854" max="4854" width="10.85546875" style="101" customWidth="1"/>
    <col min="4855" max="4855" width="11.5703125" style="101" customWidth="1"/>
    <col min="4856" max="4856" width="11.140625" style="101" bestFit="1" customWidth="1"/>
    <col min="4857" max="4857" width="11" style="101" customWidth="1"/>
    <col min="4858" max="4858" width="10.42578125" style="101" customWidth="1"/>
    <col min="4859" max="4859" width="11.28515625" style="101" customWidth="1"/>
    <col min="4860" max="4861" width="9.140625" style="101" bestFit="1" customWidth="1"/>
    <col min="4862" max="4863" width="11.140625" style="101" bestFit="1" customWidth="1"/>
    <col min="4864" max="4864" width="11.5703125" style="101" bestFit="1" customWidth="1"/>
    <col min="4865" max="4865" width="9.140625" style="101" bestFit="1" customWidth="1"/>
    <col min="4866" max="4866" width="10.28515625" style="101" customWidth="1"/>
    <col min="4867" max="5105" width="9.140625" style="101" customWidth="1"/>
    <col min="5106" max="5106" width="4.28515625" style="101" bestFit="1" customWidth="1"/>
    <col min="5107" max="5107" width="6.85546875" style="101" bestFit="1" customWidth="1"/>
    <col min="5108" max="5108" width="11" style="101" customWidth="1"/>
    <col min="5109" max="5109" width="11.140625" style="101" bestFit="1" customWidth="1"/>
    <col min="5110" max="5110" width="10.85546875" style="101" customWidth="1"/>
    <col min="5111" max="5111" width="11.5703125" style="101" customWidth="1"/>
    <col min="5112" max="5112" width="11.140625" style="101" bestFit="1" customWidth="1"/>
    <col min="5113" max="5113" width="11" style="101" customWidth="1"/>
    <col min="5114" max="5114" width="10.42578125" style="101" customWidth="1"/>
    <col min="5115" max="5115" width="11.28515625" style="101" customWidth="1"/>
    <col min="5116" max="5117" width="9.140625" style="101" bestFit="1" customWidth="1"/>
    <col min="5118" max="5119" width="11.140625" style="101" bestFit="1" customWidth="1"/>
    <col min="5120" max="5120" width="11.5703125" style="101" bestFit="1" customWidth="1"/>
    <col min="5121" max="5121" width="9.140625" style="101" bestFit="1" customWidth="1"/>
    <col min="5122" max="5122" width="10.28515625" style="101" customWidth="1"/>
    <col min="5123" max="5361" width="9.140625" style="101" customWidth="1"/>
    <col min="5362" max="5362" width="4.28515625" style="101" bestFit="1" customWidth="1"/>
    <col min="5363" max="5363" width="6.85546875" style="101" bestFit="1" customWidth="1"/>
    <col min="5364" max="5364" width="11" style="101" customWidth="1"/>
    <col min="5365" max="5365" width="11.140625" style="101" bestFit="1" customWidth="1"/>
    <col min="5366" max="5366" width="10.85546875" style="101" customWidth="1"/>
    <col min="5367" max="5367" width="11.5703125" style="101" customWidth="1"/>
    <col min="5368" max="5368" width="11.140625" style="101" bestFit="1" customWidth="1"/>
    <col min="5369" max="5369" width="11" style="101" customWidth="1"/>
    <col min="5370" max="5370" width="10.42578125" style="101" customWidth="1"/>
    <col min="5371" max="5371" width="11.28515625" style="101" customWidth="1"/>
    <col min="5372" max="5373" width="9.140625" style="101" bestFit="1" customWidth="1"/>
    <col min="5374" max="5375" width="11.140625" style="101" bestFit="1" customWidth="1"/>
    <col min="5376" max="5376" width="11.5703125" style="101" bestFit="1" customWidth="1"/>
    <col min="5377" max="5377" width="9.140625" style="101" bestFit="1" customWidth="1"/>
    <col min="5378" max="5378" width="10.28515625" style="101" customWidth="1"/>
    <col min="5379" max="5617" width="9.140625" style="101" customWidth="1"/>
    <col min="5618" max="5618" width="4.28515625" style="101" bestFit="1" customWidth="1"/>
    <col min="5619" max="5619" width="6.85546875" style="101" bestFit="1" customWidth="1"/>
    <col min="5620" max="5620" width="11" style="101" customWidth="1"/>
    <col min="5621" max="5621" width="11.140625" style="101" bestFit="1" customWidth="1"/>
    <col min="5622" max="5622" width="10.85546875" style="101" customWidth="1"/>
    <col min="5623" max="5623" width="11.5703125" style="101" customWidth="1"/>
    <col min="5624" max="5624" width="11.140625" style="101" bestFit="1" customWidth="1"/>
    <col min="5625" max="5625" width="11" style="101" customWidth="1"/>
    <col min="5626" max="5626" width="10.42578125" style="101" customWidth="1"/>
    <col min="5627" max="5627" width="11.28515625" style="101" customWidth="1"/>
    <col min="5628" max="5629" width="9.140625" style="101" bestFit="1" customWidth="1"/>
    <col min="5630" max="5631" width="11.140625" style="101" bestFit="1" customWidth="1"/>
    <col min="5632" max="5632" width="11.5703125" style="101" bestFit="1" customWidth="1"/>
    <col min="5633" max="5633" width="9.140625" style="101" bestFit="1" customWidth="1"/>
    <col min="5634" max="5634" width="10.28515625" style="101" customWidth="1"/>
    <col min="5635" max="5873" width="9.140625" style="101" customWidth="1"/>
    <col min="5874" max="5874" width="4.28515625" style="101" bestFit="1" customWidth="1"/>
    <col min="5875" max="5875" width="6.85546875" style="101" bestFit="1" customWidth="1"/>
    <col min="5876" max="5876" width="11" style="101" customWidth="1"/>
    <col min="5877" max="5877" width="11.140625" style="101" bestFit="1" customWidth="1"/>
    <col min="5878" max="5878" width="10.85546875" style="101" customWidth="1"/>
    <col min="5879" max="5879" width="11.5703125" style="101" customWidth="1"/>
    <col min="5880" max="5880" width="11.140625" style="101" bestFit="1" customWidth="1"/>
    <col min="5881" max="5881" width="11" style="101" customWidth="1"/>
    <col min="5882" max="5882" width="10.42578125" style="101" customWidth="1"/>
    <col min="5883" max="5883" width="11.28515625" style="101" customWidth="1"/>
    <col min="5884" max="5885" width="9.140625" style="101" bestFit="1" customWidth="1"/>
    <col min="5886" max="5887" width="11.140625" style="101" bestFit="1" customWidth="1"/>
    <col min="5888" max="5888" width="11.5703125" style="101" bestFit="1" customWidth="1"/>
    <col min="5889" max="5889" width="9.140625" style="101" bestFit="1" customWidth="1"/>
    <col min="5890" max="5890" width="10.28515625" style="101" customWidth="1"/>
    <col min="5891" max="6129" width="9.140625" style="101" customWidth="1"/>
    <col min="6130" max="6130" width="4.28515625" style="101" bestFit="1" customWidth="1"/>
    <col min="6131" max="6131" width="6.85546875" style="101" bestFit="1" customWidth="1"/>
    <col min="6132" max="6132" width="11" style="101" customWidth="1"/>
    <col min="6133" max="6133" width="11.140625" style="101" bestFit="1" customWidth="1"/>
    <col min="6134" max="6134" width="10.85546875" style="101" customWidth="1"/>
    <col min="6135" max="6135" width="11.5703125" style="101" customWidth="1"/>
    <col min="6136" max="6136" width="11.140625" style="101" bestFit="1" customWidth="1"/>
    <col min="6137" max="6137" width="11" style="101" customWidth="1"/>
    <col min="6138" max="6138" width="10.42578125" style="101" customWidth="1"/>
    <col min="6139" max="6139" width="11.28515625" style="101" customWidth="1"/>
    <col min="6140" max="6141" width="9.140625" style="101" bestFit="1" customWidth="1"/>
    <col min="6142" max="6143" width="11.140625" style="101" bestFit="1" customWidth="1"/>
    <col min="6144" max="6144" width="11.5703125" style="101" bestFit="1" customWidth="1"/>
    <col min="6145" max="6145" width="9.140625" style="101" bestFit="1" customWidth="1"/>
    <col min="6146" max="6146" width="10.28515625" style="101" customWidth="1"/>
    <col min="6147" max="6385" width="9.140625" style="101" customWidth="1"/>
    <col min="6386" max="6386" width="4.28515625" style="101" bestFit="1" customWidth="1"/>
    <col min="6387" max="6387" width="6.85546875" style="101" bestFit="1" customWidth="1"/>
    <col min="6388" max="6388" width="11" style="101" customWidth="1"/>
    <col min="6389" max="6389" width="11.140625" style="101" bestFit="1" customWidth="1"/>
    <col min="6390" max="6390" width="10.85546875" style="101" customWidth="1"/>
    <col min="6391" max="6391" width="11.5703125" style="101" customWidth="1"/>
    <col min="6392" max="6392" width="11.140625" style="101" bestFit="1" customWidth="1"/>
    <col min="6393" max="6393" width="11" style="101" customWidth="1"/>
    <col min="6394" max="6394" width="10.42578125" style="101" customWidth="1"/>
    <col min="6395" max="6395" width="11.28515625" style="101" customWidth="1"/>
    <col min="6396" max="6397" width="9.140625" style="101" bestFit="1" customWidth="1"/>
    <col min="6398" max="6399" width="11.140625" style="101" bestFit="1" customWidth="1"/>
    <col min="6400" max="6400" width="11.5703125" style="101" bestFit="1" customWidth="1"/>
    <col min="6401" max="6401" width="9.140625" style="101" bestFit="1" customWidth="1"/>
    <col min="6402" max="6402" width="10.28515625" style="101" customWidth="1"/>
    <col min="6403" max="6641" width="9.140625" style="101" customWidth="1"/>
    <col min="6642" max="6642" width="4.28515625" style="101" bestFit="1" customWidth="1"/>
    <col min="6643" max="6643" width="6.85546875" style="101" bestFit="1" customWidth="1"/>
    <col min="6644" max="6644" width="11" style="101" customWidth="1"/>
    <col min="6645" max="6645" width="11.140625" style="101" bestFit="1" customWidth="1"/>
    <col min="6646" max="6646" width="10.85546875" style="101" customWidth="1"/>
    <col min="6647" max="6647" width="11.5703125" style="101" customWidth="1"/>
    <col min="6648" max="6648" width="11.140625" style="101" bestFit="1" customWidth="1"/>
    <col min="6649" max="6649" width="11" style="101" customWidth="1"/>
    <col min="6650" max="6650" width="10.42578125" style="101" customWidth="1"/>
    <col min="6651" max="6651" width="11.28515625" style="101" customWidth="1"/>
    <col min="6652" max="6653" width="9.140625" style="101" bestFit="1" customWidth="1"/>
    <col min="6654" max="6655" width="11.140625" style="101" bestFit="1" customWidth="1"/>
    <col min="6656" max="6656" width="11.5703125" style="101" bestFit="1" customWidth="1"/>
    <col min="6657" max="6657" width="9.140625" style="101" bestFit="1" customWidth="1"/>
    <col min="6658" max="6658" width="10.28515625" style="101" customWidth="1"/>
    <col min="6659" max="6897" width="9.140625" style="101" customWidth="1"/>
    <col min="6898" max="6898" width="4.28515625" style="101" bestFit="1" customWidth="1"/>
    <col min="6899" max="6899" width="6.85546875" style="101" bestFit="1" customWidth="1"/>
    <col min="6900" max="6900" width="11" style="101" customWidth="1"/>
    <col min="6901" max="6901" width="11.140625" style="101" bestFit="1" customWidth="1"/>
    <col min="6902" max="6902" width="10.85546875" style="101" customWidth="1"/>
    <col min="6903" max="6903" width="11.5703125" style="101" customWidth="1"/>
    <col min="6904" max="6904" width="11.140625" style="101" bestFit="1" customWidth="1"/>
    <col min="6905" max="6905" width="11" style="101" customWidth="1"/>
    <col min="6906" max="6906" width="10.42578125" style="101" customWidth="1"/>
    <col min="6907" max="6907" width="11.28515625" style="101" customWidth="1"/>
    <col min="6908" max="6909" width="9.140625" style="101" bestFit="1" customWidth="1"/>
    <col min="6910" max="6911" width="11.140625" style="101" bestFit="1" customWidth="1"/>
    <col min="6912" max="6912" width="11.5703125" style="101" bestFit="1" customWidth="1"/>
    <col min="6913" max="6913" width="9.140625" style="101" bestFit="1" customWidth="1"/>
    <col min="6914" max="6914" width="10.28515625" style="101" customWidth="1"/>
    <col min="6915" max="7153" width="9.140625" style="101" customWidth="1"/>
    <col min="7154" max="7154" width="4.28515625" style="101" bestFit="1" customWidth="1"/>
    <col min="7155" max="7155" width="6.85546875" style="101" bestFit="1" customWidth="1"/>
    <col min="7156" max="7156" width="11" style="101" customWidth="1"/>
    <col min="7157" max="7157" width="11.140625" style="101" bestFit="1" customWidth="1"/>
    <col min="7158" max="7158" width="10.85546875" style="101" customWidth="1"/>
    <col min="7159" max="7159" width="11.5703125" style="101" customWidth="1"/>
    <col min="7160" max="7160" width="11.140625" style="101" bestFit="1" customWidth="1"/>
    <col min="7161" max="7161" width="11" style="101" customWidth="1"/>
    <col min="7162" max="7162" width="10.42578125" style="101" customWidth="1"/>
    <col min="7163" max="7163" width="11.28515625" style="101" customWidth="1"/>
    <col min="7164" max="7165" width="9.140625" style="101" bestFit="1" customWidth="1"/>
    <col min="7166" max="7167" width="11.140625" style="101" bestFit="1" customWidth="1"/>
    <col min="7168" max="7168" width="11.5703125" style="101" bestFit="1" customWidth="1"/>
    <col min="7169" max="7169" width="9.140625" style="101" bestFit="1" customWidth="1"/>
    <col min="7170" max="7170" width="10.28515625" style="101" customWidth="1"/>
    <col min="7171" max="7409" width="9.140625" style="101" customWidth="1"/>
    <col min="7410" max="7410" width="4.28515625" style="101" bestFit="1" customWidth="1"/>
    <col min="7411" max="7411" width="6.85546875" style="101" bestFit="1" customWidth="1"/>
    <col min="7412" max="7412" width="11" style="101" customWidth="1"/>
    <col min="7413" max="7413" width="11.140625" style="101" bestFit="1" customWidth="1"/>
    <col min="7414" max="7414" width="10.85546875" style="101" customWidth="1"/>
    <col min="7415" max="7415" width="11.5703125" style="101" customWidth="1"/>
    <col min="7416" max="7416" width="11.140625" style="101" bestFit="1" customWidth="1"/>
    <col min="7417" max="7417" width="11" style="101" customWidth="1"/>
    <col min="7418" max="7418" width="10.42578125" style="101" customWidth="1"/>
    <col min="7419" max="7419" width="11.28515625" style="101" customWidth="1"/>
    <col min="7420" max="7421" width="9.140625" style="101" bestFit="1" customWidth="1"/>
    <col min="7422" max="7423" width="11.140625" style="101" bestFit="1" customWidth="1"/>
    <col min="7424" max="7424" width="11.5703125" style="101" bestFit="1" customWidth="1"/>
    <col min="7425" max="7425" width="9.140625" style="101" bestFit="1" customWidth="1"/>
    <col min="7426" max="7426" width="10.28515625" style="101" customWidth="1"/>
    <col min="7427" max="7665" width="9.140625" style="101" customWidth="1"/>
    <col min="7666" max="7666" width="4.28515625" style="101" bestFit="1" customWidth="1"/>
    <col min="7667" max="7667" width="6.85546875" style="101" bestFit="1" customWidth="1"/>
    <col min="7668" max="7668" width="11" style="101" customWidth="1"/>
    <col min="7669" max="7669" width="11.140625" style="101" bestFit="1" customWidth="1"/>
    <col min="7670" max="7670" width="10.85546875" style="101" customWidth="1"/>
    <col min="7671" max="7671" width="11.5703125" style="101" customWidth="1"/>
    <col min="7672" max="7672" width="11.140625" style="101" bestFit="1" customWidth="1"/>
    <col min="7673" max="7673" width="11" style="101" customWidth="1"/>
    <col min="7674" max="7674" width="10.42578125" style="101" customWidth="1"/>
    <col min="7675" max="7675" width="11.28515625" style="101" customWidth="1"/>
    <col min="7676" max="7677" width="9.140625" style="101" bestFit="1" customWidth="1"/>
    <col min="7678" max="7679" width="11.140625" style="101" bestFit="1" customWidth="1"/>
    <col min="7680" max="7680" width="11.5703125" style="101" bestFit="1" customWidth="1"/>
    <col min="7681" max="7681" width="9.140625" style="101" bestFit="1" customWidth="1"/>
    <col min="7682" max="7682" width="10.28515625" style="101" customWidth="1"/>
    <col min="7683" max="7921" width="9.140625" style="101" customWidth="1"/>
    <col min="7922" max="7922" width="4.28515625" style="101" bestFit="1" customWidth="1"/>
    <col min="7923" max="7923" width="6.85546875" style="101" bestFit="1" customWidth="1"/>
    <col min="7924" max="7924" width="11" style="101" customWidth="1"/>
    <col min="7925" max="7925" width="11.140625" style="101" bestFit="1" customWidth="1"/>
    <col min="7926" max="7926" width="10.85546875" style="101" customWidth="1"/>
    <col min="7927" max="7927" width="11.5703125" style="101" customWidth="1"/>
    <col min="7928" max="7928" width="11.140625" style="101" bestFit="1" customWidth="1"/>
    <col min="7929" max="7929" width="11" style="101" customWidth="1"/>
    <col min="7930" max="7930" width="10.42578125" style="101" customWidth="1"/>
    <col min="7931" max="7931" width="11.28515625" style="101" customWidth="1"/>
    <col min="7932" max="7933" width="9.140625" style="101" bestFit="1" customWidth="1"/>
    <col min="7934" max="7935" width="11.140625" style="101" bestFit="1" customWidth="1"/>
    <col min="7936" max="7936" width="11.5703125" style="101" bestFit="1" customWidth="1"/>
    <col min="7937" max="7937" width="9.140625" style="101" bestFit="1" customWidth="1"/>
    <col min="7938" max="7938" width="10.28515625" style="101" customWidth="1"/>
    <col min="7939" max="8177" width="9.140625" style="101" customWidth="1"/>
    <col min="8178" max="8178" width="4.28515625" style="101" bestFit="1" customWidth="1"/>
    <col min="8179" max="8179" width="6.85546875" style="101" bestFit="1" customWidth="1"/>
    <col min="8180" max="8180" width="11" style="101" customWidth="1"/>
    <col min="8181" max="8181" width="11.140625" style="101" bestFit="1" customWidth="1"/>
    <col min="8182" max="8182" width="10.85546875" style="101" customWidth="1"/>
    <col min="8183" max="8183" width="11.5703125" style="101" customWidth="1"/>
    <col min="8184" max="8184" width="11.140625" style="101" bestFit="1" customWidth="1"/>
    <col min="8185" max="8185" width="11" style="101" customWidth="1"/>
    <col min="8186" max="8186" width="10.42578125" style="101" customWidth="1"/>
    <col min="8187" max="8187" width="11.28515625" style="101" customWidth="1"/>
    <col min="8188" max="8189" width="9.140625" style="101" bestFit="1" customWidth="1"/>
    <col min="8190" max="8191" width="11.140625" style="101" bestFit="1" customWidth="1"/>
    <col min="8192" max="8192" width="11.5703125" style="101" bestFit="1" customWidth="1"/>
    <col min="8193" max="8193" width="9.140625" style="101" bestFit="1" customWidth="1"/>
    <col min="8194" max="8194" width="10.28515625" style="101" customWidth="1"/>
    <col min="8195" max="8433" width="9.140625" style="101" customWidth="1"/>
    <col min="8434" max="8434" width="4.28515625" style="101" bestFit="1" customWidth="1"/>
    <col min="8435" max="8435" width="6.85546875" style="101" bestFit="1" customWidth="1"/>
    <col min="8436" max="8436" width="11" style="101" customWidth="1"/>
    <col min="8437" max="8437" width="11.140625" style="101" bestFit="1" customWidth="1"/>
    <col min="8438" max="8438" width="10.85546875" style="101" customWidth="1"/>
    <col min="8439" max="8439" width="11.5703125" style="101" customWidth="1"/>
    <col min="8440" max="8440" width="11.140625" style="101" bestFit="1" customWidth="1"/>
    <col min="8441" max="8441" width="11" style="101" customWidth="1"/>
    <col min="8442" max="8442" width="10.42578125" style="101" customWidth="1"/>
    <col min="8443" max="8443" width="11.28515625" style="101" customWidth="1"/>
    <col min="8444" max="8445" width="9.140625" style="101" bestFit="1" customWidth="1"/>
    <col min="8446" max="8447" width="11.140625" style="101" bestFit="1" customWidth="1"/>
    <col min="8448" max="8448" width="11.5703125" style="101" bestFit="1" customWidth="1"/>
    <col min="8449" max="8449" width="9.140625" style="101" bestFit="1" customWidth="1"/>
    <col min="8450" max="8450" width="10.28515625" style="101" customWidth="1"/>
    <col min="8451" max="8689" width="9.140625" style="101" customWidth="1"/>
    <col min="8690" max="8690" width="4.28515625" style="101" bestFit="1" customWidth="1"/>
    <col min="8691" max="8691" width="6.85546875" style="101" bestFit="1" customWidth="1"/>
    <col min="8692" max="8692" width="11" style="101" customWidth="1"/>
    <col min="8693" max="8693" width="11.140625" style="101" bestFit="1" customWidth="1"/>
    <col min="8694" max="8694" width="10.85546875" style="101" customWidth="1"/>
    <col min="8695" max="8695" width="11.5703125" style="101" customWidth="1"/>
    <col min="8696" max="8696" width="11.140625" style="101" bestFit="1" customWidth="1"/>
    <col min="8697" max="8697" width="11" style="101" customWidth="1"/>
    <col min="8698" max="8698" width="10.42578125" style="101" customWidth="1"/>
    <col min="8699" max="8699" width="11.28515625" style="101" customWidth="1"/>
    <col min="8700" max="8701" width="9.140625" style="101" bestFit="1" customWidth="1"/>
    <col min="8702" max="8703" width="11.140625" style="101" bestFit="1" customWidth="1"/>
    <col min="8704" max="8704" width="11.5703125" style="101" bestFit="1" customWidth="1"/>
    <col min="8705" max="8705" width="9.140625" style="101" bestFit="1" customWidth="1"/>
    <col min="8706" max="8706" width="10.28515625" style="101" customWidth="1"/>
    <col min="8707" max="8945" width="9.140625" style="101" customWidth="1"/>
    <col min="8946" max="8946" width="4.28515625" style="101" bestFit="1" customWidth="1"/>
    <col min="8947" max="8947" width="6.85546875" style="101" bestFit="1" customWidth="1"/>
    <col min="8948" max="8948" width="11" style="101" customWidth="1"/>
    <col min="8949" max="8949" width="11.140625" style="101" bestFit="1" customWidth="1"/>
    <col min="8950" max="8950" width="10.85546875" style="101" customWidth="1"/>
    <col min="8951" max="8951" width="11.5703125" style="101" customWidth="1"/>
    <col min="8952" max="8952" width="11.140625" style="101" bestFit="1" customWidth="1"/>
    <col min="8953" max="8953" width="11" style="101" customWidth="1"/>
    <col min="8954" max="8954" width="10.42578125" style="101" customWidth="1"/>
    <col min="8955" max="8955" width="11.28515625" style="101" customWidth="1"/>
    <col min="8956" max="8957" width="9.140625" style="101" bestFit="1" customWidth="1"/>
    <col min="8958" max="8959" width="11.140625" style="101" bestFit="1" customWidth="1"/>
    <col min="8960" max="8960" width="11.5703125" style="101" bestFit="1" customWidth="1"/>
    <col min="8961" max="8961" width="9.140625" style="101" bestFit="1" customWidth="1"/>
    <col min="8962" max="8962" width="10.28515625" style="101" customWidth="1"/>
    <col min="8963" max="9201" width="9.140625" style="101" customWidth="1"/>
    <col min="9202" max="9202" width="4.28515625" style="101" bestFit="1" customWidth="1"/>
    <col min="9203" max="9203" width="6.85546875" style="101" bestFit="1" customWidth="1"/>
    <col min="9204" max="9204" width="11" style="101" customWidth="1"/>
    <col min="9205" max="9205" width="11.140625" style="101" bestFit="1" customWidth="1"/>
    <col min="9206" max="9206" width="10.85546875" style="101" customWidth="1"/>
    <col min="9207" max="9207" width="11.5703125" style="101" customWidth="1"/>
    <col min="9208" max="9208" width="11.140625" style="101" bestFit="1" customWidth="1"/>
    <col min="9209" max="9209" width="11" style="101" customWidth="1"/>
    <col min="9210" max="9210" width="10.42578125" style="101" customWidth="1"/>
    <col min="9211" max="9211" width="11.28515625" style="101" customWidth="1"/>
    <col min="9212" max="9213" width="9.140625" style="101" bestFit="1" customWidth="1"/>
    <col min="9214" max="9215" width="11.140625" style="101" bestFit="1" customWidth="1"/>
    <col min="9216" max="9216" width="11.5703125" style="101" bestFit="1" customWidth="1"/>
    <col min="9217" max="9217" width="9.140625" style="101" bestFit="1" customWidth="1"/>
    <col min="9218" max="9218" width="10.28515625" style="101" customWidth="1"/>
    <col min="9219" max="9457" width="9.140625" style="101" customWidth="1"/>
    <col min="9458" max="9458" width="4.28515625" style="101" bestFit="1" customWidth="1"/>
    <col min="9459" max="9459" width="6.85546875" style="101" bestFit="1" customWidth="1"/>
    <col min="9460" max="9460" width="11" style="101" customWidth="1"/>
    <col min="9461" max="9461" width="11.140625" style="101" bestFit="1" customWidth="1"/>
    <col min="9462" max="9462" width="10.85546875" style="101" customWidth="1"/>
    <col min="9463" max="9463" width="11.5703125" style="101" customWidth="1"/>
    <col min="9464" max="9464" width="11.140625" style="101" bestFit="1" customWidth="1"/>
    <col min="9465" max="9465" width="11" style="101" customWidth="1"/>
    <col min="9466" max="9466" width="10.42578125" style="101" customWidth="1"/>
    <col min="9467" max="9467" width="11.28515625" style="101" customWidth="1"/>
    <col min="9468" max="9469" width="9.140625" style="101" bestFit="1" customWidth="1"/>
    <col min="9470" max="9471" width="11.140625" style="101" bestFit="1" customWidth="1"/>
    <col min="9472" max="9472" width="11.5703125" style="101" bestFit="1" customWidth="1"/>
    <col min="9473" max="9473" width="9.140625" style="101" bestFit="1" customWidth="1"/>
    <col min="9474" max="9474" width="10.28515625" style="101" customWidth="1"/>
    <col min="9475" max="9713" width="9.140625" style="101" customWidth="1"/>
    <col min="9714" max="9714" width="4.28515625" style="101" bestFit="1" customWidth="1"/>
    <col min="9715" max="9715" width="6.85546875" style="101" bestFit="1" customWidth="1"/>
    <col min="9716" max="9716" width="11" style="101" customWidth="1"/>
    <col min="9717" max="9717" width="11.140625" style="101" bestFit="1" customWidth="1"/>
    <col min="9718" max="9718" width="10.85546875" style="101" customWidth="1"/>
    <col min="9719" max="9719" width="11.5703125" style="101" customWidth="1"/>
    <col min="9720" max="9720" width="11.140625" style="101" bestFit="1" customWidth="1"/>
    <col min="9721" max="9721" width="11" style="101" customWidth="1"/>
    <col min="9722" max="9722" width="10.42578125" style="101" customWidth="1"/>
    <col min="9723" max="9723" width="11.28515625" style="101" customWidth="1"/>
    <col min="9724" max="9725" width="9.140625" style="101" bestFit="1" customWidth="1"/>
    <col min="9726" max="9727" width="11.140625" style="101" bestFit="1" customWidth="1"/>
    <col min="9728" max="9728" width="11.5703125" style="101" bestFit="1" customWidth="1"/>
    <col min="9729" max="9729" width="9.140625" style="101" bestFit="1" customWidth="1"/>
    <col min="9730" max="9730" width="10.28515625" style="101" customWidth="1"/>
    <col min="9731" max="9969" width="9.140625" style="101" customWidth="1"/>
    <col min="9970" max="9970" width="4.28515625" style="101" bestFit="1" customWidth="1"/>
    <col min="9971" max="9971" width="6.85546875" style="101" bestFit="1" customWidth="1"/>
    <col min="9972" max="9972" width="11" style="101" customWidth="1"/>
    <col min="9973" max="9973" width="11.140625" style="101" bestFit="1" customWidth="1"/>
    <col min="9974" max="9974" width="10.85546875" style="101" customWidth="1"/>
    <col min="9975" max="9975" width="11.5703125" style="101" customWidth="1"/>
    <col min="9976" max="9976" width="11.140625" style="101" bestFit="1" customWidth="1"/>
    <col min="9977" max="9977" width="11" style="101" customWidth="1"/>
    <col min="9978" max="9978" width="10.42578125" style="101" customWidth="1"/>
    <col min="9979" max="9979" width="11.28515625" style="101" customWidth="1"/>
    <col min="9980" max="9981" width="9.140625" style="101" bestFit="1" customWidth="1"/>
    <col min="9982" max="9983" width="11.140625" style="101" bestFit="1" customWidth="1"/>
    <col min="9984" max="9984" width="11.5703125" style="101" bestFit="1" customWidth="1"/>
    <col min="9985" max="9985" width="9.140625" style="101" bestFit="1" customWidth="1"/>
    <col min="9986" max="9986" width="10.28515625" style="101" customWidth="1"/>
    <col min="9987" max="10225" width="9.140625" style="101" customWidth="1"/>
    <col min="10226" max="10226" width="4.28515625" style="101" bestFit="1" customWidth="1"/>
    <col min="10227" max="10227" width="6.85546875" style="101" bestFit="1" customWidth="1"/>
    <col min="10228" max="10228" width="11" style="101" customWidth="1"/>
    <col min="10229" max="10229" width="11.140625" style="101" bestFit="1" customWidth="1"/>
    <col min="10230" max="10230" width="10.85546875" style="101" customWidth="1"/>
    <col min="10231" max="10231" width="11.5703125" style="101" customWidth="1"/>
    <col min="10232" max="10232" width="11.140625" style="101" bestFit="1" customWidth="1"/>
    <col min="10233" max="10233" width="11" style="101" customWidth="1"/>
    <col min="10234" max="10234" width="10.42578125" style="101" customWidth="1"/>
    <col min="10235" max="10235" width="11.28515625" style="101" customWidth="1"/>
    <col min="10236" max="10237" width="9.140625" style="101" bestFit="1" customWidth="1"/>
    <col min="10238" max="10239" width="11.140625" style="101" bestFit="1" customWidth="1"/>
    <col min="10240" max="10240" width="11.5703125" style="101" bestFit="1" customWidth="1"/>
    <col min="10241" max="10241" width="9.140625" style="101" bestFit="1" customWidth="1"/>
    <col min="10242" max="10242" width="10.28515625" style="101" customWidth="1"/>
    <col min="10243" max="10481" width="9.140625" style="101" customWidth="1"/>
    <col min="10482" max="10482" width="4.28515625" style="101" bestFit="1" customWidth="1"/>
    <col min="10483" max="10483" width="6.85546875" style="101" bestFit="1" customWidth="1"/>
    <col min="10484" max="10484" width="11" style="101" customWidth="1"/>
    <col min="10485" max="10485" width="11.140625" style="101" bestFit="1" customWidth="1"/>
    <col min="10486" max="10486" width="10.85546875" style="101" customWidth="1"/>
    <col min="10487" max="10487" width="11.5703125" style="101" customWidth="1"/>
    <col min="10488" max="10488" width="11.140625" style="101" bestFit="1" customWidth="1"/>
    <col min="10489" max="10489" width="11" style="101" customWidth="1"/>
    <col min="10490" max="10490" width="10.42578125" style="101" customWidth="1"/>
    <col min="10491" max="10491" width="11.28515625" style="101" customWidth="1"/>
    <col min="10492" max="10493" width="9.140625" style="101" bestFit="1" customWidth="1"/>
    <col min="10494" max="10495" width="11.140625" style="101" bestFit="1" customWidth="1"/>
    <col min="10496" max="10496" width="11.5703125" style="101" bestFit="1" customWidth="1"/>
    <col min="10497" max="10497" width="9.140625" style="101" bestFit="1" customWidth="1"/>
    <col min="10498" max="10498" width="10.28515625" style="101" customWidth="1"/>
    <col min="10499" max="10737" width="9.140625" style="101" customWidth="1"/>
    <col min="10738" max="10738" width="4.28515625" style="101" bestFit="1" customWidth="1"/>
    <col min="10739" max="10739" width="6.85546875" style="101" bestFit="1" customWidth="1"/>
    <col min="10740" max="10740" width="11" style="101" customWidth="1"/>
    <col min="10741" max="10741" width="11.140625" style="101" bestFit="1" customWidth="1"/>
    <col min="10742" max="10742" width="10.85546875" style="101" customWidth="1"/>
    <col min="10743" max="10743" width="11.5703125" style="101" customWidth="1"/>
    <col min="10744" max="10744" width="11.140625" style="101" bestFit="1" customWidth="1"/>
    <col min="10745" max="10745" width="11" style="101" customWidth="1"/>
    <col min="10746" max="10746" width="10.42578125" style="101" customWidth="1"/>
    <col min="10747" max="10747" width="11.28515625" style="101" customWidth="1"/>
    <col min="10748" max="10749" width="9.140625" style="101" bestFit="1" customWidth="1"/>
    <col min="10750" max="10751" width="11.140625" style="101" bestFit="1" customWidth="1"/>
    <col min="10752" max="10752" width="11.5703125" style="101" bestFit="1" customWidth="1"/>
    <col min="10753" max="10753" width="9.140625" style="101" bestFit="1" customWidth="1"/>
    <col min="10754" max="10754" width="10.28515625" style="101" customWidth="1"/>
    <col min="10755" max="10993" width="9.140625" style="101" customWidth="1"/>
    <col min="10994" max="10994" width="4.28515625" style="101" bestFit="1" customWidth="1"/>
    <col min="10995" max="10995" width="6.85546875" style="101" bestFit="1" customWidth="1"/>
    <col min="10996" max="10996" width="11" style="101" customWidth="1"/>
    <col min="10997" max="10997" width="11.140625" style="101" bestFit="1" customWidth="1"/>
    <col min="10998" max="10998" width="10.85546875" style="101" customWidth="1"/>
    <col min="10999" max="10999" width="11.5703125" style="101" customWidth="1"/>
    <col min="11000" max="11000" width="11.140625" style="101" bestFit="1" customWidth="1"/>
    <col min="11001" max="11001" width="11" style="101" customWidth="1"/>
    <col min="11002" max="11002" width="10.42578125" style="101" customWidth="1"/>
    <col min="11003" max="11003" width="11.28515625" style="101" customWidth="1"/>
    <col min="11004" max="11005" width="9.140625" style="101" bestFit="1" customWidth="1"/>
    <col min="11006" max="11007" width="11.140625" style="101" bestFit="1" customWidth="1"/>
    <col min="11008" max="11008" width="11.5703125" style="101" bestFit="1" customWidth="1"/>
    <col min="11009" max="11009" width="9.140625" style="101" bestFit="1" customWidth="1"/>
    <col min="11010" max="11010" width="10.28515625" style="101" customWidth="1"/>
    <col min="11011" max="11249" width="9.140625" style="101" customWidth="1"/>
    <col min="11250" max="11250" width="4.28515625" style="101" bestFit="1" customWidth="1"/>
    <col min="11251" max="11251" width="6.85546875" style="101" bestFit="1" customWidth="1"/>
    <col min="11252" max="11252" width="11" style="101" customWidth="1"/>
    <col min="11253" max="11253" width="11.140625" style="101" bestFit="1" customWidth="1"/>
    <col min="11254" max="11254" width="10.85546875" style="101" customWidth="1"/>
    <col min="11255" max="11255" width="11.5703125" style="101" customWidth="1"/>
    <col min="11256" max="11256" width="11.140625" style="101" bestFit="1" customWidth="1"/>
    <col min="11257" max="11257" width="11" style="101" customWidth="1"/>
    <col min="11258" max="11258" width="10.42578125" style="101" customWidth="1"/>
    <col min="11259" max="11259" width="11.28515625" style="101" customWidth="1"/>
    <col min="11260" max="11261" width="9.140625" style="101" bestFit="1" customWidth="1"/>
    <col min="11262" max="11263" width="11.140625" style="101" bestFit="1" customWidth="1"/>
    <col min="11264" max="11264" width="11.5703125" style="101" bestFit="1" customWidth="1"/>
    <col min="11265" max="11265" width="9.140625" style="101" bestFit="1" customWidth="1"/>
    <col min="11266" max="11266" width="10.28515625" style="101" customWidth="1"/>
    <col min="11267" max="11505" width="9.140625" style="101" customWidth="1"/>
    <col min="11506" max="11506" width="4.28515625" style="101" bestFit="1" customWidth="1"/>
    <col min="11507" max="11507" width="6.85546875" style="101" bestFit="1" customWidth="1"/>
    <col min="11508" max="11508" width="11" style="101" customWidth="1"/>
    <col min="11509" max="11509" width="11.140625" style="101" bestFit="1" customWidth="1"/>
    <col min="11510" max="11510" width="10.85546875" style="101" customWidth="1"/>
    <col min="11511" max="11511" width="11.5703125" style="101" customWidth="1"/>
    <col min="11512" max="11512" width="11.140625" style="101" bestFit="1" customWidth="1"/>
    <col min="11513" max="11513" width="11" style="101" customWidth="1"/>
    <col min="11514" max="11514" width="10.42578125" style="101" customWidth="1"/>
    <col min="11515" max="11515" width="11.28515625" style="101" customWidth="1"/>
    <col min="11516" max="11517" width="9.140625" style="101" bestFit="1" customWidth="1"/>
    <col min="11518" max="11519" width="11.140625" style="101" bestFit="1" customWidth="1"/>
    <col min="11520" max="11520" width="11.5703125" style="101" bestFit="1" customWidth="1"/>
    <col min="11521" max="11521" width="9.140625" style="101" bestFit="1" customWidth="1"/>
    <col min="11522" max="11522" width="10.28515625" style="101" customWidth="1"/>
    <col min="11523" max="11761" width="9.140625" style="101" customWidth="1"/>
    <col min="11762" max="11762" width="4.28515625" style="101" bestFit="1" customWidth="1"/>
    <col min="11763" max="11763" width="6.85546875" style="101" bestFit="1" customWidth="1"/>
    <col min="11764" max="11764" width="11" style="101" customWidth="1"/>
    <col min="11765" max="11765" width="11.140625" style="101" bestFit="1" customWidth="1"/>
    <col min="11766" max="11766" width="10.85546875" style="101" customWidth="1"/>
    <col min="11767" max="11767" width="11.5703125" style="101" customWidth="1"/>
    <col min="11768" max="11768" width="11.140625" style="101" bestFit="1" customWidth="1"/>
    <col min="11769" max="11769" width="11" style="101" customWidth="1"/>
    <col min="11770" max="11770" width="10.42578125" style="101" customWidth="1"/>
    <col min="11771" max="11771" width="11.28515625" style="101" customWidth="1"/>
    <col min="11772" max="11773" width="9.140625" style="101" bestFit="1" customWidth="1"/>
    <col min="11774" max="11775" width="11.140625" style="101" bestFit="1" customWidth="1"/>
    <col min="11776" max="11776" width="11.5703125" style="101" bestFit="1" customWidth="1"/>
    <col min="11777" max="11777" width="9.140625" style="101" bestFit="1" customWidth="1"/>
    <col min="11778" max="11778" width="10.28515625" style="101" customWidth="1"/>
    <col min="11779" max="12017" width="9.140625" style="101" customWidth="1"/>
    <col min="12018" max="12018" width="4.28515625" style="101" bestFit="1" customWidth="1"/>
    <col min="12019" max="12019" width="6.85546875" style="101" bestFit="1" customWidth="1"/>
    <col min="12020" max="12020" width="11" style="101" customWidth="1"/>
    <col min="12021" max="12021" width="11.140625" style="101" bestFit="1" customWidth="1"/>
    <col min="12022" max="12022" width="10.85546875" style="101" customWidth="1"/>
    <col min="12023" max="12023" width="11.5703125" style="101" customWidth="1"/>
    <col min="12024" max="12024" width="11.140625" style="101" bestFit="1" customWidth="1"/>
    <col min="12025" max="12025" width="11" style="101" customWidth="1"/>
    <col min="12026" max="12026" width="10.42578125" style="101" customWidth="1"/>
    <col min="12027" max="12027" width="11.28515625" style="101" customWidth="1"/>
    <col min="12028" max="12029" width="9.140625" style="101" bestFit="1" customWidth="1"/>
    <col min="12030" max="12031" width="11.140625" style="101" bestFit="1" customWidth="1"/>
    <col min="12032" max="12032" width="11.5703125" style="101" bestFit="1" customWidth="1"/>
    <col min="12033" max="12033" width="9.140625" style="101" bestFit="1" customWidth="1"/>
    <col min="12034" max="12034" width="10.28515625" style="101" customWidth="1"/>
    <col min="12035" max="12273" width="9.140625" style="101" customWidth="1"/>
    <col min="12274" max="12274" width="4.28515625" style="101" bestFit="1" customWidth="1"/>
    <col min="12275" max="12275" width="6.85546875" style="101" bestFit="1" customWidth="1"/>
    <col min="12276" max="12276" width="11" style="101" customWidth="1"/>
    <col min="12277" max="12277" width="11.140625" style="101" bestFit="1" customWidth="1"/>
    <col min="12278" max="12278" width="10.85546875" style="101" customWidth="1"/>
    <col min="12279" max="12279" width="11.5703125" style="101" customWidth="1"/>
    <col min="12280" max="12280" width="11.140625" style="101" bestFit="1" customWidth="1"/>
    <col min="12281" max="12281" width="11" style="101" customWidth="1"/>
    <col min="12282" max="12282" width="10.42578125" style="101" customWidth="1"/>
    <col min="12283" max="12283" width="11.28515625" style="101" customWidth="1"/>
    <col min="12284" max="12285" width="9.140625" style="101" bestFit="1" customWidth="1"/>
    <col min="12286" max="12287" width="11.140625" style="101" bestFit="1" customWidth="1"/>
    <col min="12288" max="12288" width="11.5703125" style="101" bestFit="1" customWidth="1"/>
    <col min="12289" max="12289" width="9.140625" style="101" bestFit="1" customWidth="1"/>
    <col min="12290" max="12290" width="10.28515625" style="101" customWidth="1"/>
    <col min="12291" max="12529" width="9.140625" style="101" customWidth="1"/>
    <col min="12530" max="12530" width="4.28515625" style="101" bestFit="1" customWidth="1"/>
    <col min="12531" max="12531" width="6.85546875" style="101" bestFit="1" customWidth="1"/>
    <col min="12532" max="12532" width="11" style="101" customWidth="1"/>
    <col min="12533" max="12533" width="11.140625" style="101" bestFit="1" customWidth="1"/>
    <col min="12534" max="12534" width="10.85546875" style="101" customWidth="1"/>
    <col min="12535" max="12535" width="11.5703125" style="101" customWidth="1"/>
    <col min="12536" max="12536" width="11.140625" style="101" bestFit="1" customWidth="1"/>
    <col min="12537" max="12537" width="11" style="101" customWidth="1"/>
    <col min="12538" max="12538" width="10.42578125" style="101" customWidth="1"/>
    <col min="12539" max="12539" width="11.28515625" style="101" customWidth="1"/>
    <col min="12540" max="12541" width="9.140625" style="101" bestFit="1" customWidth="1"/>
    <col min="12542" max="12543" width="11.140625" style="101" bestFit="1" customWidth="1"/>
    <col min="12544" max="12544" width="11.5703125" style="101" bestFit="1" customWidth="1"/>
    <col min="12545" max="12545" width="9.140625" style="101" bestFit="1" customWidth="1"/>
    <col min="12546" max="12546" width="10.28515625" style="101" customWidth="1"/>
    <col min="12547" max="12785" width="9.140625" style="101" customWidth="1"/>
    <col min="12786" max="12786" width="4.28515625" style="101" bestFit="1" customWidth="1"/>
    <col min="12787" max="12787" width="6.85546875" style="101" bestFit="1" customWidth="1"/>
    <col min="12788" max="12788" width="11" style="101" customWidth="1"/>
    <col min="12789" max="12789" width="11.140625" style="101" bestFit="1" customWidth="1"/>
    <col min="12790" max="12790" width="10.85546875" style="101" customWidth="1"/>
    <col min="12791" max="12791" width="11.5703125" style="101" customWidth="1"/>
    <col min="12792" max="12792" width="11.140625" style="101" bestFit="1" customWidth="1"/>
    <col min="12793" max="12793" width="11" style="101" customWidth="1"/>
    <col min="12794" max="12794" width="10.42578125" style="101" customWidth="1"/>
    <col min="12795" max="12795" width="11.28515625" style="101" customWidth="1"/>
    <col min="12796" max="12797" width="9.140625" style="101" bestFit="1" customWidth="1"/>
    <col min="12798" max="12799" width="11.140625" style="101" bestFit="1" customWidth="1"/>
    <col min="12800" max="12800" width="11.5703125" style="101" bestFit="1" customWidth="1"/>
    <col min="12801" max="12801" width="9.140625" style="101" bestFit="1" customWidth="1"/>
    <col min="12802" max="12802" width="10.28515625" style="101" customWidth="1"/>
    <col min="12803" max="13041" width="9.140625" style="101" customWidth="1"/>
    <col min="13042" max="13042" width="4.28515625" style="101" bestFit="1" customWidth="1"/>
    <col min="13043" max="13043" width="6.85546875" style="101" bestFit="1" customWidth="1"/>
    <col min="13044" max="13044" width="11" style="101" customWidth="1"/>
    <col min="13045" max="13045" width="11.140625" style="101" bestFit="1" customWidth="1"/>
    <col min="13046" max="13046" width="10.85546875" style="101" customWidth="1"/>
    <col min="13047" max="13047" width="11.5703125" style="101" customWidth="1"/>
    <col min="13048" max="13048" width="11.140625" style="101" bestFit="1" customWidth="1"/>
    <col min="13049" max="13049" width="11" style="101" customWidth="1"/>
    <col min="13050" max="13050" width="10.42578125" style="101" customWidth="1"/>
    <col min="13051" max="13051" width="11.28515625" style="101" customWidth="1"/>
    <col min="13052" max="13053" width="9.140625" style="101" bestFit="1" customWidth="1"/>
    <col min="13054" max="13055" width="11.140625" style="101" bestFit="1" customWidth="1"/>
    <col min="13056" max="13056" width="11.5703125" style="101" bestFit="1" customWidth="1"/>
    <col min="13057" max="13057" width="9.140625" style="101" bestFit="1" customWidth="1"/>
    <col min="13058" max="13058" width="10.28515625" style="101" customWidth="1"/>
    <col min="13059" max="13297" width="9.140625" style="101" customWidth="1"/>
    <col min="13298" max="13298" width="4.28515625" style="101" bestFit="1" customWidth="1"/>
    <col min="13299" max="13299" width="6.85546875" style="101" bestFit="1" customWidth="1"/>
    <col min="13300" max="13300" width="11" style="101" customWidth="1"/>
    <col min="13301" max="13301" width="11.140625" style="101" bestFit="1" customWidth="1"/>
    <col min="13302" max="13302" width="10.85546875" style="101" customWidth="1"/>
    <col min="13303" max="13303" width="11.5703125" style="101" customWidth="1"/>
    <col min="13304" max="13304" width="11.140625" style="101" bestFit="1" customWidth="1"/>
    <col min="13305" max="13305" width="11" style="101" customWidth="1"/>
    <col min="13306" max="13306" width="10.42578125" style="101" customWidth="1"/>
    <col min="13307" max="13307" width="11.28515625" style="101" customWidth="1"/>
    <col min="13308" max="13309" width="9.140625" style="101" bestFit="1" customWidth="1"/>
    <col min="13310" max="13311" width="11.140625" style="101" bestFit="1" customWidth="1"/>
    <col min="13312" max="13312" width="11.5703125" style="101" bestFit="1" customWidth="1"/>
    <col min="13313" max="13313" width="9.140625" style="101" bestFit="1" customWidth="1"/>
    <col min="13314" max="13314" width="10.28515625" style="101" customWidth="1"/>
    <col min="13315" max="13553" width="9.140625" style="101" customWidth="1"/>
    <col min="13554" max="13554" width="4.28515625" style="101" bestFit="1" customWidth="1"/>
    <col min="13555" max="13555" width="6.85546875" style="101" bestFit="1" customWidth="1"/>
    <col min="13556" max="13556" width="11" style="101" customWidth="1"/>
    <col min="13557" max="13557" width="11.140625" style="101" bestFit="1" customWidth="1"/>
    <col min="13558" max="13558" width="10.85546875" style="101" customWidth="1"/>
    <col min="13559" max="13559" width="11.5703125" style="101" customWidth="1"/>
    <col min="13560" max="13560" width="11.140625" style="101" bestFit="1" customWidth="1"/>
    <col min="13561" max="13561" width="11" style="101" customWidth="1"/>
    <col min="13562" max="13562" width="10.42578125" style="101" customWidth="1"/>
    <col min="13563" max="13563" width="11.28515625" style="101" customWidth="1"/>
    <col min="13564" max="13565" width="9.140625" style="101" bestFit="1" customWidth="1"/>
    <col min="13566" max="13567" width="11.140625" style="101" bestFit="1" customWidth="1"/>
    <col min="13568" max="13568" width="11.5703125" style="101" bestFit="1" customWidth="1"/>
    <col min="13569" max="13569" width="9.140625" style="101" bestFit="1" customWidth="1"/>
    <col min="13570" max="13570" width="10.28515625" style="101" customWidth="1"/>
    <col min="13571" max="13809" width="9.140625" style="101" customWidth="1"/>
    <col min="13810" max="13810" width="4.28515625" style="101" bestFit="1" customWidth="1"/>
    <col min="13811" max="13811" width="6.85546875" style="101" bestFit="1" customWidth="1"/>
    <col min="13812" max="13812" width="11" style="101" customWidth="1"/>
    <col min="13813" max="13813" width="11.140625" style="101" bestFit="1" customWidth="1"/>
    <col min="13814" max="13814" width="10.85546875" style="101" customWidth="1"/>
    <col min="13815" max="13815" width="11.5703125" style="101" customWidth="1"/>
    <col min="13816" max="13816" width="11.140625" style="101" bestFit="1" customWidth="1"/>
    <col min="13817" max="13817" width="11" style="101" customWidth="1"/>
    <col min="13818" max="13818" width="10.42578125" style="101" customWidth="1"/>
    <col min="13819" max="13819" width="11.28515625" style="101" customWidth="1"/>
    <col min="13820" max="13821" width="9.140625" style="101" bestFit="1" customWidth="1"/>
    <col min="13822" max="13823" width="11.140625" style="101" bestFit="1" customWidth="1"/>
    <col min="13824" max="13824" width="11.5703125" style="101" bestFit="1" customWidth="1"/>
    <col min="13825" max="13825" width="9.140625" style="101" bestFit="1" customWidth="1"/>
    <col min="13826" max="13826" width="10.28515625" style="101" customWidth="1"/>
    <col min="13827" max="14065" width="9.140625" style="101" customWidth="1"/>
    <col min="14066" max="14066" width="4.28515625" style="101" bestFit="1" customWidth="1"/>
    <col min="14067" max="14067" width="6.85546875" style="101" bestFit="1" customWidth="1"/>
    <col min="14068" max="14068" width="11" style="101" customWidth="1"/>
    <col min="14069" max="14069" width="11.140625" style="101" bestFit="1" customWidth="1"/>
    <col min="14070" max="14070" width="10.85546875" style="101" customWidth="1"/>
    <col min="14071" max="14071" width="11.5703125" style="101" customWidth="1"/>
    <col min="14072" max="14072" width="11.140625" style="101" bestFit="1" customWidth="1"/>
    <col min="14073" max="14073" width="11" style="101" customWidth="1"/>
    <col min="14074" max="14074" width="10.42578125" style="101" customWidth="1"/>
    <col min="14075" max="14075" width="11.28515625" style="101" customWidth="1"/>
    <col min="14076" max="14077" width="9.140625" style="101" bestFit="1" customWidth="1"/>
    <col min="14078" max="14079" width="11.140625" style="101" bestFit="1" customWidth="1"/>
    <col min="14080" max="14080" width="11.5703125" style="101" bestFit="1" customWidth="1"/>
    <col min="14081" max="14081" width="9.140625" style="101" bestFit="1" customWidth="1"/>
    <col min="14082" max="14082" width="10.28515625" style="101" customWidth="1"/>
    <col min="14083" max="14321" width="9.140625" style="101" customWidth="1"/>
    <col min="14322" max="14322" width="4.28515625" style="101" bestFit="1" customWidth="1"/>
    <col min="14323" max="14323" width="6.85546875" style="101" bestFit="1" customWidth="1"/>
    <col min="14324" max="14324" width="11" style="101" customWidth="1"/>
    <col min="14325" max="14325" width="11.140625" style="101" bestFit="1" customWidth="1"/>
    <col min="14326" max="14326" width="10.85546875" style="101" customWidth="1"/>
    <col min="14327" max="14327" width="11.5703125" style="101" customWidth="1"/>
    <col min="14328" max="14328" width="11.140625" style="101" bestFit="1" customWidth="1"/>
    <col min="14329" max="14329" width="11" style="101" customWidth="1"/>
    <col min="14330" max="14330" width="10.42578125" style="101" customWidth="1"/>
    <col min="14331" max="14331" width="11.28515625" style="101" customWidth="1"/>
    <col min="14332" max="14333" width="9.140625" style="101" bestFit="1" customWidth="1"/>
    <col min="14334" max="14335" width="11.140625" style="101" bestFit="1" customWidth="1"/>
    <col min="14336" max="14336" width="11.5703125" style="101" bestFit="1" customWidth="1"/>
    <col min="14337" max="14337" width="9.140625" style="101" bestFit="1" customWidth="1"/>
    <col min="14338" max="14338" width="10.28515625" style="101" customWidth="1"/>
    <col min="14339" max="14577" width="9.140625" style="101" customWidth="1"/>
    <col min="14578" max="14578" width="4.28515625" style="101" bestFit="1" customWidth="1"/>
    <col min="14579" max="14579" width="6.85546875" style="101" bestFit="1" customWidth="1"/>
    <col min="14580" max="14580" width="11" style="101" customWidth="1"/>
    <col min="14581" max="14581" width="11.140625" style="101" bestFit="1" customWidth="1"/>
    <col min="14582" max="14582" width="10.85546875" style="101" customWidth="1"/>
    <col min="14583" max="14583" width="11.5703125" style="101" customWidth="1"/>
    <col min="14584" max="14584" width="11.140625" style="101" bestFit="1" customWidth="1"/>
    <col min="14585" max="14585" width="11" style="101" customWidth="1"/>
    <col min="14586" max="14586" width="10.42578125" style="101" customWidth="1"/>
    <col min="14587" max="14587" width="11.28515625" style="101" customWidth="1"/>
    <col min="14588" max="14589" width="9.140625" style="101" bestFit="1" customWidth="1"/>
    <col min="14590" max="14591" width="11.140625" style="101" bestFit="1" customWidth="1"/>
    <col min="14592" max="14592" width="11.5703125" style="101" bestFit="1" customWidth="1"/>
    <col min="14593" max="14593" width="9.140625" style="101" bestFit="1" customWidth="1"/>
    <col min="14594" max="14594" width="10.28515625" style="101" customWidth="1"/>
    <col min="14595" max="14833" width="9.140625" style="101" customWidth="1"/>
    <col min="14834" max="14834" width="4.28515625" style="101" bestFit="1" customWidth="1"/>
    <col min="14835" max="14835" width="6.85546875" style="101" bestFit="1" customWidth="1"/>
    <col min="14836" max="14836" width="11" style="101" customWidth="1"/>
    <col min="14837" max="14837" width="11.140625" style="101" bestFit="1" customWidth="1"/>
    <col min="14838" max="14838" width="10.85546875" style="101" customWidth="1"/>
    <col min="14839" max="14839" width="11.5703125" style="101" customWidth="1"/>
    <col min="14840" max="14840" width="11.140625" style="101" bestFit="1" customWidth="1"/>
    <col min="14841" max="14841" width="11" style="101" customWidth="1"/>
    <col min="14842" max="14842" width="10.42578125" style="101" customWidth="1"/>
    <col min="14843" max="14843" width="11.28515625" style="101" customWidth="1"/>
    <col min="14844" max="14845" width="9.140625" style="101" bestFit="1" customWidth="1"/>
    <col min="14846" max="14847" width="11.140625" style="101" bestFit="1" customWidth="1"/>
    <col min="14848" max="14848" width="11.5703125" style="101" bestFit="1" customWidth="1"/>
    <col min="14849" max="14849" width="9.140625" style="101" bestFit="1" customWidth="1"/>
    <col min="14850" max="14850" width="10.28515625" style="101" customWidth="1"/>
    <col min="14851" max="15089" width="9.140625" style="101" customWidth="1"/>
    <col min="15090" max="15090" width="4.28515625" style="101" bestFit="1" customWidth="1"/>
    <col min="15091" max="15091" width="6.85546875" style="101" bestFit="1" customWidth="1"/>
    <col min="15092" max="15092" width="11" style="101" customWidth="1"/>
    <col min="15093" max="15093" width="11.140625" style="101" bestFit="1" customWidth="1"/>
    <col min="15094" max="15094" width="10.85546875" style="101" customWidth="1"/>
    <col min="15095" max="15095" width="11.5703125" style="101" customWidth="1"/>
    <col min="15096" max="15096" width="11.140625" style="101" bestFit="1" customWidth="1"/>
    <col min="15097" max="15097" width="11" style="101" customWidth="1"/>
    <col min="15098" max="15098" width="10.42578125" style="101" customWidth="1"/>
    <col min="15099" max="15099" width="11.28515625" style="101" customWidth="1"/>
    <col min="15100" max="15101" width="9.140625" style="101" bestFit="1" customWidth="1"/>
    <col min="15102" max="15103" width="11.140625" style="101" bestFit="1" customWidth="1"/>
    <col min="15104" max="15104" width="11.5703125" style="101" bestFit="1" customWidth="1"/>
    <col min="15105" max="15105" width="9.140625" style="101" bestFit="1" customWidth="1"/>
    <col min="15106" max="15106" width="10.28515625" style="101" customWidth="1"/>
    <col min="15107" max="15345" width="9.140625" style="101" customWidth="1"/>
    <col min="15346" max="15346" width="4.28515625" style="101" bestFit="1" customWidth="1"/>
    <col min="15347" max="15347" width="6.85546875" style="101" bestFit="1" customWidth="1"/>
    <col min="15348" max="15348" width="11" style="101" customWidth="1"/>
    <col min="15349" max="15349" width="11.140625" style="101" bestFit="1" customWidth="1"/>
    <col min="15350" max="15350" width="10.85546875" style="101" customWidth="1"/>
    <col min="15351" max="15351" width="11.5703125" style="101" customWidth="1"/>
    <col min="15352" max="15352" width="11.140625" style="101" bestFit="1" customWidth="1"/>
    <col min="15353" max="15353" width="11" style="101" customWidth="1"/>
    <col min="15354" max="15354" width="10.42578125" style="101" customWidth="1"/>
    <col min="15355" max="15355" width="11.28515625" style="101" customWidth="1"/>
    <col min="15356" max="15357" width="9.140625" style="101" bestFit="1" customWidth="1"/>
    <col min="15358" max="15359" width="11.140625" style="101" bestFit="1" customWidth="1"/>
    <col min="15360" max="15360" width="11.5703125" style="101" bestFit="1" customWidth="1"/>
    <col min="15361" max="15361" width="9.140625" style="101" bestFit="1" customWidth="1"/>
    <col min="15362" max="15362" width="10.28515625" style="101" customWidth="1"/>
    <col min="15363" max="15601" width="9.140625" style="101" customWidth="1"/>
    <col min="15602" max="15602" width="4.28515625" style="101" bestFit="1" customWidth="1"/>
    <col min="15603" max="15603" width="6.85546875" style="101" bestFit="1" customWidth="1"/>
    <col min="15604" max="15604" width="11" style="101" customWidth="1"/>
    <col min="15605" max="15605" width="11.140625" style="101" bestFit="1" customWidth="1"/>
    <col min="15606" max="15606" width="10.85546875" style="101" customWidth="1"/>
    <col min="15607" max="15607" width="11.5703125" style="101" customWidth="1"/>
    <col min="15608" max="15608" width="11.140625" style="101" bestFit="1" customWidth="1"/>
    <col min="15609" max="15609" width="11" style="101" customWidth="1"/>
    <col min="15610" max="15610" width="10.42578125" style="101" customWidth="1"/>
    <col min="15611" max="15611" width="11.28515625" style="101" customWidth="1"/>
    <col min="15612" max="15613" width="9.140625" style="101" bestFit="1" customWidth="1"/>
    <col min="15614" max="15615" width="11.140625" style="101" bestFit="1" customWidth="1"/>
    <col min="15616" max="15616" width="11.5703125" style="101" bestFit="1" customWidth="1"/>
    <col min="15617" max="15617" width="9.140625" style="101" bestFit="1" customWidth="1"/>
    <col min="15618" max="15618" width="10.28515625" style="101" customWidth="1"/>
    <col min="15619" max="15857" width="9.140625" style="101" customWidth="1"/>
    <col min="15858" max="15858" width="4.28515625" style="101" bestFit="1" customWidth="1"/>
    <col min="15859" max="15859" width="6.85546875" style="101" bestFit="1" customWidth="1"/>
    <col min="15860" max="15860" width="11" style="101" customWidth="1"/>
    <col min="15861" max="15861" width="11.140625" style="101" bestFit="1" customWidth="1"/>
    <col min="15862" max="15862" width="10.85546875" style="101" customWidth="1"/>
    <col min="15863" max="15863" width="11.5703125" style="101" customWidth="1"/>
    <col min="15864" max="15864" width="11.140625" style="101" bestFit="1" customWidth="1"/>
    <col min="15865" max="15865" width="11" style="101" customWidth="1"/>
    <col min="15866" max="15866" width="10.42578125" style="101" customWidth="1"/>
    <col min="15867" max="15867" width="11.28515625" style="101" customWidth="1"/>
    <col min="15868" max="15869" width="9.140625" style="101" bestFit="1" customWidth="1"/>
    <col min="15870" max="15871" width="11.140625" style="101" bestFit="1" customWidth="1"/>
    <col min="15872" max="15872" width="11.5703125" style="101" bestFit="1" customWidth="1"/>
    <col min="15873" max="15873" width="9.140625" style="101" bestFit="1" customWidth="1"/>
    <col min="15874" max="15874" width="10.28515625" style="101" customWidth="1"/>
    <col min="15875" max="16113" width="9.140625" style="101" customWidth="1"/>
    <col min="16114" max="16114" width="4.28515625" style="101" bestFit="1" customWidth="1"/>
    <col min="16115" max="16115" width="6.85546875" style="101" bestFit="1" customWidth="1"/>
    <col min="16116" max="16116" width="11" style="101" customWidth="1"/>
    <col min="16117" max="16117" width="11.140625" style="101" bestFit="1" customWidth="1"/>
    <col min="16118" max="16118" width="10.85546875" style="101" customWidth="1"/>
    <col min="16119" max="16119" width="11.5703125" style="101" customWidth="1"/>
    <col min="16120" max="16120" width="11.140625" style="101" bestFit="1" customWidth="1"/>
    <col min="16121" max="16121" width="11" style="101" customWidth="1"/>
    <col min="16122" max="16122" width="10.42578125" style="101" customWidth="1"/>
    <col min="16123" max="16123" width="11.28515625" style="101" customWidth="1"/>
    <col min="16124" max="16125" width="9.140625" style="101" bestFit="1" customWidth="1"/>
    <col min="16126" max="16127" width="11.140625" style="101" bestFit="1" customWidth="1"/>
    <col min="16128" max="16128" width="11.5703125" style="101" bestFit="1" customWidth="1"/>
    <col min="16129" max="16129" width="9.140625" style="101" bestFit="1" customWidth="1"/>
    <col min="16130" max="16130" width="10.28515625" style="101" customWidth="1"/>
    <col min="16131" max="16379" width="9.140625" style="101" customWidth="1"/>
    <col min="16380" max="16384" width="9.140625" style="101"/>
  </cols>
  <sheetData>
    <row r="1" spans="1:12" ht="69" customHeight="1">
      <c r="A1" s="2235" t="s">
        <v>167</v>
      </c>
      <c r="B1" s="2235"/>
      <c r="C1" s="2235"/>
      <c r="D1" s="2235"/>
      <c r="E1" s="2235"/>
      <c r="F1" s="2235"/>
      <c r="G1" s="2235"/>
      <c r="H1" s="2235"/>
      <c r="I1" s="2235"/>
      <c r="J1" s="2235"/>
      <c r="K1" s="2235"/>
      <c r="L1" s="2235"/>
    </row>
    <row r="2" spans="1:12" ht="16.5" customHeight="1" thickBot="1">
      <c r="A2" s="100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519" t="s">
        <v>0</v>
      </c>
    </row>
    <row r="3" spans="1:12" s="103" customFormat="1" ht="12.75" customHeight="1" thickBot="1">
      <c r="A3" s="2290" t="s">
        <v>37</v>
      </c>
      <c r="B3" s="2292" t="s">
        <v>3</v>
      </c>
      <c r="C3" s="2292"/>
      <c r="D3" s="2293" t="s">
        <v>4</v>
      </c>
      <c r="E3" s="2294" t="s">
        <v>148</v>
      </c>
      <c r="F3" s="2295" t="s">
        <v>149</v>
      </c>
      <c r="G3" s="2295" t="s">
        <v>84</v>
      </c>
      <c r="H3" s="2295" t="s">
        <v>179</v>
      </c>
      <c r="I3" s="2295" t="s">
        <v>39</v>
      </c>
      <c r="J3" s="2295" t="s">
        <v>178</v>
      </c>
      <c r="K3" s="2295" t="s">
        <v>151</v>
      </c>
      <c r="L3" s="2513" t="s">
        <v>188</v>
      </c>
    </row>
    <row r="4" spans="1:12" s="103" customFormat="1" ht="79.5" customHeight="1" thickBot="1">
      <c r="A4" s="2291"/>
      <c r="B4" s="2236"/>
      <c r="C4" s="2236"/>
      <c r="D4" s="2237"/>
      <c r="E4" s="2238"/>
      <c r="F4" s="2239"/>
      <c r="G4" s="2239"/>
      <c r="H4" s="2239"/>
      <c r="I4" s="2239"/>
      <c r="J4" s="2239"/>
      <c r="K4" s="2239"/>
      <c r="L4" s="2514"/>
    </row>
    <row r="5" spans="1:12" s="104" customFormat="1" ht="12" customHeight="1" thickBot="1">
      <c r="A5" s="338" t="s">
        <v>6</v>
      </c>
      <c r="B5" s="2280" t="s">
        <v>7</v>
      </c>
      <c r="C5" s="2280"/>
      <c r="D5" s="152" t="s">
        <v>8</v>
      </c>
      <c r="E5" s="152" t="s">
        <v>9</v>
      </c>
      <c r="F5" s="152" t="s">
        <v>10</v>
      </c>
      <c r="G5" s="153" t="s">
        <v>11</v>
      </c>
      <c r="H5" s="153" t="s">
        <v>10</v>
      </c>
      <c r="I5" s="153" t="s">
        <v>12</v>
      </c>
      <c r="J5" s="153" t="s">
        <v>11</v>
      </c>
      <c r="K5" s="153" t="s">
        <v>11</v>
      </c>
      <c r="L5" s="372" t="s">
        <v>12</v>
      </c>
    </row>
    <row r="6" spans="1:12">
      <c r="A6" s="330" t="s">
        <v>65</v>
      </c>
      <c r="B6" s="143"/>
      <c r="C6" s="156" t="s">
        <v>66</v>
      </c>
      <c r="D6" s="143"/>
      <c r="E6" s="145">
        <f>SUM(E7)</f>
        <v>4395917</v>
      </c>
      <c r="F6" s="145">
        <f t="shared" ref="F6:H6" si="0">SUM(F7)</f>
        <v>6324557</v>
      </c>
      <c r="G6" s="145" t="e">
        <f t="shared" si="0"/>
        <v>#REF!</v>
      </c>
      <c r="H6" s="145">
        <f t="shared" si="0"/>
        <v>0</v>
      </c>
      <c r="I6" s="146">
        <f>H6/E6</f>
        <v>0</v>
      </c>
      <c r="J6" s="145">
        <v>0</v>
      </c>
      <c r="K6" s="145">
        <v>0</v>
      </c>
      <c r="L6" s="331"/>
    </row>
    <row r="7" spans="1:12">
      <c r="A7" s="2253"/>
      <c r="B7" s="2231" t="s">
        <v>94</v>
      </c>
      <c r="C7" s="142" t="s">
        <v>120</v>
      </c>
      <c r="D7" s="113"/>
      <c r="E7" s="141">
        <f>SUM(E8,E17)</f>
        <v>4395917</v>
      </c>
      <c r="F7" s="141">
        <f>SUM(F8,F17)</f>
        <v>6324557</v>
      </c>
      <c r="G7" s="141" t="e">
        <f>SUM(G8,G17)</f>
        <v>#REF!</v>
      </c>
      <c r="H7" s="141">
        <f>SUM(H8,H17)</f>
        <v>0</v>
      </c>
      <c r="I7" s="115">
        <f>H7/E7</f>
        <v>0</v>
      </c>
      <c r="J7" s="141">
        <f>SUM(J8,J17)</f>
        <v>0</v>
      </c>
      <c r="K7" s="141">
        <f>SUM(K8,K17)</f>
        <v>0</v>
      </c>
      <c r="L7" s="2246"/>
    </row>
    <row r="8" spans="1:12" ht="15" customHeight="1">
      <c r="A8" s="2254"/>
      <c r="B8" s="2231"/>
      <c r="C8" s="117" t="s">
        <v>18</v>
      </c>
      <c r="D8" s="111"/>
      <c r="E8" s="118">
        <f>SUM(E9,E12,E13,E14,E15,E16)</f>
        <v>4395917</v>
      </c>
      <c r="F8" s="118">
        <f>SUM(F9,F12,F13,F14,F15,F16)</f>
        <v>6324557</v>
      </c>
      <c r="G8" s="118" t="e">
        <f>SUM(G9,G12,G13,G14,G15,G16)</f>
        <v>#REF!</v>
      </c>
      <c r="H8" s="118">
        <f>SUM(H9,H12,H13,H14,H15,H16)</f>
        <v>0</v>
      </c>
      <c r="I8" s="119">
        <f>H8/E8</f>
        <v>0</v>
      </c>
      <c r="J8" s="118">
        <f>SUM(J9,J12,J13,J15,J16)</f>
        <v>0</v>
      </c>
      <c r="K8" s="118">
        <f>SUM(K9,K12,K13,K15,K16)</f>
        <v>0</v>
      </c>
      <c r="L8" s="2233"/>
    </row>
    <row r="9" spans="1:12" ht="15" customHeight="1">
      <c r="A9" s="2254"/>
      <c r="B9" s="2231"/>
      <c r="C9" s="120" t="s">
        <v>19</v>
      </c>
      <c r="D9" s="121"/>
      <c r="E9" s="122"/>
      <c r="F9" s="122"/>
      <c r="G9" s="122">
        <f>SUM(G10:G11)</f>
        <v>0</v>
      </c>
      <c r="H9" s="122"/>
      <c r="I9" s="123"/>
      <c r="J9" s="122"/>
      <c r="K9" s="122"/>
      <c r="L9" s="2233"/>
    </row>
    <row r="10" spans="1:12" ht="15" customHeight="1">
      <c r="A10" s="2254"/>
      <c r="B10" s="2231"/>
      <c r="C10" s="120" t="s">
        <v>20</v>
      </c>
      <c r="D10" s="121"/>
      <c r="E10" s="122"/>
      <c r="F10" s="122"/>
      <c r="G10" s="134"/>
      <c r="H10" s="134"/>
      <c r="I10" s="119"/>
      <c r="J10" s="134"/>
      <c r="K10" s="134"/>
      <c r="L10" s="2233"/>
    </row>
    <row r="11" spans="1:12" ht="15" customHeight="1">
      <c r="A11" s="2254"/>
      <c r="B11" s="2231"/>
      <c r="C11" s="148" t="s">
        <v>21</v>
      </c>
      <c r="D11" s="129"/>
      <c r="E11" s="130"/>
      <c r="F11" s="130"/>
      <c r="G11" s="130"/>
      <c r="H11" s="130"/>
      <c r="I11" s="123"/>
      <c r="J11" s="134"/>
      <c r="K11" s="134"/>
      <c r="L11" s="2233"/>
    </row>
    <row r="12" spans="1:12" ht="15" customHeight="1">
      <c r="A12" s="2254"/>
      <c r="B12" s="2231"/>
      <c r="C12" s="120" t="s">
        <v>23</v>
      </c>
      <c r="D12" s="121"/>
      <c r="E12" s="122"/>
      <c r="F12" s="122"/>
      <c r="G12" s="134"/>
      <c r="H12" s="134"/>
      <c r="I12" s="123"/>
      <c r="J12" s="134"/>
      <c r="K12" s="134"/>
      <c r="L12" s="2233"/>
    </row>
    <row r="13" spans="1:12" ht="15" customHeight="1">
      <c r="A13" s="2254"/>
      <c r="B13" s="2231"/>
      <c r="C13" s="120" t="s">
        <v>24</v>
      </c>
      <c r="D13" s="121"/>
      <c r="E13" s="122"/>
      <c r="F13" s="122"/>
      <c r="G13" s="134"/>
      <c r="H13" s="134"/>
      <c r="I13" s="119"/>
      <c r="J13" s="134"/>
      <c r="K13" s="134"/>
      <c r="L13" s="2233"/>
    </row>
    <row r="14" spans="1:12" ht="23.25" customHeight="1">
      <c r="A14" s="2254"/>
      <c r="B14" s="2231"/>
      <c r="C14" s="148" t="s">
        <v>35</v>
      </c>
      <c r="D14" s="121">
        <v>2057</v>
      </c>
      <c r="E14" s="122">
        <v>4395917</v>
      </c>
      <c r="F14" s="122">
        <v>6324557</v>
      </c>
      <c r="G14" s="122" t="e">
        <f>SUM(#REF!)</f>
        <v>#REF!</v>
      </c>
      <c r="H14" s="122"/>
      <c r="I14" s="123">
        <f>H14/E14</f>
        <v>0</v>
      </c>
      <c r="J14" s="134"/>
      <c r="K14" s="134"/>
      <c r="L14" s="2233"/>
    </row>
    <row r="15" spans="1:12" ht="15" customHeight="1">
      <c r="A15" s="2254"/>
      <c r="B15" s="2231"/>
      <c r="C15" s="120" t="s">
        <v>26</v>
      </c>
      <c r="D15" s="121"/>
      <c r="E15" s="122"/>
      <c r="F15" s="122"/>
      <c r="G15" s="134"/>
      <c r="H15" s="134"/>
      <c r="I15" s="119"/>
      <c r="J15" s="134"/>
      <c r="K15" s="134"/>
      <c r="L15" s="2233"/>
    </row>
    <row r="16" spans="1:12" ht="15" customHeight="1">
      <c r="A16" s="2254"/>
      <c r="B16" s="2231"/>
      <c r="C16" s="120" t="s">
        <v>27</v>
      </c>
      <c r="D16" s="121"/>
      <c r="E16" s="122"/>
      <c r="F16" s="122"/>
      <c r="G16" s="134"/>
      <c r="H16" s="134"/>
      <c r="I16" s="119"/>
      <c r="J16" s="134"/>
      <c r="K16" s="134"/>
      <c r="L16" s="2233"/>
    </row>
    <row r="17" spans="1:12" ht="15" customHeight="1">
      <c r="A17" s="2254"/>
      <c r="B17" s="2231"/>
      <c r="C17" s="136" t="s">
        <v>28</v>
      </c>
      <c r="D17" s="137"/>
      <c r="E17" s="138">
        <f>SUM(E18,E20,E21)</f>
        <v>0</v>
      </c>
      <c r="F17" s="138">
        <f>SUM(F18,F20,F21)</f>
        <v>0</v>
      </c>
      <c r="G17" s="138">
        <f>SUM(G18,G20,G21)</f>
        <v>0</v>
      </c>
      <c r="H17" s="138">
        <f>SUM(H18,H20,H21)</f>
        <v>0</v>
      </c>
      <c r="I17" s="119"/>
      <c r="J17" s="138">
        <f>SUM(J18,J20,J21)</f>
        <v>0</v>
      </c>
      <c r="K17" s="138">
        <f>SUM(K18,K20,K21)</f>
        <v>0</v>
      </c>
      <c r="L17" s="2233"/>
    </row>
    <row r="18" spans="1:12">
      <c r="A18" s="2254"/>
      <c r="B18" s="2231"/>
      <c r="C18" s="222" t="s">
        <v>29</v>
      </c>
      <c r="D18" s="121"/>
      <c r="E18" s="122"/>
      <c r="F18" s="122"/>
      <c r="G18" s="122"/>
      <c r="H18" s="122"/>
      <c r="I18" s="123"/>
      <c r="J18" s="134"/>
      <c r="K18" s="134"/>
      <c r="L18" s="2233"/>
    </row>
    <row r="19" spans="1:12" ht="22.5">
      <c r="A19" s="2254"/>
      <c r="B19" s="2231"/>
      <c r="C19" s="148" t="s">
        <v>87</v>
      </c>
      <c r="D19" s="129"/>
      <c r="E19" s="130"/>
      <c r="F19" s="130"/>
      <c r="G19" s="130"/>
      <c r="H19" s="130"/>
      <c r="I19" s="123"/>
      <c r="J19" s="134"/>
      <c r="K19" s="134"/>
      <c r="L19" s="2233"/>
    </row>
    <row r="20" spans="1:12" ht="15" customHeight="1">
      <c r="A20" s="2254"/>
      <c r="B20" s="2231"/>
      <c r="C20" s="120" t="s">
        <v>31</v>
      </c>
      <c r="D20" s="121"/>
      <c r="E20" s="122"/>
      <c r="F20" s="122"/>
      <c r="G20" s="134"/>
      <c r="H20" s="134"/>
      <c r="I20" s="123"/>
      <c r="J20" s="134"/>
      <c r="K20" s="134"/>
      <c r="L20" s="2233"/>
    </row>
    <row r="21" spans="1:12" ht="15.75" customHeight="1">
      <c r="A21" s="2254"/>
      <c r="B21" s="2231"/>
      <c r="C21" s="120" t="s">
        <v>32</v>
      </c>
      <c r="D21" s="121"/>
      <c r="E21" s="122"/>
      <c r="F21" s="122"/>
      <c r="G21" s="118"/>
      <c r="H21" s="118"/>
      <c r="I21" s="123"/>
      <c r="J21" s="118"/>
      <c r="K21" s="118"/>
      <c r="L21" s="2233"/>
    </row>
    <row r="22" spans="1:12" s="110" customFormat="1">
      <c r="A22" s="330" t="s">
        <v>95</v>
      </c>
      <c r="B22" s="106"/>
      <c r="C22" s="107" t="s">
        <v>96</v>
      </c>
      <c r="D22" s="107"/>
      <c r="E22" s="108">
        <f>SUM(E23)</f>
        <v>20457545</v>
      </c>
      <c r="F22" s="108">
        <f>SUM(F23)</f>
        <v>8891115</v>
      </c>
      <c r="G22" s="108" t="e">
        <f>SUM(G23)</f>
        <v>#REF!</v>
      </c>
      <c r="H22" s="108">
        <f>SUM(H23)</f>
        <v>19912601</v>
      </c>
      <c r="I22" s="109">
        <f>H22/E22</f>
        <v>0.97336219961877146</v>
      </c>
      <c r="J22" s="108">
        <f>SUM(J23)</f>
        <v>3560000</v>
      </c>
      <c r="K22" s="108">
        <f>SUM(K23)</f>
        <v>23472601</v>
      </c>
      <c r="L22" s="373"/>
    </row>
    <row r="23" spans="1:12" s="116" customFormat="1" ht="22.5" customHeight="1">
      <c r="A23" s="2253"/>
      <c r="B23" s="2264" t="s">
        <v>97</v>
      </c>
      <c r="C23" s="112" t="s">
        <v>17</v>
      </c>
      <c r="D23" s="112"/>
      <c r="E23" s="114">
        <f>SUM(E24,E48)</f>
        <v>20457545</v>
      </c>
      <c r="F23" s="114">
        <f>SUM(F24,F48)</f>
        <v>8891115</v>
      </c>
      <c r="G23" s="114" t="e">
        <f>SUM(G24,G48)</f>
        <v>#REF!</v>
      </c>
      <c r="H23" s="114">
        <f>SUM(H24,H48)</f>
        <v>19912601</v>
      </c>
      <c r="I23" s="115">
        <f>H23/E23</f>
        <v>0.97336219961877146</v>
      </c>
      <c r="J23" s="114">
        <f>SUM(J24,J48)</f>
        <v>3560000</v>
      </c>
      <c r="K23" s="114">
        <f>SUM(K24,K48)</f>
        <v>23472601</v>
      </c>
      <c r="L23" s="2285" t="s">
        <v>173</v>
      </c>
    </row>
    <row r="24" spans="1:12" s="116" customFormat="1" ht="42.75" customHeight="1">
      <c r="A24" s="2254"/>
      <c r="B24" s="2288"/>
      <c r="C24" s="117" t="s">
        <v>18</v>
      </c>
      <c r="D24" s="117"/>
      <c r="E24" s="118">
        <f>SUM(E25,E40,E41,E42,E46,E47)</f>
        <v>8432170</v>
      </c>
      <c r="F24" s="118">
        <f>SUM(F25,F40,F41,F42,F46,F47)</f>
        <v>8434628</v>
      </c>
      <c r="G24" s="118">
        <f>SUM(G25,G40,G41,G42,G46,G47)</f>
        <v>0</v>
      </c>
      <c r="H24" s="118">
        <f>SUM(H25,H40,H41,H42,H46,H47)</f>
        <v>8346171</v>
      </c>
      <c r="I24" s="119">
        <f>H24/E24</f>
        <v>0.9898010832324301</v>
      </c>
      <c r="J24" s="118">
        <f>SUM(J25,J40,J41,J42,J46,J47)</f>
        <v>2900000</v>
      </c>
      <c r="K24" s="118">
        <f>SUM(K25,K40,K41,K42,K46,K47)</f>
        <v>11246171</v>
      </c>
      <c r="L24" s="2275"/>
    </row>
    <row r="25" spans="1:12" ht="41.25" customHeight="1">
      <c r="A25" s="2254"/>
      <c r="B25" s="2288"/>
      <c r="C25" s="120" t="s">
        <v>19</v>
      </c>
      <c r="D25" s="120"/>
      <c r="E25" s="122">
        <f>SUM(E26,E27)</f>
        <v>8432170</v>
      </c>
      <c r="F25" s="122">
        <f t="shared" ref="F25:H25" si="1">SUM(F26,F27)</f>
        <v>8432170</v>
      </c>
      <c r="G25" s="122">
        <f t="shared" si="1"/>
        <v>0</v>
      </c>
      <c r="H25" s="122">
        <f t="shared" si="1"/>
        <v>8346171</v>
      </c>
      <c r="I25" s="123">
        <f>H25/E25</f>
        <v>0.9898010832324301</v>
      </c>
      <c r="J25" s="122">
        <f>SUM(J26,J27)</f>
        <v>2900000</v>
      </c>
      <c r="K25" s="122">
        <f>SUM(K26,K27)</f>
        <v>11246171</v>
      </c>
      <c r="L25" s="2275"/>
    </row>
    <row r="26" spans="1:12" ht="16.5" customHeight="1">
      <c r="A26" s="2254"/>
      <c r="B26" s="2288"/>
      <c r="C26" s="120" t="s">
        <v>20</v>
      </c>
      <c r="D26" s="120"/>
      <c r="E26" s="120"/>
      <c r="F26" s="120"/>
      <c r="G26" s="134"/>
      <c r="H26" s="134"/>
      <c r="I26" s="119"/>
      <c r="J26" s="134"/>
      <c r="K26" s="134"/>
      <c r="L26" s="2275"/>
    </row>
    <row r="27" spans="1:12">
      <c r="A27" s="2254"/>
      <c r="B27" s="2288"/>
      <c r="C27" s="2511" t="s">
        <v>21</v>
      </c>
      <c r="D27" s="129" t="s">
        <v>22</v>
      </c>
      <c r="E27" s="130">
        <f>SUM(E28:E39)</f>
        <v>8432170</v>
      </c>
      <c r="F27" s="130">
        <f>SUM(F28:F39)</f>
        <v>8432170</v>
      </c>
      <c r="G27" s="130"/>
      <c r="H27" s="130">
        <f>SUM(H28:H39)</f>
        <v>8346171</v>
      </c>
      <c r="I27" s="123">
        <f>H27/E27</f>
        <v>0.9898010832324301</v>
      </c>
      <c r="J27" s="130">
        <f>SUM(J28:J33)</f>
        <v>2900000</v>
      </c>
      <c r="K27" s="130">
        <f>SUM(K28:K39)</f>
        <v>11246171</v>
      </c>
      <c r="L27" s="2275"/>
    </row>
    <row r="28" spans="1:12" ht="15.75" customHeight="1">
      <c r="A28" s="2254"/>
      <c r="B28" s="2288"/>
      <c r="C28" s="2511"/>
      <c r="D28" s="131">
        <v>4210</v>
      </c>
      <c r="E28" s="132">
        <v>10000</v>
      </c>
      <c r="F28" s="132">
        <f>10045-45</f>
        <v>10000</v>
      </c>
      <c r="G28" s="126"/>
      <c r="H28" s="237">
        <v>20000</v>
      </c>
      <c r="I28" s="127">
        <f t="shared" ref="I28:I36" si="2">H28/E28</f>
        <v>2</v>
      </c>
      <c r="J28" s="126">
        <v>5000</v>
      </c>
      <c r="K28" s="126">
        <f>H28+J28</f>
        <v>25000</v>
      </c>
      <c r="L28" s="2275"/>
    </row>
    <row r="29" spans="1:12" ht="15.75" customHeight="1">
      <c r="A29" s="2254"/>
      <c r="B29" s="2288"/>
      <c r="C29" s="2511"/>
      <c r="D29" s="131">
        <v>4260</v>
      </c>
      <c r="E29" s="132">
        <v>34000</v>
      </c>
      <c r="F29" s="132">
        <v>34000</v>
      </c>
      <c r="G29" s="126"/>
      <c r="H29" s="126">
        <v>100000</v>
      </c>
      <c r="I29" s="127">
        <f t="shared" si="2"/>
        <v>2.9411764705882355</v>
      </c>
      <c r="J29" s="126"/>
      <c r="K29" s="126">
        <f t="shared" ref="K29:K39" si="3">H29+J29</f>
        <v>100000</v>
      </c>
      <c r="L29" s="2275"/>
    </row>
    <row r="30" spans="1:12" ht="15.75" customHeight="1">
      <c r="A30" s="2254"/>
      <c r="B30" s="2288"/>
      <c r="C30" s="2511"/>
      <c r="D30" s="131">
        <v>4270</v>
      </c>
      <c r="E30" s="132">
        <v>120000</v>
      </c>
      <c r="F30" s="132">
        <v>120000</v>
      </c>
      <c r="G30" s="126"/>
      <c r="H30" s="126">
        <v>135000</v>
      </c>
      <c r="I30" s="127">
        <f t="shared" si="2"/>
        <v>1.125</v>
      </c>
      <c r="J30" s="126"/>
      <c r="K30" s="126">
        <f t="shared" si="3"/>
        <v>135000</v>
      </c>
      <c r="L30" s="2275"/>
    </row>
    <row r="31" spans="1:12" ht="15.75" customHeight="1">
      <c r="A31" s="2254"/>
      <c r="B31" s="2288"/>
      <c r="C31" s="2511"/>
      <c r="D31" s="131">
        <v>4300</v>
      </c>
      <c r="E31" s="132">
        <v>2860000</v>
      </c>
      <c r="F31" s="132">
        <v>2860000</v>
      </c>
      <c r="G31" s="126"/>
      <c r="H31" s="126">
        <v>2775000</v>
      </c>
      <c r="I31" s="127">
        <f t="shared" si="2"/>
        <v>0.97027972027972031</v>
      </c>
      <c r="J31" s="126">
        <f>-105000+3000000</f>
        <v>2895000</v>
      </c>
      <c r="K31" s="126">
        <f t="shared" si="3"/>
        <v>5670000</v>
      </c>
      <c r="L31" s="2275"/>
    </row>
    <row r="32" spans="1:12" ht="15.75" customHeight="1">
      <c r="A32" s="2254"/>
      <c r="B32" s="2288"/>
      <c r="C32" s="2511"/>
      <c r="D32" s="131">
        <v>4360</v>
      </c>
      <c r="E32" s="132">
        <v>6000</v>
      </c>
      <c r="F32" s="132">
        <v>6000</v>
      </c>
      <c r="G32" s="126"/>
      <c r="H32" s="126">
        <v>10000</v>
      </c>
      <c r="I32" s="127">
        <f t="shared" si="2"/>
        <v>1.6666666666666667</v>
      </c>
      <c r="J32" s="126"/>
      <c r="K32" s="126">
        <f t="shared" si="3"/>
        <v>10000</v>
      </c>
      <c r="L32" s="2275"/>
    </row>
    <row r="33" spans="1:12" ht="15.75" customHeight="1">
      <c r="A33" s="2254"/>
      <c r="B33" s="2288"/>
      <c r="C33" s="2511"/>
      <c r="D33" s="131">
        <v>4390</v>
      </c>
      <c r="E33" s="132">
        <v>315905</v>
      </c>
      <c r="F33" s="132">
        <v>315905</v>
      </c>
      <c r="G33" s="126"/>
      <c r="H33" s="126">
        <v>775171</v>
      </c>
      <c r="I33" s="127">
        <f t="shared" si="2"/>
        <v>2.4538104809990346</v>
      </c>
      <c r="J33" s="126"/>
      <c r="K33" s="126">
        <f t="shared" si="3"/>
        <v>775171</v>
      </c>
      <c r="L33" s="2275"/>
    </row>
    <row r="34" spans="1:12" ht="15.75" customHeight="1">
      <c r="A34" s="2254"/>
      <c r="B34" s="2288"/>
      <c r="C34" s="2511"/>
      <c r="D34" s="131">
        <v>4400</v>
      </c>
      <c r="E34" s="132">
        <v>10000</v>
      </c>
      <c r="F34" s="132">
        <v>10000</v>
      </c>
      <c r="G34" s="126"/>
      <c r="H34" s="126">
        <v>20000</v>
      </c>
      <c r="I34" s="127">
        <f t="shared" si="2"/>
        <v>2</v>
      </c>
      <c r="J34" s="126"/>
      <c r="K34" s="126">
        <f t="shared" si="3"/>
        <v>20000</v>
      </c>
      <c r="L34" s="2275"/>
    </row>
    <row r="35" spans="1:12" ht="15.75" customHeight="1">
      <c r="A35" s="2254"/>
      <c r="B35" s="2288"/>
      <c r="C35" s="2511"/>
      <c r="D35" s="131">
        <v>4430</v>
      </c>
      <c r="E35" s="132">
        <v>3855500</v>
      </c>
      <c r="F35" s="132">
        <v>3855500</v>
      </c>
      <c r="G35" s="126"/>
      <c r="H35" s="126">
        <v>3570000</v>
      </c>
      <c r="I35" s="127">
        <f t="shared" si="2"/>
        <v>0.92594994164181044</v>
      </c>
      <c r="J35" s="126"/>
      <c r="K35" s="126">
        <f t="shared" si="3"/>
        <v>3570000</v>
      </c>
      <c r="L35" s="2275"/>
    </row>
    <row r="36" spans="1:12" ht="15.75" customHeight="1">
      <c r="A36" s="2254"/>
      <c r="B36" s="2288"/>
      <c r="C36" s="2511"/>
      <c r="D36" s="131">
        <v>4530</v>
      </c>
      <c r="E36" s="132">
        <v>1070765</v>
      </c>
      <c r="F36" s="132">
        <v>1070765</v>
      </c>
      <c r="G36" s="126"/>
      <c r="H36" s="126">
        <v>821000</v>
      </c>
      <c r="I36" s="127">
        <f t="shared" si="2"/>
        <v>0.76674153525750277</v>
      </c>
      <c r="J36" s="126"/>
      <c r="K36" s="126">
        <f t="shared" si="3"/>
        <v>821000</v>
      </c>
      <c r="L36" s="2275"/>
    </row>
    <row r="37" spans="1:12" ht="13.5" hidden="1" customHeight="1" thickBot="1">
      <c r="A37" s="2254"/>
      <c r="B37" s="2288"/>
      <c r="C37" s="2511"/>
      <c r="D37" s="131">
        <v>4570</v>
      </c>
      <c r="E37" s="132"/>
      <c r="F37" s="132"/>
      <c r="G37" s="126"/>
      <c r="H37" s="126"/>
      <c r="I37" s="127"/>
      <c r="J37" s="126"/>
      <c r="K37" s="126">
        <f t="shared" si="3"/>
        <v>0</v>
      </c>
      <c r="L37" s="2275"/>
    </row>
    <row r="38" spans="1:12" ht="13.5" hidden="1" customHeight="1" thickBot="1">
      <c r="A38" s="2254"/>
      <c r="B38" s="2288"/>
      <c r="C38" s="2511"/>
      <c r="D38" s="131">
        <v>4610</v>
      </c>
      <c r="E38" s="132"/>
      <c r="F38" s="132"/>
      <c r="G38" s="126"/>
      <c r="H38" s="126"/>
      <c r="I38" s="127"/>
      <c r="J38" s="126"/>
      <c r="K38" s="126">
        <f t="shared" si="3"/>
        <v>0</v>
      </c>
      <c r="L38" s="2275"/>
    </row>
    <row r="39" spans="1:12" ht="15.75" customHeight="1">
      <c r="A39" s="2254"/>
      <c r="B39" s="2288"/>
      <c r="C39" s="2511"/>
      <c r="D39" s="131">
        <v>4700</v>
      </c>
      <c r="E39" s="132">
        <v>150000</v>
      </c>
      <c r="F39" s="132">
        <v>150000</v>
      </c>
      <c r="G39" s="126"/>
      <c r="H39" s="126">
        <v>120000</v>
      </c>
      <c r="I39" s="127">
        <f>H39/E39</f>
        <v>0.8</v>
      </c>
      <c r="J39" s="126"/>
      <c r="K39" s="126">
        <f t="shared" si="3"/>
        <v>120000</v>
      </c>
      <c r="L39" s="2275"/>
    </row>
    <row r="40" spans="1:12">
      <c r="A40" s="2254"/>
      <c r="B40" s="2288"/>
      <c r="C40" s="120" t="s">
        <v>23</v>
      </c>
      <c r="D40" s="120"/>
      <c r="E40" s="120"/>
      <c r="F40" s="120"/>
      <c r="G40" s="134"/>
      <c r="H40" s="134"/>
      <c r="I40" s="127"/>
      <c r="J40" s="134"/>
      <c r="K40" s="134"/>
      <c r="L40" s="2275"/>
    </row>
    <row r="41" spans="1:12" ht="13.5" thickBot="1">
      <c r="A41" s="2255"/>
      <c r="B41" s="2289"/>
      <c r="C41" s="319" t="s">
        <v>24</v>
      </c>
      <c r="D41" s="319"/>
      <c r="E41" s="319"/>
      <c r="F41" s="319"/>
      <c r="G41" s="374"/>
      <c r="H41" s="374"/>
      <c r="I41" s="343"/>
      <c r="J41" s="374"/>
      <c r="K41" s="374"/>
      <c r="L41" s="2276"/>
    </row>
    <row r="42" spans="1:12" ht="20.25" customHeight="1">
      <c r="A42" s="2256"/>
      <c r="B42" s="2301" t="s">
        <v>97</v>
      </c>
      <c r="C42" s="2517" t="s">
        <v>90</v>
      </c>
      <c r="D42" s="345" t="s">
        <v>22</v>
      </c>
      <c r="E42" s="346">
        <f>SUM(E43:E45)</f>
        <v>0</v>
      </c>
      <c r="F42" s="346">
        <f>SUM(F43:F45)</f>
        <v>2458</v>
      </c>
      <c r="G42" s="346">
        <f t="shared" ref="G42" si="4">SUM(G44:G45)</f>
        <v>0</v>
      </c>
      <c r="H42" s="346">
        <f>SUM(H43:H45)</f>
        <v>0</v>
      </c>
      <c r="I42" s="375"/>
      <c r="J42" s="347"/>
      <c r="K42" s="347"/>
      <c r="L42" s="2274" t="s">
        <v>185</v>
      </c>
    </row>
    <row r="43" spans="1:12" ht="15.75" customHeight="1">
      <c r="A43" s="2254"/>
      <c r="B43" s="2288"/>
      <c r="C43" s="2266"/>
      <c r="D43" s="124">
        <v>4210</v>
      </c>
      <c r="E43" s="125"/>
      <c r="F43" s="125">
        <v>45</v>
      </c>
      <c r="G43" s="125"/>
      <c r="H43" s="125"/>
      <c r="I43" s="127"/>
      <c r="J43" s="126"/>
      <c r="K43" s="126"/>
      <c r="L43" s="2275"/>
    </row>
    <row r="44" spans="1:12" ht="15.75" customHeight="1">
      <c r="A44" s="2254"/>
      <c r="B44" s="2288"/>
      <c r="C44" s="2266"/>
      <c r="D44" s="124">
        <v>4217</v>
      </c>
      <c r="E44" s="125"/>
      <c r="F44" s="125">
        <v>2051</v>
      </c>
      <c r="G44" s="125"/>
      <c r="H44" s="125"/>
      <c r="I44" s="127"/>
      <c r="J44" s="126"/>
      <c r="K44" s="126"/>
      <c r="L44" s="2275"/>
    </row>
    <row r="45" spans="1:12" ht="15.75" customHeight="1">
      <c r="A45" s="2254"/>
      <c r="B45" s="2288"/>
      <c r="C45" s="2267"/>
      <c r="D45" s="124">
        <v>4219</v>
      </c>
      <c r="E45" s="125"/>
      <c r="F45" s="125">
        <v>362</v>
      </c>
      <c r="G45" s="125"/>
      <c r="H45" s="125"/>
      <c r="I45" s="127"/>
      <c r="J45" s="126"/>
      <c r="K45" s="126"/>
      <c r="L45" s="2275"/>
    </row>
    <row r="46" spans="1:12" ht="30" customHeight="1">
      <c r="A46" s="2254"/>
      <c r="B46" s="2288"/>
      <c r="C46" s="120" t="s">
        <v>26</v>
      </c>
      <c r="D46" s="120"/>
      <c r="E46" s="120"/>
      <c r="F46" s="120"/>
      <c r="G46" s="134"/>
      <c r="H46" s="134"/>
      <c r="I46" s="127"/>
      <c r="J46" s="134"/>
      <c r="K46" s="134"/>
      <c r="L46" s="2275"/>
    </row>
    <row r="47" spans="1:12" ht="29.25" customHeight="1">
      <c r="A47" s="2254"/>
      <c r="B47" s="2288"/>
      <c r="C47" s="120" t="s">
        <v>27</v>
      </c>
      <c r="D47" s="120"/>
      <c r="E47" s="120"/>
      <c r="F47" s="120"/>
      <c r="G47" s="134"/>
      <c r="H47" s="134"/>
      <c r="I47" s="127"/>
      <c r="J47" s="134"/>
      <c r="K47" s="134"/>
      <c r="L47" s="2275"/>
    </row>
    <row r="48" spans="1:12" ht="41.25" customHeight="1">
      <c r="A48" s="2254"/>
      <c r="B48" s="2288"/>
      <c r="C48" s="136" t="s">
        <v>28</v>
      </c>
      <c r="D48" s="136"/>
      <c r="E48" s="138">
        <f>SUM(E49,E60,E61)</f>
        <v>12025375</v>
      </c>
      <c r="F48" s="138">
        <f>SUM(F49,F60,F61)</f>
        <v>456487</v>
      </c>
      <c r="G48" s="138" t="e">
        <f>SUM(G49,G60,G61)</f>
        <v>#REF!</v>
      </c>
      <c r="H48" s="138">
        <f>SUM(H49,H60,H61)</f>
        <v>11566430</v>
      </c>
      <c r="I48" s="119">
        <f>H48/E48</f>
        <v>0.96183528580189803</v>
      </c>
      <c r="J48" s="138">
        <f>SUM(J49,J60,J61)</f>
        <v>660000</v>
      </c>
      <c r="K48" s="138">
        <f>SUM(K49,K60,K61)</f>
        <v>12226430</v>
      </c>
      <c r="L48" s="2275"/>
    </row>
    <row r="49" spans="1:12" ht="26.25" customHeight="1">
      <c r="A49" s="2254"/>
      <c r="B49" s="2288"/>
      <c r="C49" s="2249" t="s">
        <v>29</v>
      </c>
      <c r="D49" s="121" t="s">
        <v>22</v>
      </c>
      <c r="E49" s="122">
        <f>SUM(E50:E54)</f>
        <v>12025375</v>
      </c>
      <c r="F49" s="122">
        <f>SUM(F50:F54)</f>
        <v>456487</v>
      </c>
      <c r="G49" s="122">
        <f>SUM(G50:G54)</f>
        <v>0</v>
      </c>
      <c r="H49" s="122">
        <f>SUM(H50:H54)</f>
        <v>11566430</v>
      </c>
      <c r="I49" s="123">
        <f>H49/E49</f>
        <v>0.96183528580189803</v>
      </c>
      <c r="J49" s="122">
        <f>SUM(J50:J54)</f>
        <v>660000</v>
      </c>
      <c r="K49" s="122">
        <f>SUM(K50:K54)</f>
        <v>12226430</v>
      </c>
      <c r="L49" s="2275"/>
    </row>
    <row r="50" spans="1:12" ht="15.75" customHeight="1">
      <c r="A50" s="2254"/>
      <c r="B50" s="2288"/>
      <c r="C50" s="2250"/>
      <c r="D50" s="124">
        <v>6050</v>
      </c>
      <c r="E50" s="125">
        <v>216328</v>
      </c>
      <c r="F50" s="125"/>
      <c r="G50" s="126"/>
      <c r="H50" s="126">
        <v>216283</v>
      </c>
      <c r="I50" s="127">
        <f>H50/E50</f>
        <v>0.99979198254502422</v>
      </c>
      <c r="J50" s="126">
        <v>560000</v>
      </c>
      <c r="K50" s="126">
        <f>H50+J50</f>
        <v>776283</v>
      </c>
      <c r="L50" s="2275"/>
    </row>
    <row r="51" spans="1:12" ht="15.75" customHeight="1">
      <c r="A51" s="2254"/>
      <c r="B51" s="2288"/>
      <c r="C51" s="2250"/>
      <c r="D51" s="124">
        <v>6057</v>
      </c>
      <c r="E51" s="125">
        <v>9649676</v>
      </c>
      <c r="F51" s="125"/>
      <c r="G51" s="126"/>
      <c r="H51" s="126">
        <v>9647625</v>
      </c>
      <c r="I51" s="127">
        <f t="shared" ref="I51:I59" si="5">H51/E51</f>
        <v>0.999787454003637</v>
      </c>
      <c r="J51" s="126"/>
      <c r="K51" s="126">
        <f t="shared" ref="K51:K54" si="6">H51+J51</f>
        <v>9647625</v>
      </c>
      <c r="L51" s="2275"/>
    </row>
    <row r="52" spans="1:12" ht="15.75" customHeight="1">
      <c r="A52" s="2254"/>
      <c r="B52" s="2288"/>
      <c r="C52" s="2250"/>
      <c r="D52" s="124">
        <v>6059</v>
      </c>
      <c r="E52" s="125">
        <v>1702884</v>
      </c>
      <c r="F52" s="125"/>
      <c r="G52" s="126"/>
      <c r="H52" s="126">
        <v>1702522</v>
      </c>
      <c r="I52" s="127">
        <f t="shared" si="5"/>
        <v>0.99978741946016292</v>
      </c>
      <c r="J52" s="126"/>
      <c r="K52" s="126">
        <f t="shared" si="6"/>
        <v>1702522</v>
      </c>
      <c r="L52" s="2275"/>
    </row>
    <row r="53" spans="1:12" ht="15.75" customHeight="1">
      <c r="A53" s="2254"/>
      <c r="B53" s="2288"/>
      <c r="C53" s="2250"/>
      <c r="D53" s="124">
        <v>6060</v>
      </c>
      <c r="E53" s="125">
        <v>250000</v>
      </c>
      <c r="F53" s="125">
        <v>250000</v>
      </c>
      <c r="G53" s="126"/>
      <c r="H53" s="126"/>
      <c r="I53" s="127">
        <f t="shared" si="5"/>
        <v>0</v>
      </c>
      <c r="J53" s="126">
        <v>100000</v>
      </c>
      <c r="K53" s="126">
        <f t="shared" si="6"/>
        <v>100000</v>
      </c>
      <c r="L53" s="2275"/>
    </row>
    <row r="54" spans="1:12" ht="15.75" customHeight="1">
      <c r="A54" s="2254"/>
      <c r="B54" s="2288"/>
      <c r="C54" s="2250"/>
      <c r="D54" s="124">
        <v>6257</v>
      </c>
      <c r="E54" s="125">
        <v>206487</v>
      </c>
      <c r="F54" s="125">
        <v>206487</v>
      </c>
      <c r="G54" s="126"/>
      <c r="H54" s="126"/>
      <c r="I54" s="127">
        <f t="shared" si="5"/>
        <v>0</v>
      </c>
      <c r="J54" s="126"/>
      <c r="K54" s="126">
        <f t="shared" si="6"/>
        <v>0</v>
      </c>
      <c r="L54" s="2275"/>
    </row>
    <row r="55" spans="1:12" ht="26.25" customHeight="1">
      <c r="A55" s="2254"/>
      <c r="B55" s="2288"/>
      <c r="C55" s="2265" t="s">
        <v>89</v>
      </c>
      <c r="D55" s="129" t="s">
        <v>22</v>
      </c>
      <c r="E55" s="130">
        <f>SUM(E56:E59)</f>
        <v>11775375</v>
      </c>
      <c r="F55" s="130">
        <f>SUM(F56:F59)</f>
        <v>206487</v>
      </c>
      <c r="G55" s="130">
        <f>SUM(G56:G59)</f>
        <v>0</v>
      </c>
      <c r="H55" s="130">
        <f>SUM(H56:H59)</f>
        <v>11566430</v>
      </c>
      <c r="I55" s="123">
        <f t="shared" si="5"/>
        <v>0.98225576680148186</v>
      </c>
      <c r="J55" s="130">
        <f>SUM(J56:J58)</f>
        <v>0</v>
      </c>
      <c r="K55" s="130">
        <f>SUM(K56:K58)</f>
        <v>11566430</v>
      </c>
      <c r="L55" s="2275"/>
    </row>
    <row r="56" spans="1:12" ht="15.75" customHeight="1">
      <c r="A56" s="2254"/>
      <c r="B56" s="2288"/>
      <c r="C56" s="2266"/>
      <c r="D56" s="124">
        <v>6050</v>
      </c>
      <c r="E56" s="125">
        <v>216328</v>
      </c>
      <c r="F56" s="125"/>
      <c r="G56" s="126"/>
      <c r="H56" s="126">
        <v>216283</v>
      </c>
      <c r="I56" s="127">
        <f t="shared" si="5"/>
        <v>0.99979198254502422</v>
      </c>
      <c r="J56" s="126"/>
      <c r="K56" s="126">
        <f>H56+J56</f>
        <v>216283</v>
      </c>
      <c r="L56" s="2275"/>
    </row>
    <row r="57" spans="1:12" ht="15.75" customHeight="1">
      <c r="A57" s="2254"/>
      <c r="B57" s="2288"/>
      <c r="C57" s="2266"/>
      <c r="D57" s="124">
        <v>6057</v>
      </c>
      <c r="E57" s="125">
        <v>9649676</v>
      </c>
      <c r="F57" s="125"/>
      <c r="G57" s="126"/>
      <c r="H57" s="126">
        <v>9647625</v>
      </c>
      <c r="I57" s="127">
        <f t="shared" si="5"/>
        <v>0.999787454003637</v>
      </c>
      <c r="J57" s="126"/>
      <c r="K57" s="126">
        <f t="shared" ref="K57:K59" si="7">H57+J57</f>
        <v>9647625</v>
      </c>
      <c r="L57" s="2275"/>
    </row>
    <row r="58" spans="1:12" ht="14.25" customHeight="1">
      <c r="A58" s="2254"/>
      <c r="B58" s="2288"/>
      <c r="C58" s="2266"/>
      <c r="D58" s="124">
        <v>6059</v>
      </c>
      <c r="E58" s="125">
        <v>1702884</v>
      </c>
      <c r="F58" s="125"/>
      <c r="G58" s="126"/>
      <c r="H58" s="126">
        <v>1702522</v>
      </c>
      <c r="I58" s="127">
        <f t="shared" si="5"/>
        <v>0.99978741946016292</v>
      </c>
      <c r="J58" s="126"/>
      <c r="K58" s="126">
        <f t="shared" si="7"/>
        <v>1702522</v>
      </c>
      <c r="L58" s="2275"/>
    </row>
    <row r="59" spans="1:12" ht="14.25" customHeight="1">
      <c r="A59" s="2254"/>
      <c r="B59" s="2288"/>
      <c r="C59" s="2266"/>
      <c r="D59" s="124">
        <v>6257</v>
      </c>
      <c r="E59" s="125">
        <v>206487</v>
      </c>
      <c r="F59" s="125">
        <v>206487</v>
      </c>
      <c r="G59" s="126"/>
      <c r="H59" s="126"/>
      <c r="I59" s="127">
        <f t="shared" si="5"/>
        <v>0</v>
      </c>
      <c r="J59" s="126"/>
      <c r="K59" s="126">
        <f t="shared" si="7"/>
        <v>0</v>
      </c>
      <c r="L59" s="2275"/>
    </row>
    <row r="60" spans="1:12" ht="27.75" customHeight="1">
      <c r="A60" s="2254"/>
      <c r="B60" s="2288"/>
      <c r="C60" s="222" t="s">
        <v>31</v>
      </c>
      <c r="D60" s="121"/>
      <c r="E60" s="122"/>
      <c r="F60" s="122"/>
      <c r="G60" s="122" t="e">
        <f>SUM(#REF!)</f>
        <v>#REF!</v>
      </c>
      <c r="H60" s="122"/>
      <c r="I60" s="122"/>
      <c r="J60" s="122"/>
      <c r="K60" s="122"/>
      <c r="L60" s="2275"/>
    </row>
    <row r="61" spans="1:12" s="116" customFormat="1" ht="27" customHeight="1">
      <c r="A61" s="2300"/>
      <c r="B61" s="2302"/>
      <c r="C61" s="149" t="s">
        <v>32</v>
      </c>
      <c r="D61" s="149"/>
      <c r="E61" s="149"/>
      <c r="F61" s="149"/>
      <c r="G61" s="150"/>
      <c r="H61" s="150"/>
      <c r="I61" s="119"/>
      <c r="J61" s="150"/>
      <c r="K61" s="150"/>
      <c r="L61" s="2286"/>
    </row>
    <row r="62" spans="1:12">
      <c r="A62" s="330" t="s">
        <v>14</v>
      </c>
      <c r="B62" s="143"/>
      <c r="C62" s="156" t="s">
        <v>15</v>
      </c>
      <c r="D62" s="143"/>
      <c r="E62" s="145">
        <f>SUM(E63)</f>
        <v>1061952</v>
      </c>
      <c r="F62" s="145">
        <f t="shared" ref="F62:H62" si="8">SUM(F63)</f>
        <v>3811397</v>
      </c>
      <c r="G62" s="145">
        <f t="shared" si="8"/>
        <v>0</v>
      </c>
      <c r="H62" s="145">
        <f t="shared" si="8"/>
        <v>800000</v>
      </c>
      <c r="I62" s="146">
        <f>H62/E62</f>
        <v>0.7533297173506901</v>
      </c>
      <c r="J62" s="145">
        <f>SUM(J63)</f>
        <v>-110000</v>
      </c>
      <c r="K62" s="145">
        <f>SUM(K63)</f>
        <v>690000</v>
      </c>
      <c r="L62" s="331"/>
    </row>
    <row r="63" spans="1:12">
      <c r="A63" s="2253"/>
      <c r="B63" s="2231" t="s">
        <v>114</v>
      </c>
      <c r="C63" s="142" t="s">
        <v>106</v>
      </c>
      <c r="D63" s="113"/>
      <c r="E63" s="141">
        <f>SUM(E64,E73)</f>
        <v>1061952</v>
      </c>
      <c r="F63" s="141">
        <f>SUM(F64,F73)</f>
        <v>3811397</v>
      </c>
      <c r="G63" s="141">
        <f>SUM(G64,G73)</f>
        <v>0</v>
      </c>
      <c r="H63" s="141">
        <f>SUM(H64,H73)</f>
        <v>800000</v>
      </c>
      <c r="I63" s="115">
        <f>H63/E63</f>
        <v>0.7533297173506901</v>
      </c>
      <c r="J63" s="141">
        <f>SUM(J64,J73)</f>
        <v>-110000</v>
      </c>
      <c r="K63" s="141">
        <f>SUM(K64,K73)</f>
        <v>690000</v>
      </c>
      <c r="L63" s="2246" t="s">
        <v>174</v>
      </c>
    </row>
    <row r="64" spans="1:12" ht="14.25" customHeight="1">
      <c r="A64" s="2254"/>
      <c r="B64" s="2231"/>
      <c r="C64" s="117" t="s">
        <v>18</v>
      </c>
      <c r="D64" s="111"/>
      <c r="E64" s="118">
        <f>SUM(E65,E68,E69,E70,E71,E72)</f>
        <v>690000</v>
      </c>
      <c r="F64" s="118">
        <f>SUM(F65,F68,F69,F70,F71,F72)</f>
        <v>690000</v>
      </c>
      <c r="G64" s="118">
        <f>SUM(G65,G68,G69,G70,G71,G72)</f>
        <v>0</v>
      </c>
      <c r="H64" s="118">
        <f>SUM(H65,H68,H69,H70,H71,H72)</f>
        <v>800000</v>
      </c>
      <c r="I64" s="119">
        <f t="shared" ref="I64:I67" si="9">H64/E64</f>
        <v>1.1594202898550725</v>
      </c>
      <c r="J64" s="118">
        <f>SUM(J65,J68,J69,J70,J71,J72)</f>
        <v>-110000</v>
      </c>
      <c r="K64" s="118">
        <f>SUM(K65,K68,K69,K70,K71,K72)</f>
        <v>690000</v>
      </c>
      <c r="L64" s="2246"/>
    </row>
    <row r="65" spans="1:12" ht="13.5" customHeight="1">
      <c r="A65" s="2254"/>
      <c r="B65" s="2231"/>
      <c r="C65" s="120" t="s">
        <v>19</v>
      </c>
      <c r="D65" s="121"/>
      <c r="E65" s="122">
        <f>SUM(E66:E67)</f>
        <v>690000</v>
      </c>
      <c r="F65" s="122">
        <f>SUM(F66:F67)</f>
        <v>690000</v>
      </c>
      <c r="G65" s="122"/>
      <c r="H65" s="122">
        <f>SUM(H66:H67)</f>
        <v>800000</v>
      </c>
      <c r="I65" s="119">
        <f t="shared" si="9"/>
        <v>1.1594202898550725</v>
      </c>
      <c r="J65" s="122">
        <f>SUM(J66:J67)</f>
        <v>-110000</v>
      </c>
      <c r="K65" s="122">
        <f>SUM(K66:K67)</f>
        <v>690000</v>
      </c>
      <c r="L65" s="2246"/>
    </row>
    <row r="66" spans="1:12" ht="13.5" customHeight="1">
      <c r="A66" s="2254"/>
      <c r="B66" s="2231"/>
      <c r="C66" s="120" t="s">
        <v>20</v>
      </c>
      <c r="D66" s="121"/>
      <c r="E66" s="122"/>
      <c r="F66" s="122"/>
      <c r="G66" s="134"/>
      <c r="H66" s="134"/>
      <c r="I66" s="123"/>
      <c r="J66" s="134"/>
      <c r="K66" s="134"/>
      <c r="L66" s="2246"/>
    </row>
    <row r="67" spans="1:12" ht="12.75" customHeight="1">
      <c r="A67" s="2254"/>
      <c r="B67" s="2231"/>
      <c r="C67" s="148" t="s">
        <v>21</v>
      </c>
      <c r="D67" s="129">
        <v>4300</v>
      </c>
      <c r="E67" s="130">
        <v>690000</v>
      </c>
      <c r="F67" s="130">
        <v>690000</v>
      </c>
      <c r="G67" s="130"/>
      <c r="H67" s="130">
        <v>800000</v>
      </c>
      <c r="I67" s="119">
        <f t="shared" si="9"/>
        <v>1.1594202898550725</v>
      </c>
      <c r="J67" s="134">
        <v>-110000</v>
      </c>
      <c r="K67" s="134">
        <f>H67+J67</f>
        <v>690000</v>
      </c>
      <c r="L67" s="2246"/>
    </row>
    <row r="68" spans="1:12" ht="15" customHeight="1">
      <c r="A68" s="2254"/>
      <c r="B68" s="2231"/>
      <c r="C68" s="120" t="s">
        <v>23</v>
      </c>
      <c r="D68" s="121"/>
      <c r="E68" s="122"/>
      <c r="F68" s="122"/>
      <c r="G68" s="134"/>
      <c r="H68" s="134"/>
      <c r="I68" s="123"/>
      <c r="J68" s="134"/>
      <c r="K68" s="134"/>
      <c r="L68" s="2246"/>
    </row>
    <row r="69" spans="1:12" ht="13.5" customHeight="1">
      <c r="A69" s="2254"/>
      <c r="B69" s="2231"/>
      <c r="C69" s="120" t="s">
        <v>24</v>
      </c>
      <c r="D69" s="121"/>
      <c r="E69" s="122"/>
      <c r="F69" s="122"/>
      <c r="G69" s="134"/>
      <c r="H69" s="134"/>
      <c r="I69" s="123"/>
      <c r="J69" s="134"/>
      <c r="K69" s="134"/>
      <c r="L69" s="2246"/>
    </row>
    <row r="70" spans="1:12" ht="22.5">
      <c r="A70" s="2254"/>
      <c r="B70" s="2231"/>
      <c r="C70" s="135" t="s">
        <v>35</v>
      </c>
      <c r="D70" s="129"/>
      <c r="E70" s="130"/>
      <c r="F70" s="130"/>
      <c r="G70" s="134"/>
      <c r="H70" s="134"/>
      <c r="I70" s="123"/>
      <c r="J70" s="134"/>
      <c r="K70" s="134"/>
      <c r="L70" s="2246"/>
    </row>
    <row r="71" spans="1:12" ht="14.25" customHeight="1">
      <c r="A71" s="2254"/>
      <c r="B71" s="2231"/>
      <c r="C71" s="120" t="s">
        <v>26</v>
      </c>
      <c r="D71" s="121"/>
      <c r="E71" s="122"/>
      <c r="F71" s="122"/>
      <c r="G71" s="134"/>
      <c r="H71" s="134"/>
      <c r="I71" s="123"/>
      <c r="J71" s="134"/>
      <c r="K71" s="134"/>
      <c r="L71" s="2246"/>
    </row>
    <row r="72" spans="1:12" ht="15" customHeight="1">
      <c r="A72" s="2254"/>
      <c r="B72" s="2231"/>
      <c r="C72" s="120" t="s">
        <v>27</v>
      </c>
      <c r="D72" s="121"/>
      <c r="E72" s="122"/>
      <c r="F72" s="122"/>
      <c r="G72" s="134"/>
      <c r="H72" s="134"/>
      <c r="I72" s="123"/>
      <c r="J72" s="134"/>
      <c r="K72" s="134"/>
      <c r="L72" s="2246"/>
    </row>
    <row r="73" spans="1:12" ht="15" customHeight="1">
      <c r="A73" s="2254"/>
      <c r="B73" s="2231"/>
      <c r="C73" s="136" t="s">
        <v>28</v>
      </c>
      <c r="D73" s="137"/>
      <c r="E73" s="138">
        <f>SUM(E74,E84,E85)</f>
        <v>371952</v>
      </c>
      <c r="F73" s="138">
        <f>SUM(F74,F84,F85)</f>
        <v>3121397</v>
      </c>
      <c r="G73" s="138">
        <f>SUM(G74,G84,G85)</f>
        <v>0</v>
      </c>
      <c r="H73" s="138">
        <f>SUM(H74,H84,H85)</f>
        <v>0</v>
      </c>
      <c r="I73" s="119">
        <f>H73/E73</f>
        <v>0</v>
      </c>
      <c r="J73" s="138">
        <f>SUM(J74,J84,J85)</f>
        <v>0</v>
      </c>
      <c r="K73" s="138">
        <f>SUM(K74,K84,K85)</f>
        <v>0</v>
      </c>
      <c r="L73" s="2246"/>
    </row>
    <row r="74" spans="1:12" ht="13.5" customHeight="1">
      <c r="A74" s="2254"/>
      <c r="B74" s="2231"/>
      <c r="C74" s="2249" t="s">
        <v>29</v>
      </c>
      <c r="D74" s="121" t="s">
        <v>22</v>
      </c>
      <c r="E74" s="122">
        <f>SUM(E75:E78)</f>
        <v>371952</v>
      </c>
      <c r="F74" s="122">
        <f>SUM(F75:F78)</f>
        <v>3121397</v>
      </c>
      <c r="G74" s="122">
        <f t="shared" ref="G74" si="10">SUM(G75:G77)</f>
        <v>0</v>
      </c>
      <c r="H74" s="122"/>
      <c r="I74" s="123">
        <f>H74/E74</f>
        <v>0</v>
      </c>
      <c r="J74" s="134"/>
      <c r="K74" s="134"/>
      <c r="L74" s="2246"/>
    </row>
    <row r="75" spans="1:12" s="226" customFormat="1">
      <c r="A75" s="2254"/>
      <c r="B75" s="2231"/>
      <c r="C75" s="2250"/>
      <c r="D75" s="124">
        <v>6050</v>
      </c>
      <c r="E75" s="125">
        <v>371952</v>
      </c>
      <c r="F75" s="125">
        <v>673696</v>
      </c>
      <c r="G75" s="125"/>
      <c r="H75" s="125"/>
      <c r="I75" s="127">
        <f t="shared" ref="I75:I80" si="11">H75/E75</f>
        <v>0</v>
      </c>
      <c r="J75" s="126"/>
      <c r="K75" s="126"/>
      <c r="L75" s="2246"/>
    </row>
    <row r="76" spans="1:12">
      <c r="A76" s="2254"/>
      <c r="B76" s="2231"/>
      <c r="C76" s="2250"/>
      <c r="D76" s="124">
        <v>6057</v>
      </c>
      <c r="E76" s="125"/>
      <c r="F76" s="125">
        <v>2080545</v>
      </c>
      <c r="G76" s="126"/>
      <c r="H76" s="126"/>
      <c r="I76" s="127"/>
      <c r="J76" s="126"/>
      <c r="K76" s="126"/>
      <c r="L76" s="2246"/>
    </row>
    <row r="77" spans="1:12">
      <c r="A77" s="2254"/>
      <c r="B77" s="2231"/>
      <c r="C77" s="2250"/>
      <c r="D77" s="124">
        <v>6059</v>
      </c>
      <c r="E77" s="125"/>
      <c r="F77" s="125">
        <v>367156</v>
      </c>
      <c r="G77" s="126"/>
      <c r="H77" s="126"/>
      <c r="I77" s="127"/>
      <c r="J77" s="126"/>
      <c r="K77" s="126"/>
      <c r="L77" s="2246"/>
    </row>
    <row r="78" spans="1:12" hidden="1">
      <c r="A78" s="2254"/>
      <c r="B78" s="2231"/>
      <c r="C78" s="2251"/>
      <c r="D78" s="124">
        <v>6667</v>
      </c>
      <c r="E78" s="125"/>
      <c r="F78" s="125"/>
      <c r="G78" s="126"/>
      <c r="H78" s="126"/>
      <c r="I78" s="127"/>
      <c r="J78" s="126"/>
      <c r="K78" s="126"/>
      <c r="L78" s="2246"/>
    </row>
    <row r="79" spans="1:12" ht="12.75" customHeight="1">
      <c r="A79" s="2254"/>
      <c r="B79" s="2231"/>
      <c r="C79" s="2265" t="s">
        <v>87</v>
      </c>
      <c r="D79" s="129" t="s">
        <v>22</v>
      </c>
      <c r="E79" s="130">
        <f>SUM(E80:E83)</f>
        <v>371952</v>
      </c>
      <c r="F79" s="130">
        <f>SUM(F80:F83)</f>
        <v>3121397</v>
      </c>
      <c r="G79" s="130">
        <f t="shared" ref="G79" si="12">SUM(G80:G82)</f>
        <v>0</v>
      </c>
      <c r="H79" s="130"/>
      <c r="I79" s="123">
        <f t="shared" si="11"/>
        <v>0</v>
      </c>
      <c r="J79" s="134"/>
      <c r="K79" s="134"/>
      <c r="L79" s="2246"/>
    </row>
    <row r="80" spans="1:12" s="226" customFormat="1">
      <c r="A80" s="2254"/>
      <c r="B80" s="2231"/>
      <c r="C80" s="2266"/>
      <c r="D80" s="131">
        <v>6050</v>
      </c>
      <c r="E80" s="132">
        <v>371952</v>
      </c>
      <c r="F80" s="132">
        <v>673696</v>
      </c>
      <c r="G80" s="132"/>
      <c r="H80" s="132"/>
      <c r="I80" s="127">
        <f t="shared" si="11"/>
        <v>0</v>
      </c>
      <c r="J80" s="126"/>
      <c r="K80" s="126"/>
      <c r="L80" s="2246"/>
    </row>
    <row r="81" spans="1:12">
      <c r="A81" s="2254"/>
      <c r="B81" s="2231"/>
      <c r="C81" s="2266"/>
      <c r="D81" s="131">
        <v>6057</v>
      </c>
      <c r="E81" s="132"/>
      <c r="F81" s="132">
        <v>2080545</v>
      </c>
      <c r="G81" s="126"/>
      <c r="H81" s="126"/>
      <c r="I81" s="127"/>
      <c r="J81" s="126"/>
      <c r="K81" s="126"/>
      <c r="L81" s="2246"/>
    </row>
    <row r="82" spans="1:12">
      <c r="A82" s="2254"/>
      <c r="B82" s="2231"/>
      <c r="C82" s="2266"/>
      <c r="D82" s="131">
        <v>6059</v>
      </c>
      <c r="E82" s="132"/>
      <c r="F82" s="132">
        <v>367156</v>
      </c>
      <c r="G82" s="126"/>
      <c r="H82" s="126"/>
      <c r="I82" s="127"/>
      <c r="J82" s="126"/>
      <c r="K82" s="126"/>
      <c r="L82" s="2246"/>
    </row>
    <row r="83" spans="1:12" hidden="1">
      <c r="A83" s="2254"/>
      <c r="B83" s="2231"/>
      <c r="C83" s="2267"/>
      <c r="D83" s="131">
        <v>6667</v>
      </c>
      <c r="E83" s="132"/>
      <c r="F83" s="132"/>
      <c r="G83" s="126"/>
      <c r="H83" s="126"/>
      <c r="I83" s="127"/>
      <c r="J83" s="126"/>
      <c r="K83" s="126"/>
      <c r="L83" s="2246"/>
    </row>
    <row r="84" spans="1:12" ht="15" customHeight="1">
      <c r="A84" s="2254"/>
      <c r="B84" s="2231"/>
      <c r="C84" s="120" t="s">
        <v>31</v>
      </c>
      <c r="D84" s="121"/>
      <c r="E84" s="122"/>
      <c r="F84" s="122"/>
      <c r="G84" s="134"/>
      <c r="H84" s="134"/>
      <c r="I84" s="123"/>
      <c r="J84" s="134"/>
      <c r="K84" s="134"/>
      <c r="L84" s="2246"/>
    </row>
    <row r="85" spans="1:12" ht="15.75" customHeight="1" thickBot="1">
      <c r="A85" s="2512"/>
      <c r="B85" s="2231"/>
      <c r="C85" s="120" t="s">
        <v>32</v>
      </c>
      <c r="D85" s="121"/>
      <c r="E85" s="122"/>
      <c r="F85" s="122"/>
      <c r="G85" s="118"/>
      <c r="H85" s="118"/>
      <c r="I85" s="123"/>
      <c r="J85" s="118"/>
      <c r="K85" s="118"/>
      <c r="L85" s="2246"/>
    </row>
    <row r="86" spans="1:12" s="110" customFormat="1" ht="22.5" customHeight="1" thickBot="1">
      <c r="A86" s="2515" t="s">
        <v>33</v>
      </c>
      <c r="B86" s="2516"/>
      <c r="C86" s="2516"/>
      <c r="D86" s="376"/>
      <c r="E86" s="377">
        <f>SUM(E62,E22,E6)</f>
        <v>25915414</v>
      </c>
      <c r="F86" s="377">
        <f>SUM(F62,F22,F6)</f>
        <v>19027069</v>
      </c>
      <c r="G86" s="377" t="e">
        <f>SUM(G62,G22)</f>
        <v>#REF!</v>
      </c>
      <c r="H86" s="377">
        <f>SUM(H62,H22,H6)</f>
        <v>20712601</v>
      </c>
      <c r="I86" s="378">
        <f>H86/E86</f>
        <v>0.79923866931085874</v>
      </c>
      <c r="J86" s="377">
        <f>SUM(J62,J22,J6)</f>
        <v>3450000</v>
      </c>
      <c r="K86" s="377">
        <f>SUM(K62,K22,K6)</f>
        <v>24162601</v>
      </c>
      <c r="L86" s="379"/>
    </row>
    <row r="136" spans="9:9">
      <c r="I136" s="248" t="e">
        <f>H136/E136</f>
        <v>#DIV/0!</v>
      </c>
    </row>
    <row r="137" spans="9:9">
      <c r="I137" s="101" t="e">
        <f>H137/E137</f>
        <v>#DIV/0!</v>
      </c>
    </row>
  </sheetData>
  <mergeCells count="32">
    <mergeCell ref="L63:L85"/>
    <mergeCell ref="A23:A41"/>
    <mergeCell ref="A86:C86"/>
    <mergeCell ref="L7:L21"/>
    <mergeCell ref="C49:C54"/>
    <mergeCell ref="C55:C59"/>
    <mergeCell ref="C42:C45"/>
    <mergeCell ref="B23:B41"/>
    <mergeCell ref="B42:B61"/>
    <mergeCell ref="L23:L41"/>
    <mergeCell ref="L42:L61"/>
    <mergeCell ref="A1:L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5:C5"/>
    <mergeCell ref="C27:C39"/>
    <mergeCell ref="A7:A21"/>
    <mergeCell ref="A63:A85"/>
    <mergeCell ref="C74:C78"/>
    <mergeCell ref="C79:C83"/>
    <mergeCell ref="A42:A61"/>
    <mergeCell ref="B7:B21"/>
    <mergeCell ref="B63:B85"/>
  </mergeCells>
  <printOptions horizontalCentered="1"/>
  <pageMargins left="0.27559055118110237" right="0.23622047244094491" top="0.59055118110236227" bottom="0.39370078740157483" header="0.51181102362204722" footer="0"/>
  <pageSetup paperSize="9" scale="70" fitToWidth="0" fitToHeight="0" orientation="landscape" horizontalDpi="4294967295" verticalDpi="4294967295" r:id="rId1"/>
  <headerFooter alignWithMargins="0"/>
  <rowBreaks count="2" manualBreakCount="2">
    <brk id="41" max="11" man="1"/>
    <brk id="78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FFFF"/>
  </sheetPr>
  <dimension ref="A1:L158"/>
  <sheetViews>
    <sheetView view="pageBreakPreview" zoomScaleSheetLayoutView="100" workbookViewId="0">
      <pane ySplit="5" topLeftCell="A6" activePane="bottomLeft" state="frozen"/>
      <selection activeCell="L62" sqref="L62"/>
      <selection pane="bottomLeft" activeCell="O5" sqref="O5"/>
    </sheetView>
  </sheetViews>
  <sheetFormatPr defaultRowHeight="12.75"/>
  <cols>
    <col min="1" max="1" width="4" style="178" customWidth="1"/>
    <col min="2" max="2" width="5.42578125" style="178" customWidth="1"/>
    <col min="3" max="3" width="41.85546875" style="178" customWidth="1"/>
    <col min="4" max="4" width="7.140625" style="178" customWidth="1"/>
    <col min="5" max="5" width="12.85546875" style="178" customWidth="1"/>
    <col min="6" max="6" width="12.140625" style="178" customWidth="1"/>
    <col min="7" max="7" width="21.7109375" style="178" hidden="1" customWidth="1"/>
    <col min="8" max="8" width="12.140625" style="178" hidden="1" customWidth="1"/>
    <col min="9" max="9" width="8.5703125" style="178" hidden="1" customWidth="1"/>
    <col min="10" max="10" width="9.5703125" style="178" hidden="1" customWidth="1"/>
    <col min="11" max="11" width="11.85546875" style="178" customWidth="1"/>
    <col min="12" max="12" width="74.7109375" style="178" customWidth="1"/>
    <col min="13" max="238" width="9.140625" style="178"/>
    <col min="239" max="239" width="4.28515625" style="178" bestFit="1" customWidth="1"/>
    <col min="240" max="240" width="6.85546875" style="178" bestFit="1" customWidth="1"/>
    <col min="241" max="241" width="11" style="178" customWidth="1"/>
    <col min="242" max="242" width="11.140625" style="178" bestFit="1" customWidth="1"/>
    <col min="243" max="243" width="10.85546875" style="178" customWidth="1"/>
    <col min="244" max="244" width="11.5703125" style="178" customWidth="1"/>
    <col min="245" max="245" width="11.140625" style="178" bestFit="1" customWidth="1"/>
    <col min="246" max="246" width="11" style="178" customWidth="1"/>
    <col min="247" max="247" width="10.42578125" style="178" customWidth="1"/>
    <col min="248" max="248" width="11.28515625" style="178" customWidth="1"/>
    <col min="249" max="250" width="9.140625" style="178" bestFit="1" customWidth="1"/>
    <col min="251" max="252" width="11.140625" style="178" bestFit="1" customWidth="1"/>
    <col min="253" max="253" width="11.5703125" style="178" bestFit="1" customWidth="1"/>
    <col min="254" max="254" width="9.140625" style="178" bestFit="1" customWidth="1"/>
    <col min="255" max="255" width="10.28515625" style="178" customWidth="1"/>
    <col min="256" max="494" width="9.140625" style="178"/>
    <col min="495" max="495" width="4.28515625" style="178" bestFit="1" customWidth="1"/>
    <col min="496" max="496" width="6.85546875" style="178" bestFit="1" customWidth="1"/>
    <col min="497" max="497" width="11" style="178" customWidth="1"/>
    <col min="498" max="498" width="11.140625" style="178" bestFit="1" customWidth="1"/>
    <col min="499" max="499" width="10.85546875" style="178" customWidth="1"/>
    <col min="500" max="500" width="11.5703125" style="178" customWidth="1"/>
    <col min="501" max="501" width="11.140625" style="178" bestFit="1" customWidth="1"/>
    <col min="502" max="502" width="11" style="178" customWidth="1"/>
    <col min="503" max="503" width="10.42578125" style="178" customWidth="1"/>
    <col min="504" max="504" width="11.28515625" style="178" customWidth="1"/>
    <col min="505" max="506" width="9.140625" style="178" bestFit="1" customWidth="1"/>
    <col min="507" max="508" width="11.140625" style="178" bestFit="1" customWidth="1"/>
    <col min="509" max="509" width="11.5703125" style="178" bestFit="1" customWidth="1"/>
    <col min="510" max="510" width="9.140625" style="178" bestFit="1" customWidth="1"/>
    <col min="511" max="511" width="10.28515625" style="178" customWidth="1"/>
    <col min="512" max="750" width="9.140625" style="178"/>
    <col min="751" max="751" width="4.28515625" style="178" bestFit="1" customWidth="1"/>
    <col min="752" max="752" width="6.85546875" style="178" bestFit="1" customWidth="1"/>
    <col min="753" max="753" width="11" style="178" customWidth="1"/>
    <col min="754" max="754" width="11.140625" style="178" bestFit="1" customWidth="1"/>
    <col min="755" max="755" width="10.85546875" style="178" customWidth="1"/>
    <col min="756" max="756" width="11.5703125" style="178" customWidth="1"/>
    <col min="757" max="757" width="11.140625" style="178" bestFit="1" customWidth="1"/>
    <col min="758" max="758" width="11" style="178" customWidth="1"/>
    <col min="759" max="759" width="10.42578125" style="178" customWidth="1"/>
    <col min="760" max="760" width="11.28515625" style="178" customWidth="1"/>
    <col min="761" max="762" width="9.140625" style="178" bestFit="1" customWidth="1"/>
    <col min="763" max="764" width="11.140625" style="178" bestFit="1" customWidth="1"/>
    <col min="765" max="765" width="11.5703125" style="178" bestFit="1" customWidth="1"/>
    <col min="766" max="766" width="9.140625" style="178" bestFit="1" customWidth="1"/>
    <col min="767" max="767" width="10.28515625" style="178" customWidth="1"/>
    <col min="768" max="1006" width="9.140625" style="178"/>
    <col min="1007" max="1007" width="4.28515625" style="178" bestFit="1" customWidth="1"/>
    <col min="1008" max="1008" width="6.85546875" style="178" bestFit="1" customWidth="1"/>
    <col min="1009" max="1009" width="11" style="178" customWidth="1"/>
    <col min="1010" max="1010" width="11.140625" style="178" bestFit="1" customWidth="1"/>
    <col min="1011" max="1011" width="10.85546875" style="178" customWidth="1"/>
    <col min="1012" max="1012" width="11.5703125" style="178" customWidth="1"/>
    <col min="1013" max="1013" width="11.140625" style="178" bestFit="1" customWidth="1"/>
    <col min="1014" max="1014" width="11" style="178" customWidth="1"/>
    <col min="1015" max="1015" width="10.42578125" style="178" customWidth="1"/>
    <col min="1016" max="1016" width="11.28515625" style="178" customWidth="1"/>
    <col min="1017" max="1018" width="9.140625" style="178" bestFit="1" customWidth="1"/>
    <col min="1019" max="1020" width="11.140625" style="178" bestFit="1" customWidth="1"/>
    <col min="1021" max="1021" width="11.5703125" style="178" bestFit="1" customWidth="1"/>
    <col min="1022" max="1022" width="9.140625" style="178" bestFit="1" customWidth="1"/>
    <col min="1023" max="1023" width="10.28515625" style="178" customWidth="1"/>
    <col min="1024" max="1262" width="9.140625" style="178"/>
    <col min="1263" max="1263" width="4.28515625" style="178" bestFit="1" customWidth="1"/>
    <col min="1264" max="1264" width="6.85546875" style="178" bestFit="1" customWidth="1"/>
    <col min="1265" max="1265" width="11" style="178" customWidth="1"/>
    <col min="1266" max="1266" width="11.140625" style="178" bestFit="1" customWidth="1"/>
    <col min="1267" max="1267" width="10.85546875" style="178" customWidth="1"/>
    <col min="1268" max="1268" width="11.5703125" style="178" customWidth="1"/>
    <col min="1269" max="1269" width="11.140625" style="178" bestFit="1" customWidth="1"/>
    <col min="1270" max="1270" width="11" style="178" customWidth="1"/>
    <col min="1271" max="1271" width="10.42578125" style="178" customWidth="1"/>
    <col min="1272" max="1272" width="11.28515625" style="178" customWidth="1"/>
    <col min="1273" max="1274" width="9.140625" style="178" bestFit="1" customWidth="1"/>
    <col min="1275" max="1276" width="11.140625" style="178" bestFit="1" customWidth="1"/>
    <col min="1277" max="1277" width="11.5703125" style="178" bestFit="1" customWidth="1"/>
    <col min="1278" max="1278" width="9.140625" style="178" bestFit="1" customWidth="1"/>
    <col min="1279" max="1279" width="10.28515625" style="178" customWidth="1"/>
    <col min="1280" max="1518" width="9.140625" style="178"/>
    <col min="1519" max="1519" width="4.28515625" style="178" bestFit="1" customWidth="1"/>
    <col min="1520" max="1520" width="6.85546875" style="178" bestFit="1" customWidth="1"/>
    <col min="1521" max="1521" width="11" style="178" customWidth="1"/>
    <col min="1522" max="1522" width="11.140625" style="178" bestFit="1" customWidth="1"/>
    <col min="1523" max="1523" width="10.85546875" style="178" customWidth="1"/>
    <col min="1524" max="1524" width="11.5703125" style="178" customWidth="1"/>
    <col min="1525" max="1525" width="11.140625" style="178" bestFit="1" customWidth="1"/>
    <col min="1526" max="1526" width="11" style="178" customWidth="1"/>
    <col min="1527" max="1527" width="10.42578125" style="178" customWidth="1"/>
    <col min="1528" max="1528" width="11.28515625" style="178" customWidth="1"/>
    <col min="1529" max="1530" width="9.140625" style="178" bestFit="1" customWidth="1"/>
    <col min="1531" max="1532" width="11.140625" style="178" bestFit="1" customWidth="1"/>
    <col min="1533" max="1533" width="11.5703125" style="178" bestFit="1" customWidth="1"/>
    <col min="1534" max="1534" width="9.140625" style="178" bestFit="1" customWidth="1"/>
    <col min="1535" max="1535" width="10.28515625" style="178" customWidth="1"/>
    <col min="1536" max="1774" width="9.140625" style="178"/>
    <col min="1775" max="1775" width="4.28515625" style="178" bestFit="1" customWidth="1"/>
    <col min="1776" max="1776" width="6.85546875" style="178" bestFit="1" customWidth="1"/>
    <col min="1777" max="1777" width="11" style="178" customWidth="1"/>
    <col min="1778" max="1778" width="11.140625" style="178" bestFit="1" customWidth="1"/>
    <col min="1779" max="1779" width="10.85546875" style="178" customWidth="1"/>
    <col min="1780" max="1780" width="11.5703125" style="178" customWidth="1"/>
    <col min="1781" max="1781" width="11.140625" style="178" bestFit="1" customWidth="1"/>
    <col min="1782" max="1782" width="11" style="178" customWidth="1"/>
    <col min="1783" max="1783" width="10.42578125" style="178" customWidth="1"/>
    <col min="1784" max="1784" width="11.28515625" style="178" customWidth="1"/>
    <col min="1785" max="1786" width="9.140625" style="178" bestFit="1" customWidth="1"/>
    <col min="1787" max="1788" width="11.140625" style="178" bestFit="1" customWidth="1"/>
    <col min="1789" max="1789" width="11.5703125" style="178" bestFit="1" customWidth="1"/>
    <col min="1790" max="1790" width="9.140625" style="178" bestFit="1" customWidth="1"/>
    <col min="1791" max="1791" width="10.28515625" style="178" customWidth="1"/>
    <col min="1792" max="2030" width="9.140625" style="178"/>
    <col min="2031" max="2031" width="4.28515625" style="178" bestFit="1" customWidth="1"/>
    <col min="2032" max="2032" width="6.85546875" style="178" bestFit="1" customWidth="1"/>
    <col min="2033" max="2033" width="11" style="178" customWidth="1"/>
    <col min="2034" max="2034" width="11.140625" style="178" bestFit="1" customWidth="1"/>
    <col min="2035" max="2035" width="10.85546875" style="178" customWidth="1"/>
    <col min="2036" max="2036" width="11.5703125" style="178" customWidth="1"/>
    <col min="2037" max="2037" width="11.140625" style="178" bestFit="1" customWidth="1"/>
    <col min="2038" max="2038" width="11" style="178" customWidth="1"/>
    <col min="2039" max="2039" width="10.42578125" style="178" customWidth="1"/>
    <col min="2040" max="2040" width="11.28515625" style="178" customWidth="1"/>
    <col min="2041" max="2042" width="9.140625" style="178" bestFit="1" customWidth="1"/>
    <col min="2043" max="2044" width="11.140625" style="178" bestFit="1" customWidth="1"/>
    <col min="2045" max="2045" width="11.5703125" style="178" bestFit="1" customWidth="1"/>
    <col min="2046" max="2046" width="9.140625" style="178" bestFit="1" customWidth="1"/>
    <col min="2047" max="2047" width="10.28515625" style="178" customWidth="1"/>
    <col min="2048" max="2286" width="9.140625" style="178"/>
    <col min="2287" max="2287" width="4.28515625" style="178" bestFit="1" customWidth="1"/>
    <col min="2288" max="2288" width="6.85546875" style="178" bestFit="1" customWidth="1"/>
    <col min="2289" max="2289" width="11" style="178" customWidth="1"/>
    <col min="2290" max="2290" width="11.140625" style="178" bestFit="1" customWidth="1"/>
    <col min="2291" max="2291" width="10.85546875" style="178" customWidth="1"/>
    <col min="2292" max="2292" width="11.5703125" style="178" customWidth="1"/>
    <col min="2293" max="2293" width="11.140625" style="178" bestFit="1" customWidth="1"/>
    <col min="2294" max="2294" width="11" style="178" customWidth="1"/>
    <col min="2295" max="2295" width="10.42578125" style="178" customWidth="1"/>
    <col min="2296" max="2296" width="11.28515625" style="178" customWidth="1"/>
    <col min="2297" max="2298" width="9.140625" style="178" bestFit="1" customWidth="1"/>
    <col min="2299" max="2300" width="11.140625" style="178" bestFit="1" customWidth="1"/>
    <col min="2301" max="2301" width="11.5703125" style="178" bestFit="1" customWidth="1"/>
    <col min="2302" max="2302" width="9.140625" style="178" bestFit="1" customWidth="1"/>
    <col min="2303" max="2303" width="10.28515625" style="178" customWidth="1"/>
    <col min="2304" max="2542" width="9.140625" style="178"/>
    <col min="2543" max="2543" width="4.28515625" style="178" bestFit="1" customWidth="1"/>
    <col min="2544" max="2544" width="6.85546875" style="178" bestFit="1" customWidth="1"/>
    <col min="2545" max="2545" width="11" style="178" customWidth="1"/>
    <col min="2546" max="2546" width="11.140625" style="178" bestFit="1" customWidth="1"/>
    <col min="2547" max="2547" width="10.85546875" style="178" customWidth="1"/>
    <col min="2548" max="2548" width="11.5703125" style="178" customWidth="1"/>
    <col min="2549" max="2549" width="11.140625" style="178" bestFit="1" customWidth="1"/>
    <col min="2550" max="2550" width="11" style="178" customWidth="1"/>
    <col min="2551" max="2551" width="10.42578125" style="178" customWidth="1"/>
    <col min="2552" max="2552" width="11.28515625" style="178" customWidth="1"/>
    <col min="2553" max="2554" width="9.140625" style="178" bestFit="1" customWidth="1"/>
    <col min="2555" max="2556" width="11.140625" style="178" bestFit="1" customWidth="1"/>
    <col min="2557" max="2557" width="11.5703125" style="178" bestFit="1" customWidth="1"/>
    <col min="2558" max="2558" width="9.140625" style="178" bestFit="1" customWidth="1"/>
    <col min="2559" max="2559" width="10.28515625" style="178" customWidth="1"/>
    <col min="2560" max="2798" width="9.140625" style="178"/>
    <col min="2799" max="2799" width="4.28515625" style="178" bestFit="1" customWidth="1"/>
    <col min="2800" max="2800" width="6.85546875" style="178" bestFit="1" customWidth="1"/>
    <col min="2801" max="2801" width="11" style="178" customWidth="1"/>
    <col min="2802" max="2802" width="11.140625" style="178" bestFit="1" customWidth="1"/>
    <col min="2803" max="2803" width="10.85546875" style="178" customWidth="1"/>
    <col min="2804" max="2804" width="11.5703125" style="178" customWidth="1"/>
    <col min="2805" max="2805" width="11.140625" style="178" bestFit="1" customWidth="1"/>
    <col min="2806" max="2806" width="11" style="178" customWidth="1"/>
    <col min="2807" max="2807" width="10.42578125" style="178" customWidth="1"/>
    <col min="2808" max="2808" width="11.28515625" style="178" customWidth="1"/>
    <col min="2809" max="2810" width="9.140625" style="178" bestFit="1" customWidth="1"/>
    <col min="2811" max="2812" width="11.140625" style="178" bestFit="1" customWidth="1"/>
    <col min="2813" max="2813" width="11.5703125" style="178" bestFit="1" customWidth="1"/>
    <col min="2814" max="2814" width="9.140625" style="178" bestFit="1" customWidth="1"/>
    <col min="2815" max="2815" width="10.28515625" style="178" customWidth="1"/>
    <col min="2816" max="3054" width="9.140625" style="178"/>
    <col min="3055" max="3055" width="4.28515625" style="178" bestFit="1" customWidth="1"/>
    <col min="3056" max="3056" width="6.85546875" style="178" bestFit="1" customWidth="1"/>
    <col min="3057" max="3057" width="11" style="178" customWidth="1"/>
    <col min="3058" max="3058" width="11.140625" style="178" bestFit="1" customWidth="1"/>
    <col min="3059" max="3059" width="10.85546875" style="178" customWidth="1"/>
    <col min="3060" max="3060" width="11.5703125" style="178" customWidth="1"/>
    <col min="3061" max="3061" width="11.140625" style="178" bestFit="1" customWidth="1"/>
    <col min="3062" max="3062" width="11" style="178" customWidth="1"/>
    <col min="3063" max="3063" width="10.42578125" style="178" customWidth="1"/>
    <col min="3064" max="3064" width="11.28515625" style="178" customWidth="1"/>
    <col min="3065" max="3066" width="9.140625" style="178" bestFit="1" customWidth="1"/>
    <col min="3067" max="3068" width="11.140625" style="178" bestFit="1" customWidth="1"/>
    <col min="3069" max="3069" width="11.5703125" style="178" bestFit="1" customWidth="1"/>
    <col min="3070" max="3070" width="9.140625" style="178" bestFit="1" customWidth="1"/>
    <col min="3071" max="3071" width="10.28515625" style="178" customWidth="1"/>
    <col min="3072" max="3310" width="9.140625" style="178"/>
    <col min="3311" max="3311" width="4.28515625" style="178" bestFit="1" customWidth="1"/>
    <col min="3312" max="3312" width="6.85546875" style="178" bestFit="1" customWidth="1"/>
    <col min="3313" max="3313" width="11" style="178" customWidth="1"/>
    <col min="3314" max="3314" width="11.140625" style="178" bestFit="1" customWidth="1"/>
    <col min="3315" max="3315" width="10.85546875" style="178" customWidth="1"/>
    <col min="3316" max="3316" width="11.5703125" style="178" customWidth="1"/>
    <col min="3317" max="3317" width="11.140625" style="178" bestFit="1" customWidth="1"/>
    <col min="3318" max="3318" width="11" style="178" customWidth="1"/>
    <col min="3319" max="3319" width="10.42578125" style="178" customWidth="1"/>
    <col min="3320" max="3320" width="11.28515625" style="178" customWidth="1"/>
    <col min="3321" max="3322" width="9.140625" style="178" bestFit="1" customWidth="1"/>
    <col min="3323" max="3324" width="11.140625" style="178" bestFit="1" customWidth="1"/>
    <col min="3325" max="3325" width="11.5703125" style="178" bestFit="1" customWidth="1"/>
    <col min="3326" max="3326" width="9.140625" style="178" bestFit="1" customWidth="1"/>
    <col min="3327" max="3327" width="10.28515625" style="178" customWidth="1"/>
    <col min="3328" max="3566" width="9.140625" style="178"/>
    <col min="3567" max="3567" width="4.28515625" style="178" bestFit="1" customWidth="1"/>
    <col min="3568" max="3568" width="6.85546875" style="178" bestFit="1" customWidth="1"/>
    <col min="3569" max="3569" width="11" style="178" customWidth="1"/>
    <col min="3570" max="3570" width="11.140625" style="178" bestFit="1" customWidth="1"/>
    <col min="3571" max="3571" width="10.85546875" style="178" customWidth="1"/>
    <col min="3572" max="3572" width="11.5703125" style="178" customWidth="1"/>
    <col min="3573" max="3573" width="11.140625" style="178" bestFit="1" customWidth="1"/>
    <col min="3574" max="3574" width="11" style="178" customWidth="1"/>
    <col min="3575" max="3575" width="10.42578125" style="178" customWidth="1"/>
    <col min="3576" max="3576" width="11.28515625" style="178" customWidth="1"/>
    <col min="3577" max="3578" width="9.140625" style="178" bestFit="1" customWidth="1"/>
    <col min="3579" max="3580" width="11.140625" style="178" bestFit="1" customWidth="1"/>
    <col min="3581" max="3581" width="11.5703125" style="178" bestFit="1" customWidth="1"/>
    <col min="3582" max="3582" width="9.140625" style="178" bestFit="1" customWidth="1"/>
    <col min="3583" max="3583" width="10.28515625" style="178" customWidth="1"/>
    <col min="3584" max="3822" width="9.140625" style="178"/>
    <col min="3823" max="3823" width="4.28515625" style="178" bestFit="1" customWidth="1"/>
    <col min="3824" max="3824" width="6.85546875" style="178" bestFit="1" customWidth="1"/>
    <col min="3825" max="3825" width="11" style="178" customWidth="1"/>
    <col min="3826" max="3826" width="11.140625" style="178" bestFit="1" customWidth="1"/>
    <col min="3827" max="3827" width="10.85546875" style="178" customWidth="1"/>
    <col min="3828" max="3828" width="11.5703125" style="178" customWidth="1"/>
    <col min="3829" max="3829" width="11.140625" style="178" bestFit="1" customWidth="1"/>
    <col min="3830" max="3830" width="11" style="178" customWidth="1"/>
    <col min="3831" max="3831" width="10.42578125" style="178" customWidth="1"/>
    <col min="3832" max="3832" width="11.28515625" style="178" customWidth="1"/>
    <col min="3833" max="3834" width="9.140625" style="178" bestFit="1" customWidth="1"/>
    <col min="3835" max="3836" width="11.140625" style="178" bestFit="1" customWidth="1"/>
    <col min="3837" max="3837" width="11.5703125" style="178" bestFit="1" customWidth="1"/>
    <col min="3838" max="3838" width="9.140625" style="178" bestFit="1" customWidth="1"/>
    <col min="3839" max="3839" width="10.28515625" style="178" customWidth="1"/>
    <col min="3840" max="4078" width="9.140625" style="178"/>
    <col min="4079" max="4079" width="4.28515625" style="178" bestFit="1" customWidth="1"/>
    <col min="4080" max="4080" width="6.85546875" style="178" bestFit="1" customWidth="1"/>
    <col min="4081" max="4081" width="11" style="178" customWidth="1"/>
    <col min="4082" max="4082" width="11.140625" style="178" bestFit="1" customWidth="1"/>
    <col min="4083" max="4083" width="10.85546875" style="178" customWidth="1"/>
    <col min="4084" max="4084" width="11.5703125" style="178" customWidth="1"/>
    <col min="4085" max="4085" width="11.140625" style="178" bestFit="1" customWidth="1"/>
    <col min="4086" max="4086" width="11" style="178" customWidth="1"/>
    <col min="4087" max="4087" width="10.42578125" style="178" customWidth="1"/>
    <col min="4088" max="4088" width="11.28515625" style="178" customWidth="1"/>
    <col min="4089" max="4090" width="9.140625" style="178" bestFit="1" customWidth="1"/>
    <col min="4091" max="4092" width="11.140625" style="178" bestFit="1" customWidth="1"/>
    <col min="4093" max="4093" width="11.5703125" style="178" bestFit="1" customWidth="1"/>
    <col min="4094" max="4094" width="9.140625" style="178" bestFit="1" customWidth="1"/>
    <col min="4095" max="4095" width="10.28515625" style="178" customWidth="1"/>
    <col min="4096" max="4334" width="9.140625" style="178"/>
    <col min="4335" max="4335" width="4.28515625" style="178" bestFit="1" customWidth="1"/>
    <col min="4336" max="4336" width="6.85546875" style="178" bestFit="1" customWidth="1"/>
    <col min="4337" max="4337" width="11" style="178" customWidth="1"/>
    <col min="4338" max="4338" width="11.140625" style="178" bestFit="1" customWidth="1"/>
    <col min="4339" max="4339" width="10.85546875" style="178" customWidth="1"/>
    <col min="4340" max="4340" width="11.5703125" style="178" customWidth="1"/>
    <col min="4341" max="4341" width="11.140625" style="178" bestFit="1" customWidth="1"/>
    <col min="4342" max="4342" width="11" style="178" customWidth="1"/>
    <col min="4343" max="4343" width="10.42578125" style="178" customWidth="1"/>
    <col min="4344" max="4344" width="11.28515625" style="178" customWidth="1"/>
    <col min="4345" max="4346" width="9.140625" style="178" bestFit="1" customWidth="1"/>
    <col min="4347" max="4348" width="11.140625" style="178" bestFit="1" customWidth="1"/>
    <col min="4349" max="4349" width="11.5703125" style="178" bestFit="1" customWidth="1"/>
    <col min="4350" max="4350" width="9.140625" style="178" bestFit="1" customWidth="1"/>
    <col min="4351" max="4351" width="10.28515625" style="178" customWidth="1"/>
    <col min="4352" max="4590" width="9.140625" style="178"/>
    <col min="4591" max="4591" width="4.28515625" style="178" bestFit="1" customWidth="1"/>
    <col min="4592" max="4592" width="6.85546875" style="178" bestFit="1" customWidth="1"/>
    <col min="4593" max="4593" width="11" style="178" customWidth="1"/>
    <col min="4594" max="4594" width="11.140625" style="178" bestFit="1" customWidth="1"/>
    <col min="4595" max="4595" width="10.85546875" style="178" customWidth="1"/>
    <col min="4596" max="4596" width="11.5703125" style="178" customWidth="1"/>
    <col min="4597" max="4597" width="11.140625" style="178" bestFit="1" customWidth="1"/>
    <col min="4598" max="4598" width="11" style="178" customWidth="1"/>
    <col min="4599" max="4599" width="10.42578125" style="178" customWidth="1"/>
    <col min="4600" max="4600" width="11.28515625" style="178" customWidth="1"/>
    <col min="4601" max="4602" width="9.140625" style="178" bestFit="1" customWidth="1"/>
    <col min="4603" max="4604" width="11.140625" style="178" bestFit="1" customWidth="1"/>
    <col min="4605" max="4605" width="11.5703125" style="178" bestFit="1" customWidth="1"/>
    <col min="4606" max="4606" width="9.140625" style="178" bestFit="1" customWidth="1"/>
    <col min="4607" max="4607" width="10.28515625" style="178" customWidth="1"/>
    <col min="4608" max="4846" width="9.140625" style="178"/>
    <col min="4847" max="4847" width="4.28515625" style="178" bestFit="1" customWidth="1"/>
    <col min="4848" max="4848" width="6.85546875" style="178" bestFit="1" customWidth="1"/>
    <col min="4849" max="4849" width="11" style="178" customWidth="1"/>
    <col min="4850" max="4850" width="11.140625" style="178" bestFit="1" customWidth="1"/>
    <col min="4851" max="4851" width="10.85546875" style="178" customWidth="1"/>
    <col min="4852" max="4852" width="11.5703125" style="178" customWidth="1"/>
    <col min="4853" max="4853" width="11.140625" style="178" bestFit="1" customWidth="1"/>
    <col min="4854" max="4854" width="11" style="178" customWidth="1"/>
    <col min="4855" max="4855" width="10.42578125" style="178" customWidth="1"/>
    <col min="4856" max="4856" width="11.28515625" style="178" customWidth="1"/>
    <col min="4857" max="4858" width="9.140625" style="178" bestFit="1" customWidth="1"/>
    <col min="4859" max="4860" width="11.140625" style="178" bestFit="1" customWidth="1"/>
    <col min="4861" max="4861" width="11.5703125" style="178" bestFit="1" customWidth="1"/>
    <col min="4862" max="4862" width="9.140625" style="178" bestFit="1" customWidth="1"/>
    <col min="4863" max="4863" width="10.28515625" style="178" customWidth="1"/>
    <col min="4864" max="5102" width="9.140625" style="178"/>
    <col min="5103" max="5103" width="4.28515625" style="178" bestFit="1" customWidth="1"/>
    <col min="5104" max="5104" width="6.85546875" style="178" bestFit="1" customWidth="1"/>
    <col min="5105" max="5105" width="11" style="178" customWidth="1"/>
    <col min="5106" max="5106" width="11.140625" style="178" bestFit="1" customWidth="1"/>
    <col min="5107" max="5107" width="10.85546875" style="178" customWidth="1"/>
    <col min="5108" max="5108" width="11.5703125" style="178" customWidth="1"/>
    <col min="5109" max="5109" width="11.140625" style="178" bestFit="1" customWidth="1"/>
    <col min="5110" max="5110" width="11" style="178" customWidth="1"/>
    <col min="5111" max="5111" width="10.42578125" style="178" customWidth="1"/>
    <col min="5112" max="5112" width="11.28515625" style="178" customWidth="1"/>
    <col min="5113" max="5114" width="9.140625" style="178" bestFit="1" customWidth="1"/>
    <col min="5115" max="5116" width="11.140625" style="178" bestFit="1" customWidth="1"/>
    <col min="5117" max="5117" width="11.5703125" style="178" bestFit="1" customWidth="1"/>
    <col min="5118" max="5118" width="9.140625" style="178" bestFit="1" customWidth="1"/>
    <col min="5119" max="5119" width="10.28515625" style="178" customWidth="1"/>
    <col min="5120" max="5358" width="9.140625" style="178"/>
    <col min="5359" max="5359" width="4.28515625" style="178" bestFit="1" customWidth="1"/>
    <col min="5360" max="5360" width="6.85546875" style="178" bestFit="1" customWidth="1"/>
    <col min="5361" max="5361" width="11" style="178" customWidth="1"/>
    <col min="5362" max="5362" width="11.140625" style="178" bestFit="1" customWidth="1"/>
    <col min="5363" max="5363" width="10.85546875" style="178" customWidth="1"/>
    <col min="5364" max="5364" width="11.5703125" style="178" customWidth="1"/>
    <col min="5365" max="5365" width="11.140625" style="178" bestFit="1" customWidth="1"/>
    <col min="5366" max="5366" width="11" style="178" customWidth="1"/>
    <col min="5367" max="5367" width="10.42578125" style="178" customWidth="1"/>
    <col min="5368" max="5368" width="11.28515625" style="178" customWidth="1"/>
    <col min="5369" max="5370" width="9.140625" style="178" bestFit="1" customWidth="1"/>
    <col min="5371" max="5372" width="11.140625" style="178" bestFit="1" customWidth="1"/>
    <col min="5373" max="5373" width="11.5703125" style="178" bestFit="1" customWidth="1"/>
    <col min="5374" max="5374" width="9.140625" style="178" bestFit="1" customWidth="1"/>
    <col min="5375" max="5375" width="10.28515625" style="178" customWidth="1"/>
    <col min="5376" max="5614" width="9.140625" style="178"/>
    <col min="5615" max="5615" width="4.28515625" style="178" bestFit="1" customWidth="1"/>
    <col min="5616" max="5616" width="6.85546875" style="178" bestFit="1" customWidth="1"/>
    <col min="5617" max="5617" width="11" style="178" customWidth="1"/>
    <col min="5618" max="5618" width="11.140625" style="178" bestFit="1" customWidth="1"/>
    <col min="5619" max="5619" width="10.85546875" style="178" customWidth="1"/>
    <col min="5620" max="5620" width="11.5703125" style="178" customWidth="1"/>
    <col min="5621" max="5621" width="11.140625" style="178" bestFit="1" customWidth="1"/>
    <col min="5622" max="5622" width="11" style="178" customWidth="1"/>
    <col min="5623" max="5623" width="10.42578125" style="178" customWidth="1"/>
    <col min="5624" max="5624" width="11.28515625" style="178" customWidth="1"/>
    <col min="5625" max="5626" width="9.140625" style="178" bestFit="1" customWidth="1"/>
    <col min="5627" max="5628" width="11.140625" style="178" bestFit="1" customWidth="1"/>
    <col min="5629" max="5629" width="11.5703125" style="178" bestFit="1" customWidth="1"/>
    <col min="5630" max="5630" width="9.140625" style="178" bestFit="1" customWidth="1"/>
    <col min="5631" max="5631" width="10.28515625" style="178" customWidth="1"/>
    <col min="5632" max="5870" width="9.140625" style="178"/>
    <col min="5871" max="5871" width="4.28515625" style="178" bestFit="1" customWidth="1"/>
    <col min="5872" max="5872" width="6.85546875" style="178" bestFit="1" customWidth="1"/>
    <col min="5873" max="5873" width="11" style="178" customWidth="1"/>
    <col min="5874" max="5874" width="11.140625" style="178" bestFit="1" customWidth="1"/>
    <col min="5875" max="5875" width="10.85546875" style="178" customWidth="1"/>
    <col min="5876" max="5876" width="11.5703125" style="178" customWidth="1"/>
    <col min="5877" max="5877" width="11.140625" style="178" bestFit="1" customWidth="1"/>
    <col min="5878" max="5878" width="11" style="178" customWidth="1"/>
    <col min="5879" max="5879" width="10.42578125" style="178" customWidth="1"/>
    <col min="5880" max="5880" width="11.28515625" style="178" customWidth="1"/>
    <col min="5881" max="5882" width="9.140625" style="178" bestFit="1" customWidth="1"/>
    <col min="5883" max="5884" width="11.140625" style="178" bestFit="1" customWidth="1"/>
    <col min="5885" max="5885" width="11.5703125" style="178" bestFit="1" customWidth="1"/>
    <col min="5886" max="5886" width="9.140625" style="178" bestFit="1" customWidth="1"/>
    <col min="5887" max="5887" width="10.28515625" style="178" customWidth="1"/>
    <col min="5888" max="6126" width="9.140625" style="178"/>
    <col min="6127" max="6127" width="4.28515625" style="178" bestFit="1" customWidth="1"/>
    <col min="6128" max="6128" width="6.85546875" style="178" bestFit="1" customWidth="1"/>
    <col min="6129" max="6129" width="11" style="178" customWidth="1"/>
    <col min="6130" max="6130" width="11.140625" style="178" bestFit="1" customWidth="1"/>
    <col min="6131" max="6131" width="10.85546875" style="178" customWidth="1"/>
    <col min="6132" max="6132" width="11.5703125" style="178" customWidth="1"/>
    <col min="6133" max="6133" width="11.140625" style="178" bestFit="1" customWidth="1"/>
    <col min="6134" max="6134" width="11" style="178" customWidth="1"/>
    <col min="6135" max="6135" width="10.42578125" style="178" customWidth="1"/>
    <col min="6136" max="6136" width="11.28515625" style="178" customWidth="1"/>
    <col min="6137" max="6138" width="9.140625" style="178" bestFit="1" customWidth="1"/>
    <col min="6139" max="6140" width="11.140625" style="178" bestFit="1" customWidth="1"/>
    <col min="6141" max="6141" width="11.5703125" style="178" bestFit="1" customWidth="1"/>
    <col min="6142" max="6142" width="9.140625" style="178" bestFit="1" customWidth="1"/>
    <col min="6143" max="6143" width="10.28515625" style="178" customWidth="1"/>
    <col min="6144" max="6382" width="9.140625" style="178"/>
    <col min="6383" max="6383" width="4.28515625" style="178" bestFit="1" customWidth="1"/>
    <col min="6384" max="6384" width="6.85546875" style="178" bestFit="1" customWidth="1"/>
    <col min="6385" max="6385" width="11" style="178" customWidth="1"/>
    <col min="6386" max="6386" width="11.140625" style="178" bestFit="1" customWidth="1"/>
    <col min="6387" max="6387" width="10.85546875" style="178" customWidth="1"/>
    <col min="6388" max="6388" width="11.5703125" style="178" customWidth="1"/>
    <col min="6389" max="6389" width="11.140625" style="178" bestFit="1" customWidth="1"/>
    <col min="6390" max="6390" width="11" style="178" customWidth="1"/>
    <col min="6391" max="6391" width="10.42578125" style="178" customWidth="1"/>
    <col min="6392" max="6392" width="11.28515625" style="178" customWidth="1"/>
    <col min="6393" max="6394" width="9.140625" style="178" bestFit="1" customWidth="1"/>
    <col min="6395" max="6396" width="11.140625" style="178" bestFit="1" customWidth="1"/>
    <col min="6397" max="6397" width="11.5703125" style="178" bestFit="1" customWidth="1"/>
    <col min="6398" max="6398" width="9.140625" style="178" bestFit="1" customWidth="1"/>
    <col min="6399" max="6399" width="10.28515625" style="178" customWidth="1"/>
    <col min="6400" max="6638" width="9.140625" style="178"/>
    <col min="6639" max="6639" width="4.28515625" style="178" bestFit="1" customWidth="1"/>
    <col min="6640" max="6640" width="6.85546875" style="178" bestFit="1" customWidth="1"/>
    <col min="6641" max="6641" width="11" style="178" customWidth="1"/>
    <col min="6642" max="6642" width="11.140625" style="178" bestFit="1" customWidth="1"/>
    <col min="6643" max="6643" width="10.85546875" style="178" customWidth="1"/>
    <col min="6644" max="6644" width="11.5703125" style="178" customWidth="1"/>
    <col min="6645" max="6645" width="11.140625" style="178" bestFit="1" customWidth="1"/>
    <col min="6646" max="6646" width="11" style="178" customWidth="1"/>
    <col min="6647" max="6647" width="10.42578125" style="178" customWidth="1"/>
    <col min="6648" max="6648" width="11.28515625" style="178" customWidth="1"/>
    <col min="6649" max="6650" width="9.140625" style="178" bestFit="1" customWidth="1"/>
    <col min="6651" max="6652" width="11.140625" style="178" bestFit="1" customWidth="1"/>
    <col min="6653" max="6653" width="11.5703125" style="178" bestFit="1" customWidth="1"/>
    <col min="6654" max="6654" width="9.140625" style="178" bestFit="1" customWidth="1"/>
    <col min="6655" max="6655" width="10.28515625" style="178" customWidth="1"/>
    <col min="6656" max="6894" width="9.140625" style="178"/>
    <col min="6895" max="6895" width="4.28515625" style="178" bestFit="1" customWidth="1"/>
    <col min="6896" max="6896" width="6.85546875" style="178" bestFit="1" customWidth="1"/>
    <col min="6897" max="6897" width="11" style="178" customWidth="1"/>
    <col min="6898" max="6898" width="11.140625" style="178" bestFit="1" customWidth="1"/>
    <col min="6899" max="6899" width="10.85546875" style="178" customWidth="1"/>
    <col min="6900" max="6900" width="11.5703125" style="178" customWidth="1"/>
    <col min="6901" max="6901" width="11.140625" style="178" bestFit="1" customWidth="1"/>
    <col min="6902" max="6902" width="11" style="178" customWidth="1"/>
    <col min="6903" max="6903" width="10.42578125" style="178" customWidth="1"/>
    <col min="6904" max="6904" width="11.28515625" style="178" customWidth="1"/>
    <col min="6905" max="6906" width="9.140625" style="178" bestFit="1" customWidth="1"/>
    <col min="6907" max="6908" width="11.140625" style="178" bestFit="1" customWidth="1"/>
    <col min="6909" max="6909" width="11.5703125" style="178" bestFit="1" customWidth="1"/>
    <col min="6910" max="6910" width="9.140625" style="178" bestFit="1" customWidth="1"/>
    <col min="6911" max="6911" width="10.28515625" style="178" customWidth="1"/>
    <col min="6912" max="7150" width="9.140625" style="178"/>
    <col min="7151" max="7151" width="4.28515625" style="178" bestFit="1" customWidth="1"/>
    <col min="7152" max="7152" width="6.85546875" style="178" bestFit="1" customWidth="1"/>
    <col min="7153" max="7153" width="11" style="178" customWidth="1"/>
    <col min="7154" max="7154" width="11.140625" style="178" bestFit="1" customWidth="1"/>
    <col min="7155" max="7155" width="10.85546875" style="178" customWidth="1"/>
    <col min="7156" max="7156" width="11.5703125" style="178" customWidth="1"/>
    <col min="7157" max="7157" width="11.140625" style="178" bestFit="1" customWidth="1"/>
    <col min="7158" max="7158" width="11" style="178" customWidth="1"/>
    <col min="7159" max="7159" width="10.42578125" style="178" customWidth="1"/>
    <col min="7160" max="7160" width="11.28515625" style="178" customWidth="1"/>
    <col min="7161" max="7162" width="9.140625" style="178" bestFit="1" customWidth="1"/>
    <col min="7163" max="7164" width="11.140625" style="178" bestFit="1" customWidth="1"/>
    <col min="7165" max="7165" width="11.5703125" style="178" bestFit="1" customWidth="1"/>
    <col min="7166" max="7166" width="9.140625" style="178" bestFit="1" customWidth="1"/>
    <col min="7167" max="7167" width="10.28515625" style="178" customWidth="1"/>
    <col min="7168" max="7406" width="9.140625" style="178"/>
    <col min="7407" max="7407" width="4.28515625" style="178" bestFit="1" customWidth="1"/>
    <col min="7408" max="7408" width="6.85546875" style="178" bestFit="1" customWidth="1"/>
    <col min="7409" max="7409" width="11" style="178" customWidth="1"/>
    <col min="7410" max="7410" width="11.140625" style="178" bestFit="1" customWidth="1"/>
    <col min="7411" max="7411" width="10.85546875" style="178" customWidth="1"/>
    <col min="7412" max="7412" width="11.5703125" style="178" customWidth="1"/>
    <col min="7413" max="7413" width="11.140625" style="178" bestFit="1" customWidth="1"/>
    <col min="7414" max="7414" width="11" style="178" customWidth="1"/>
    <col min="7415" max="7415" width="10.42578125" style="178" customWidth="1"/>
    <col min="7416" max="7416" width="11.28515625" style="178" customWidth="1"/>
    <col min="7417" max="7418" width="9.140625" style="178" bestFit="1" customWidth="1"/>
    <col min="7419" max="7420" width="11.140625" style="178" bestFit="1" customWidth="1"/>
    <col min="7421" max="7421" width="11.5703125" style="178" bestFit="1" customWidth="1"/>
    <col min="7422" max="7422" width="9.140625" style="178" bestFit="1" customWidth="1"/>
    <col min="7423" max="7423" width="10.28515625" style="178" customWidth="1"/>
    <col min="7424" max="7662" width="9.140625" style="178"/>
    <col min="7663" max="7663" width="4.28515625" style="178" bestFit="1" customWidth="1"/>
    <col min="7664" max="7664" width="6.85546875" style="178" bestFit="1" customWidth="1"/>
    <col min="7665" max="7665" width="11" style="178" customWidth="1"/>
    <col min="7666" max="7666" width="11.140625" style="178" bestFit="1" customWidth="1"/>
    <col min="7667" max="7667" width="10.85546875" style="178" customWidth="1"/>
    <col min="7668" max="7668" width="11.5703125" style="178" customWidth="1"/>
    <col min="7669" max="7669" width="11.140625" style="178" bestFit="1" customWidth="1"/>
    <col min="7670" max="7670" width="11" style="178" customWidth="1"/>
    <col min="7671" max="7671" width="10.42578125" style="178" customWidth="1"/>
    <col min="7672" max="7672" width="11.28515625" style="178" customWidth="1"/>
    <col min="7673" max="7674" width="9.140625" style="178" bestFit="1" customWidth="1"/>
    <col min="7675" max="7676" width="11.140625" style="178" bestFit="1" customWidth="1"/>
    <col min="7677" max="7677" width="11.5703125" style="178" bestFit="1" customWidth="1"/>
    <col min="7678" max="7678" width="9.140625" style="178" bestFit="1" customWidth="1"/>
    <col min="7679" max="7679" width="10.28515625" style="178" customWidth="1"/>
    <col min="7680" max="7918" width="9.140625" style="178"/>
    <col min="7919" max="7919" width="4.28515625" style="178" bestFit="1" customWidth="1"/>
    <col min="7920" max="7920" width="6.85546875" style="178" bestFit="1" customWidth="1"/>
    <col min="7921" max="7921" width="11" style="178" customWidth="1"/>
    <col min="7922" max="7922" width="11.140625" style="178" bestFit="1" customWidth="1"/>
    <col min="7923" max="7923" width="10.85546875" style="178" customWidth="1"/>
    <col min="7924" max="7924" width="11.5703125" style="178" customWidth="1"/>
    <col min="7925" max="7925" width="11.140625" style="178" bestFit="1" customWidth="1"/>
    <col min="7926" max="7926" width="11" style="178" customWidth="1"/>
    <col min="7927" max="7927" width="10.42578125" style="178" customWidth="1"/>
    <col min="7928" max="7928" width="11.28515625" style="178" customWidth="1"/>
    <col min="7929" max="7930" width="9.140625" style="178" bestFit="1" customWidth="1"/>
    <col min="7931" max="7932" width="11.140625" style="178" bestFit="1" customWidth="1"/>
    <col min="7933" max="7933" width="11.5703125" style="178" bestFit="1" customWidth="1"/>
    <col min="7934" max="7934" width="9.140625" style="178" bestFit="1" customWidth="1"/>
    <col min="7935" max="7935" width="10.28515625" style="178" customWidth="1"/>
    <col min="7936" max="8174" width="9.140625" style="178"/>
    <col min="8175" max="8175" width="4.28515625" style="178" bestFit="1" customWidth="1"/>
    <col min="8176" max="8176" width="6.85546875" style="178" bestFit="1" customWidth="1"/>
    <col min="8177" max="8177" width="11" style="178" customWidth="1"/>
    <col min="8178" max="8178" width="11.140625" style="178" bestFit="1" customWidth="1"/>
    <col min="8179" max="8179" width="10.85546875" style="178" customWidth="1"/>
    <col min="8180" max="8180" width="11.5703125" style="178" customWidth="1"/>
    <col min="8181" max="8181" width="11.140625" style="178" bestFit="1" customWidth="1"/>
    <col min="8182" max="8182" width="11" style="178" customWidth="1"/>
    <col min="8183" max="8183" width="10.42578125" style="178" customWidth="1"/>
    <col min="8184" max="8184" width="11.28515625" style="178" customWidth="1"/>
    <col min="8185" max="8186" width="9.140625" style="178" bestFit="1" customWidth="1"/>
    <col min="8187" max="8188" width="11.140625" style="178" bestFit="1" customWidth="1"/>
    <col min="8189" max="8189" width="11.5703125" style="178" bestFit="1" customWidth="1"/>
    <col min="8190" max="8190" width="9.140625" style="178" bestFit="1" customWidth="1"/>
    <col min="8191" max="8191" width="10.28515625" style="178" customWidth="1"/>
    <col min="8192" max="8430" width="9.140625" style="178"/>
    <col min="8431" max="8431" width="4.28515625" style="178" bestFit="1" customWidth="1"/>
    <col min="8432" max="8432" width="6.85546875" style="178" bestFit="1" customWidth="1"/>
    <col min="8433" max="8433" width="11" style="178" customWidth="1"/>
    <col min="8434" max="8434" width="11.140625" style="178" bestFit="1" customWidth="1"/>
    <col min="8435" max="8435" width="10.85546875" style="178" customWidth="1"/>
    <col min="8436" max="8436" width="11.5703125" style="178" customWidth="1"/>
    <col min="8437" max="8437" width="11.140625" style="178" bestFit="1" customWidth="1"/>
    <col min="8438" max="8438" width="11" style="178" customWidth="1"/>
    <col min="8439" max="8439" width="10.42578125" style="178" customWidth="1"/>
    <col min="8440" max="8440" width="11.28515625" style="178" customWidth="1"/>
    <col min="8441" max="8442" width="9.140625" style="178" bestFit="1" customWidth="1"/>
    <col min="8443" max="8444" width="11.140625" style="178" bestFit="1" customWidth="1"/>
    <col min="8445" max="8445" width="11.5703125" style="178" bestFit="1" customWidth="1"/>
    <col min="8446" max="8446" width="9.140625" style="178" bestFit="1" customWidth="1"/>
    <col min="8447" max="8447" width="10.28515625" style="178" customWidth="1"/>
    <col min="8448" max="8686" width="9.140625" style="178"/>
    <col min="8687" max="8687" width="4.28515625" style="178" bestFit="1" customWidth="1"/>
    <col min="8688" max="8688" width="6.85546875" style="178" bestFit="1" customWidth="1"/>
    <col min="8689" max="8689" width="11" style="178" customWidth="1"/>
    <col min="8690" max="8690" width="11.140625" style="178" bestFit="1" customWidth="1"/>
    <col min="8691" max="8691" width="10.85546875" style="178" customWidth="1"/>
    <col min="8692" max="8692" width="11.5703125" style="178" customWidth="1"/>
    <col min="8693" max="8693" width="11.140625" style="178" bestFit="1" customWidth="1"/>
    <col min="8694" max="8694" width="11" style="178" customWidth="1"/>
    <col min="8695" max="8695" width="10.42578125" style="178" customWidth="1"/>
    <col min="8696" max="8696" width="11.28515625" style="178" customWidth="1"/>
    <col min="8697" max="8698" width="9.140625" style="178" bestFit="1" customWidth="1"/>
    <col min="8699" max="8700" width="11.140625" style="178" bestFit="1" customWidth="1"/>
    <col min="8701" max="8701" width="11.5703125" style="178" bestFit="1" customWidth="1"/>
    <col min="8702" max="8702" width="9.140625" style="178" bestFit="1" customWidth="1"/>
    <col min="8703" max="8703" width="10.28515625" style="178" customWidth="1"/>
    <col min="8704" max="8942" width="9.140625" style="178"/>
    <col min="8943" max="8943" width="4.28515625" style="178" bestFit="1" customWidth="1"/>
    <col min="8944" max="8944" width="6.85546875" style="178" bestFit="1" customWidth="1"/>
    <col min="8945" max="8945" width="11" style="178" customWidth="1"/>
    <col min="8946" max="8946" width="11.140625" style="178" bestFit="1" customWidth="1"/>
    <col min="8947" max="8947" width="10.85546875" style="178" customWidth="1"/>
    <col min="8948" max="8948" width="11.5703125" style="178" customWidth="1"/>
    <col min="8949" max="8949" width="11.140625" style="178" bestFit="1" customWidth="1"/>
    <col min="8950" max="8950" width="11" style="178" customWidth="1"/>
    <col min="8951" max="8951" width="10.42578125" style="178" customWidth="1"/>
    <col min="8952" max="8952" width="11.28515625" style="178" customWidth="1"/>
    <col min="8953" max="8954" width="9.140625" style="178" bestFit="1" customWidth="1"/>
    <col min="8955" max="8956" width="11.140625" style="178" bestFit="1" customWidth="1"/>
    <col min="8957" max="8957" width="11.5703125" style="178" bestFit="1" customWidth="1"/>
    <col min="8958" max="8958" width="9.140625" style="178" bestFit="1" customWidth="1"/>
    <col min="8959" max="8959" width="10.28515625" style="178" customWidth="1"/>
    <col min="8960" max="9198" width="9.140625" style="178"/>
    <col min="9199" max="9199" width="4.28515625" style="178" bestFit="1" customWidth="1"/>
    <col min="9200" max="9200" width="6.85546875" style="178" bestFit="1" customWidth="1"/>
    <col min="9201" max="9201" width="11" style="178" customWidth="1"/>
    <col min="9202" max="9202" width="11.140625" style="178" bestFit="1" customWidth="1"/>
    <col min="9203" max="9203" width="10.85546875" style="178" customWidth="1"/>
    <col min="9204" max="9204" width="11.5703125" style="178" customWidth="1"/>
    <col min="9205" max="9205" width="11.140625" style="178" bestFit="1" customWidth="1"/>
    <col min="9206" max="9206" width="11" style="178" customWidth="1"/>
    <col min="9207" max="9207" width="10.42578125" style="178" customWidth="1"/>
    <col min="9208" max="9208" width="11.28515625" style="178" customWidth="1"/>
    <col min="9209" max="9210" width="9.140625" style="178" bestFit="1" customWidth="1"/>
    <col min="9211" max="9212" width="11.140625" style="178" bestFit="1" customWidth="1"/>
    <col min="9213" max="9213" width="11.5703125" style="178" bestFit="1" customWidth="1"/>
    <col min="9214" max="9214" width="9.140625" style="178" bestFit="1" customWidth="1"/>
    <col min="9215" max="9215" width="10.28515625" style="178" customWidth="1"/>
    <col min="9216" max="9454" width="9.140625" style="178"/>
    <col min="9455" max="9455" width="4.28515625" style="178" bestFit="1" customWidth="1"/>
    <col min="9456" max="9456" width="6.85546875" style="178" bestFit="1" customWidth="1"/>
    <col min="9457" max="9457" width="11" style="178" customWidth="1"/>
    <col min="9458" max="9458" width="11.140625" style="178" bestFit="1" customWidth="1"/>
    <col min="9459" max="9459" width="10.85546875" style="178" customWidth="1"/>
    <col min="9460" max="9460" width="11.5703125" style="178" customWidth="1"/>
    <col min="9461" max="9461" width="11.140625" style="178" bestFit="1" customWidth="1"/>
    <col min="9462" max="9462" width="11" style="178" customWidth="1"/>
    <col min="9463" max="9463" width="10.42578125" style="178" customWidth="1"/>
    <col min="9464" max="9464" width="11.28515625" style="178" customWidth="1"/>
    <col min="9465" max="9466" width="9.140625" style="178" bestFit="1" customWidth="1"/>
    <col min="9467" max="9468" width="11.140625" style="178" bestFit="1" customWidth="1"/>
    <col min="9469" max="9469" width="11.5703125" style="178" bestFit="1" customWidth="1"/>
    <col min="9470" max="9470" width="9.140625" style="178" bestFit="1" customWidth="1"/>
    <col min="9471" max="9471" width="10.28515625" style="178" customWidth="1"/>
    <col min="9472" max="9710" width="9.140625" style="178"/>
    <col min="9711" max="9711" width="4.28515625" style="178" bestFit="1" customWidth="1"/>
    <col min="9712" max="9712" width="6.85546875" style="178" bestFit="1" customWidth="1"/>
    <col min="9713" max="9713" width="11" style="178" customWidth="1"/>
    <col min="9714" max="9714" width="11.140625" style="178" bestFit="1" customWidth="1"/>
    <col min="9715" max="9715" width="10.85546875" style="178" customWidth="1"/>
    <col min="9716" max="9716" width="11.5703125" style="178" customWidth="1"/>
    <col min="9717" max="9717" width="11.140625" style="178" bestFit="1" customWidth="1"/>
    <col min="9718" max="9718" width="11" style="178" customWidth="1"/>
    <col min="9719" max="9719" width="10.42578125" style="178" customWidth="1"/>
    <col min="9720" max="9720" width="11.28515625" style="178" customWidth="1"/>
    <col min="9721" max="9722" width="9.140625" style="178" bestFit="1" customWidth="1"/>
    <col min="9723" max="9724" width="11.140625" style="178" bestFit="1" customWidth="1"/>
    <col min="9725" max="9725" width="11.5703125" style="178" bestFit="1" customWidth="1"/>
    <col min="9726" max="9726" width="9.140625" style="178" bestFit="1" customWidth="1"/>
    <col min="9727" max="9727" width="10.28515625" style="178" customWidth="1"/>
    <col min="9728" max="9966" width="9.140625" style="178"/>
    <col min="9967" max="9967" width="4.28515625" style="178" bestFit="1" customWidth="1"/>
    <col min="9968" max="9968" width="6.85546875" style="178" bestFit="1" customWidth="1"/>
    <col min="9969" max="9969" width="11" style="178" customWidth="1"/>
    <col min="9970" max="9970" width="11.140625" style="178" bestFit="1" customWidth="1"/>
    <col min="9971" max="9971" width="10.85546875" style="178" customWidth="1"/>
    <col min="9972" max="9972" width="11.5703125" style="178" customWidth="1"/>
    <col min="9973" max="9973" width="11.140625" style="178" bestFit="1" customWidth="1"/>
    <col min="9974" max="9974" width="11" style="178" customWidth="1"/>
    <col min="9975" max="9975" width="10.42578125" style="178" customWidth="1"/>
    <col min="9976" max="9976" width="11.28515625" style="178" customWidth="1"/>
    <col min="9977" max="9978" width="9.140625" style="178" bestFit="1" customWidth="1"/>
    <col min="9979" max="9980" width="11.140625" style="178" bestFit="1" customWidth="1"/>
    <col min="9981" max="9981" width="11.5703125" style="178" bestFit="1" customWidth="1"/>
    <col min="9982" max="9982" width="9.140625" style="178" bestFit="1" customWidth="1"/>
    <col min="9983" max="9983" width="10.28515625" style="178" customWidth="1"/>
    <col min="9984" max="10222" width="9.140625" style="178"/>
    <col min="10223" max="10223" width="4.28515625" style="178" bestFit="1" customWidth="1"/>
    <col min="10224" max="10224" width="6.85546875" style="178" bestFit="1" customWidth="1"/>
    <col min="10225" max="10225" width="11" style="178" customWidth="1"/>
    <col min="10226" max="10226" width="11.140625" style="178" bestFit="1" customWidth="1"/>
    <col min="10227" max="10227" width="10.85546875" style="178" customWidth="1"/>
    <col min="10228" max="10228" width="11.5703125" style="178" customWidth="1"/>
    <col min="10229" max="10229" width="11.140625" style="178" bestFit="1" customWidth="1"/>
    <col min="10230" max="10230" width="11" style="178" customWidth="1"/>
    <col min="10231" max="10231" width="10.42578125" style="178" customWidth="1"/>
    <col min="10232" max="10232" width="11.28515625" style="178" customWidth="1"/>
    <col min="10233" max="10234" width="9.140625" style="178" bestFit="1" customWidth="1"/>
    <col min="10235" max="10236" width="11.140625" style="178" bestFit="1" customWidth="1"/>
    <col min="10237" max="10237" width="11.5703125" style="178" bestFit="1" customWidth="1"/>
    <col min="10238" max="10238" width="9.140625" style="178" bestFit="1" customWidth="1"/>
    <col min="10239" max="10239" width="10.28515625" style="178" customWidth="1"/>
    <col min="10240" max="10478" width="9.140625" style="178"/>
    <col min="10479" max="10479" width="4.28515625" style="178" bestFit="1" customWidth="1"/>
    <col min="10480" max="10480" width="6.85546875" style="178" bestFit="1" customWidth="1"/>
    <col min="10481" max="10481" width="11" style="178" customWidth="1"/>
    <col min="10482" max="10482" width="11.140625" style="178" bestFit="1" customWidth="1"/>
    <col min="10483" max="10483" width="10.85546875" style="178" customWidth="1"/>
    <col min="10484" max="10484" width="11.5703125" style="178" customWidth="1"/>
    <col min="10485" max="10485" width="11.140625" style="178" bestFit="1" customWidth="1"/>
    <col min="10486" max="10486" width="11" style="178" customWidth="1"/>
    <col min="10487" max="10487" width="10.42578125" style="178" customWidth="1"/>
    <col min="10488" max="10488" width="11.28515625" style="178" customWidth="1"/>
    <col min="10489" max="10490" width="9.140625" style="178" bestFit="1" customWidth="1"/>
    <col min="10491" max="10492" width="11.140625" style="178" bestFit="1" customWidth="1"/>
    <col min="10493" max="10493" width="11.5703125" style="178" bestFit="1" customWidth="1"/>
    <col min="10494" max="10494" width="9.140625" style="178" bestFit="1" customWidth="1"/>
    <col min="10495" max="10495" width="10.28515625" style="178" customWidth="1"/>
    <col min="10496" max="10734" width="9.140625" style="178"/>
    <col min="10735" max="10735" width="4.28515625" style="178" bestFit="1" customWidth="1"/>
    <col min="10736" max="10736" width="6.85546875" style="178" bestFit="1" customWidth="1"/>
    <col min="10737" max="10737" width="11" style="178" customWidth="1"/>
    <col min="10738" max="10738" width="11.140625" style="178" bestFit="1" customWidth="1"/>
    <col min="10739" max="10739" width="10.85546875" style="178" customWidth="1"/>
    <col min="10740" max="10740" width="11.5703125" style="178" customWidth="1"/>
    <col min="10741" max="10741" width="11.140625" style="178" bestFit="1" customWidth="1"/>
    <col min="10742" max="10742" width="11" style="178" customWidth="1"/>
    <col min="10743" max="10743" width="10.42578125" style="178" customWidth="1"/>
    <col min="10744" max="10744" width="11.28515625" style="178" customWidth="1"/>
    <col min="10745" max="10746" width="9.140625" style="178" bestFit="1" customWidth="1"/>
    <col min="10747" max="10748" width="11.140625" style="178" bestFit="1" customWidth="1"/>
    <col min="10749" max="10749" width="11.5703125" style="178" bestFit="1" customWidth="1"/>
    <col min="10750" max="10750" width="9.140625" style="178" bestFit="1" customWidth="1"/>
    <col min="10751" max="10751" width="10.28515625" style="178" customWidth="1"/>
    <col min="10752" max="10990" width="9.140625" style="178"/>
    <col min="10991" max="10991" width="4.28515625" style="178" bestFit="1" customWidth="1"/>
    <col min="10992" max="10992" width="6.85546875" style="178" bestFit="1" customWidth="1"/>
    <col min="10993" max="10993" width="11" style="178" customWidth="1"/>
    <col min="10994" max="10994" width="11.140625" style="178" bestFit="1" customWidth="1"/>
    <col min="10995" max="10995" width="10.85546875" style="178" customWidth="1"/>
    <col min="10996" max="10996" width="11.5703125" style="178" customWidth="1"/>
    <col min="10997" max="10997" width="11.140625" style="178" bestFit="1" customWidth="1"/>
    <col min="10998" max="10998" width="11" style="178" customWidth="1"/>
    <col min="10999" max="10999" width="10.42578125" style="178" customWidth="1"/>
    <col min="11000" max="11000" width="11.28515625" style="178" customWidth="1"/>
    <col min="11001" max="11002" width="9.140625" style="178" bestFit="1" customWidth="1"/>
    <col min="11003" max="11004" width="11.140625" style="178" bestFit="1" customWidth="1"/>
    <col min="11005" max="11005" width="11.5703125" style="178" bestFit="1" customWidth="1"/>
    <col min="11006" max="11006" width="9.140625" style="178" bestFit="1" customWidth="1"/>
    <col min="11007" max="11007" width="10.28515625" style="178" customWidth="1"/>
    <col min="11008" max="11246" width="9.140625" style="178"/>
    <col min="11247" max="11247" width="4.28515625" style="178" bestFit="1" customWidth="1"/>
    <col min="11248" max="11248" width="6.85546875" style="178" bestFit="1" customWidth="1"/>
    <col min="11249" max="11249" width="11" style="178" customWidth="1"/>
    <col min="11250" max="11250" width="11.140625" style="178" bestFit="1" customWidth="1"/>
    <col min="11251" max="11251" width="10.85546875" style="178" customWidth="1"/>
    <col min="11252" max="11252" width="11.5703125" style="178" customWidth="1"/>
    <col min="11253" max="11253" width="11.140625" style="178" bestFit="1" customWidth="1"/>
    <col min="11254" max="11254" width="11" style="178" customWidth="1"/>
    <col min="11255" max="11255" width="10.42578125" style="178" customWidth="1"/>
    <col min="11256" max="11256" width="11.28515625" style="178" customWidth="1"/>
    <col min="11257" max="11258" width="9.140625" style="178" bestFit="1" customWidth="1"/>
    <col min="11259" max="11260" width="11.140625" style="178" bestFit="1" customWidth="1"/>
    <col min="11261" max="11261" width="11.5703125" style="178" bestFit="1" customWidth="1"/>
    <col min="11262" max="11262" width="9.140625" style="178" bestFit="1" customWidth="1"/>
    <col min="11263" max="11263" width="10.28515625" style="178" customWidth="1"/>
    <col min="11264" max="11502" width="9.140625" style="178"/>
    <col min="11503" max="11503" width="4.28515625" style="178" bestFit="1" customWidth="1"/>
    <col min="11504" max="11504" width="6.85546875" style="178" bestFit="1" customWidth="1"/>
    <col min="11505" max="11505" width="11" style="178" customWidth="1"/>
    <col min="11506" max="11506" width="11.140625" style="178" bestFit="1" customWidth="1"/>
    <col min="11507" max="11507" width="10.85546875" style="178" customWidth="1"/>
    <col min="11508" max="11508" width="11.5703125" style="178" customWidth="1"/>
    <col min="11509" max="11509" width="11.140625" style="178" bestFit="1" customWidth="1"/>
    <col min="11510" max="11510" width="11" style="178" customWidth="1"/>
    <col min="11511" max="11511" width="10.42578125" style="178" customWidth="1"/>
    <col min="11512" max="11512" width="11.28515625" style="178" customWidth="1"/>
    <col min="11513" max="11514" width="9.140625" style="178" bestFit="1" customWidth="1"/>
    <col min="11515" max="11516" width="11.140625" style="178" bestFit="1" customWidth="1"/>
    <col min="11517" max="11517" width="11.5703125" style="178" bestFit="1" customWidth="1"/>
    <col min="11518" max="11518" width="9.140625" style="178" bestFit="1" customWidth="1"/>
    <col min="11519" max="11519" width="10.28515625" style="178" customWidth="1"/>
    <col min="11520" max="11758" width="9.140625" style="178"/>
    <col min="11759" max="11759" width="4.28515625" style="178" bestFit="1" customWidth="1"/>
    <col min="11760" max="11760" width="6.85546875" style="178" bestFit="1" customWidth="1"/>
    <col min="11761" max="11761" width="11" style="178" customWidth="1"/>
    <col min="11762" max="11762" width="11.140625" style="178" bestFit="1" customWidth="1"/>
    <col min="11763" max="11763" width="10.85546875" style="178" customWidth="1"/>
    <col min="11764" max="11764" width="11.5703125" style="178" customWidth="1"/>
    <col min="11765" max="11765" width="11.140625" style="178" bestFit="1" customWidth="1"/>
    <col min="11766" max="11766" width="11" style="178" customWidth="1"/>
    <col min="11767" max="11767" width="10.42578125" style="178" customWidth="1"/>
    <col min="11768" max="11768" width="11.28515625" style="178" customWidth="1"/>
    <col min="11769" max="11770" width="9.140625" style="178" bestFit="1" customWidth="1"/>
    <col min="11771" max="11772" width="11.140625" style="178" bestFit="1" customWidth="1"/>
    <col min="11773" max="11773" width="11.5703125" style="178" bestFit="1" customWidth="1"/>
    <col min="11774" max="11774" width="9.140625" style="178" bestFit="1" customWidth="1"/>
    <col min="11775" max="11775" width="10.28515625" style="178" customWidth="1"/>
    <col min="11776" max="12014" width="9.140625" style="178"/>
    <col min="12015" max="12015" width="4.28515625" style="178" bestFit="1" customWidth="1"/>
    <col min="12016" max="12016" width="6.85546875" style="178" bestFit="1" customWidth="1"/>
    <col min="12017" max="12017" width="11" style="178" customWidth="1"/>
    <col min="12018" max="12018" width="11.140625" style="178" bestFit="1" customWidth="1"/>
    <col min="12019" max="12019" width="10.85546875" style="178" customWidth="1"/>
    <col min="12020" max="12020" width="11.5703125" style="178" customWidth="1"/>
    <col min="12021" max="12021" width="11.140625" style="178" bestFit="1" customWidth="1"/>
    <col min="12022" max="12022" width="11" style="178" customWidth="1"/>
    <col min="12023" max="12023" width="10.42578125" style="178" customWidth="1"/>
    <col min="12024" max="12024" width="11.28515625" style="178" customWidth="1"/>
    <col min="12025" max="12026" width="9.140625" style="178" bestFit="1" customWidth="1"/>
    <col min="12027" max="12028" width="11.140625" style="178" bestFit="1" customWidth="1"/>
    <col min="12029" max="12029" width="11.5703125" style="178" bestFit="1" customWidth="1"/>
    <col min="12030" max="12030" width="9.140625" style="178" bestFit="1" customWidth="1"/>
    <col min="12031" max="12031" width="10.28515625" style="178" customWidth="1"/>
    <col min="12032" max="12270" width="9.140625" style="178"/>
    <col min="12271" max="12271" width="4.28515625" style="178" bestFit="1" customWidth="1"/>
    <col min="12272" max="12272" width="6.85546875" style="178" bestFit="1" customWidth="1"/>
    <col min="12273" max="12273" width="11" style="178" customWidth="1"/>
    <col min="12274" max="12274" width="11.140625" style="178" bestFit="1" customWidth="1"/>
    <col min="12275" max="12275" width="10.85546875" style="178" customWidth="1"/>
    <col min="12276" max="12276" width="11.5703125" style="178" customWidth="1"/>
    <col min="12277" max="12277" width="11.140625" style="178" bestFit="1" customWidth="1"/>
    <col min="12278" max="12278" width="11" style="178" customWidth="1"/>
    <col min="12279" max="12279" width="10.42578125" style="178" customWidth="1"/>
    <col min="12280" max="12280" width="11.28515625" style="178" customWidth="1"/>
    <col min="12281" max="12282" width="9.140625" style="178" bestFit="1" customWidth="1"/>
    <col min="12283" max="12284" width="11.140625" style="178" bestFit="1" customWidth="1"/>
    <col min="12285" max="12285" width="11.5703125" style="178" bestFit="1" customWidth="1"/>
    <col min="12286" max="12286" width="9.140625" style="178" bestFit="1" customWidth="1"/>
    <col min="12287" max="12287" width="10.28515625" style="178" customWidth="1"/>
    <col min="12288" max="12526" width="9.140625" style="178"/>
    <col min="12527" max="12527" width="4.28515625" style="178" bestFit="1" customWidth="1"/>
    <col min="12528" max="12528" width="6.85546875" style="178" bestFit="1" customWidth="1"/>
    <col min="12529" max="12529" width="11" style="178" customWidth="1"/>
    <col min="12530" max="12530" width="11.140625" style="178" bestFit="1" customWidth="1"/>
    <col min="12531" max="12531" width="10.85546875" style="178" customWidth="1"/>
    <col min="12532" max="12532" width="11.5703125" style="178" customWidth="1"/>
    <col min="12533" max="12533" width="11.140625" style="178" bestFit="1" customWidth="1"/>
    <col min="12534" max="12534" width="11" style="178" customWidth="1"/>
    <col min="12535" max="12535" width="10.42578125" style="178" customWidth="1"/>
    <col min="12536" max="12536" width="11.28515625" style="178" customWidth="1"/>
    <col min="12537" max="12538" width="9.140625" style="178" bestFit="1" customWidth="1"/>
    <col min="12539" max="12540" width="11.140625" style="178" bestFit="1" customWidth="1"/>
    <col min="12541" max="12541" width="11.5703125" style="178" bestFit="1" customWidth="1"/>
    <col min="12542" max="12542" width="9.140625" style="178" bestFit="1" customWidth="1"/>
    <col min="12543" max="12543" width="10.28515625" style="178" customWidth="1"/>
    <col min="12544" max="12782" width="9.140625" style="178"/>
    <col min="12783" max="12783" width="4.28515625" style="178" bestFit="1" customWidth="1"/>
    <col min="12784" max="12784" width="6.85546875" style="178" bestFit="1" customWidth="1"/>
    <col min="12785" max="12785" width="11" style="178" customWidth="1"/>
    <col min="12786" max="12786" width="11.140625" style="178" bestFit="1" customWidth="1"/>
    <col min="12787" max="12787" width="10.85546875" style="178" customWidth="1"/>
    <col min="12788" max="12788" width="11.5703125" style="178" customWidth="1"/>
    <col min="12789" max="12789" width="11.140625" style="178" bestFit="1" customWidth="1"/>
    <col min="12790" max="12790" width="11" style="178" customWidth="1"/>
    <col min="12791" max="12791" width="10.42578125" style="178" customWidth="1"/>
    <col min="12792" max="12792" width="11.28515625" style="178" customWidth="1"/>
    <col min="12793" max="12794" width="9.140625" style="178" bestFit="1" customWidth="1"/>
    <col min="12795" max="12796" width="11.140625" style="178" bestFit="1" customWidth="1"/>
    <col min="12797" max="12797" width="11.5703125" style="178" bestFit="1" customWidth="1"/>
    <col min="12798" max="12798" width="9.140625" style="178" bestFit="1" customWidth="1"/>
    <col min="12799" max="12799" width="10.28515625" style="178" customWidth="1"/>
    <col min="12800" max="13038" width="9.140625" style="178"/>
    <col min="13039" max="13039" width="4.28515625" style="178" bestFit="1" customWidth="1"/>
    <col min="13040" max="13040" width="6.85546875" style="178" bestFit="1" customWidth="1"/>
    <col min="13041" max="13041" width="11" style="178" customWidth="1"/>
    <col min="13042" max="13042" width="11.140625" style="178" bestFit="1" customWidth="1"/>
    <col min="13043" max="13043" width="10.85546875" style="178" customWidth="1"/>
    <col min="13044" max="13044" width="11.5703125" style="178" customWidth="1"/>
    <col min="13045" max="13045" width="11.140625" style="178" bestFit="1" customWidth="1"/>
    <col min="13046" max="13046" width="11" style="178" customWidth="1"/>
    <col min="13047" max="13047" width="10.42578125" style="178" customWidth="1"/>
    <col min="13048" max="13048" width="11.28515625" style="178" customWidth="1"/>
    <col min="13049" max="13050" width="9.140625" style="178" bestFit="1" customWidth="1"/>
    <col min="13051" max="13052" width="11.140625" style="178" bestFit="1" customWidth="1"/>
    <col min="13053" max="13053" width="11.5703125" style="178" bestFit="1" customWidth="1"/>
    <col min="13054" max="13054" width="9.140625" style="178" bestFit="1" customWidth="1"/>
    <col min="13055" max="13055" width="10.28515625" style="178" customWidth="1"/>
    <col min="13056" max="13294" width="9.140625" style="178"/>
    <col min="13295" max="13295" width="4.28515625" style="178" bestFit="1" customWidth="1"/>
    <col min="13296" max="13296" width="6.85546875" style="178" bestFit="1" customWidth="1"/>
    <col min="13297" max="13297" width="11" style="178" customWidth="1"/>
    <col min="13298" max="13298" width="11.140625" style="178" bestFit="1" customWidth="1"/>
    <col min="13299" max="13299" width="10.85546875" style="178" customWidth="1"/>
    <col min="13300" max="13300" width="11.5703125" style="178" customWidth="1"/>
    <col min="13301" max="13301" width="11.140625" style="178" bestFit="1" customWidth="1"/>
    <col min="13302" max="13302" width="11" style="178" customWidth="1"/>
    <col min="13303" max="13303" width="10.42578125" style="178" customWidth="1"/>
    <col min="13304" max="13304" width="11.28515625" style="178" customWidth="1"/>
    <col min="13305" max="13306" width="9.140625" style="178" bestFit="1" customWidth="1"/>
    <col min="13307" max="13308" width="11.140625" style="178" bestFit="1" customWidth="1"/>
    <col min="13309" max="13309" width="11.5703125" style="178" bestFit="1" customWidth="1"/>
    <col min="13310" max="13310" width="9.140625" style="178" bestFit="1" customWidth="1"/>
    <col min="13311" max="13311" width="10.28515625" style="178" customWidth="1"/>
    <col min="13312" max="13550" width="9.140625" style="178"/>
    <col min="13551" max="13551" width="4.28515625" style="178" bestFit="1" customWidth="1"/>
    <col min="13552" max="13552" width="6.85546875" style="178" bestFit="1" customWidth="1"/>
    <col min="13553" max="13553" width="11" style="178" customWidth="1"/>
    <col min="13554" max="13554" width="11.140625" style="178" bestFit="1" customWidth="1"/>
    <col min="13555" max="13555" width="10.85546875" style="178" customWidth="1"/>
    <col min="13556" max="13556" width="11.5703125" style="178" customWidth="1"/>
    <col min="13557" max="13557" width="11.140625" style="178" bestFit="1" customWidth="1"/>
    <col min="13558" max="13558" width="11" style="178" customWidth="1"/>
    <col min="13559" max="13559" width="10.42578125" style="178" customWidth="1"/>
    <col min="13560" max="13560" width="11.28515625" style="178" customWidth="1"/>
    <col min="13561" max="13562" width="9.140625" style="178" bestFit="1" customWidth="1"/>
    <col min="13563" max="13564" width="11.140625" style="178" bestFit="1" customWidth="1"/>
    <col min="13565" max="13565" width="11.5703125" style="178" bestFit="1" customWidth="1"/>
    <col min="13566" max="13566" width="9.140625" style="178" bestFit="1" customWidth="1"/>
    <col min="13567" max="13567" width="10.28515625" style="178" customWidth="1"/>
    <col min="13568" max="13806" width="9.140625" style="178"/>
    <col min="13807" max="13807" width="4.28515625" style="178" bestFit="1" customWidth="1"/>
    <col min="13808" max="13808" width="6.85546875" style="178" bestFit="1" customWidth="1"/>
    <col min="13809" max="13809" width="11" style="178" customWidth="1"/>
    <col min="13810" max="13810" width="11.140625" style="178" bestFit="1" customWidth="1"/>
    <col min="13811" max="13811" width="10.85546875" style="178" customWidth="1"/>
    <col min="13812" max="13812" width="11.5703125" style="178" customWidth="1"/>
    <col min="13813" max="13813" width="11.140625" style="178" bestFit="1" customWidth="1"/>
    <col min="13814" max="13814" width="11" style="178" customWidth="1"/>
    <col min="13815" max="13815" width="10.42578125" style="178" customWidth="1"/>
    <col min="13816" max="13816" width="11.28515625" style="178" customWidth="1"/>
    <col min="13817" max="13818" width="9.140625" style="178" bestFit="1" customWidth="1"/>
    <col min="13819" max="13820" width="11.140625" style="178" bestFit="1" customWidth="1"/>
    <col min="13821" max="13821" width="11.5703125" style="178" bestFit="1" customWidth="1"/>
    <col min="13822" max="13822" width="9.140625" style="178" bestFit="1" customWidth="1"/>
    <col min="13823" max="13823" width="10.28515625" style="178" customWidth="1"/>
    <col min="13824" max="14062" width="9.140625" style="178"/>
    <col min="14063" max="14063" width="4.28515625" style="178" bestFit="1" customWidth="1"/>
    <col min="14064" max="14064" width="6.85546875" style="178" bestFit="1" customWidth="1"/>
    <col min="14065" max="14065" width="11" style="178" customWidth="1"/>
    <col min="14066" max="14066" width="11.140625" style="178" bestFit="1" customWidth="1"/>
    <col min="14067" max="14067" width="10.85546875" style="178" customWidth="1"/>
    <col min="14068" max="14068" width="11.5703125" style="178" customWidth="1"/>
    <col min="14069" max="14069" width="11.140625" style="178" bestFit="1" customWidth="1"/>
    <col min="14070" max="14070" width="11" style="178" customWidth="1"/>
    <col min="14071" max="14071" width="10.42578125" style="178" customWidth="1"/>
    <col min="14072" max="14072" width="11.28515625" style="178" customWidth="1"/>
    <col min="14073" max="14074" width="9.140625" style="178" bestFit="1" customWidth="1"/>
    <col min="14075" max="14076" width="11.140625" style="178" bestFit="1" customWidth="1"/>
    <col min="14077" max="14077" width="11.5703125" style="178" bestFit="1" customWidth="1"/>
    <col min="14078" max="14078" width="9.140625" style="178" bestFit="1" customWidth="1"/>
    <col min="14079" max="14079" width="10.28515625" style="178" customWidth="1"/>
    <col min="14080" max="14318" width="9.140625" style="178"/>
    <col min="14319" max="14319" width="4.28515625" style="178" bestFit="1" customWidth="1"/>
    <col min="14320" max="14320" width="6.85546875" style="178" bestFit="1" customWidth="1"/>
    <col min="14321" max="14321" width="11" style="178" customWidth="1"/>
    <col min="14322" max="14322" width="11.140625" style="178" bestFit="1" customWidth="1"/>
    <col min="14323" max="14323" width="10.85546875" style="178" customWidth="1"/>
    <col min="14324" max="14324" width="11.5703125" style="178" customWidth="1"/>
    <col min="14325" max="14325" width="11.140625" style="178" bestFit="1" customWidth="1"/>
    <col min="14326" max="14326" width="11" style="178" customWidth="1"/>
    <col min="14327" max="14327" width="10.42578125" style="178" customWidth="1"/>
    <col min="14328" max="14328" width="11.28515625" style="178" customWidth="1"/>
    <col min="14329" max="14330" width="9.140625" style="178" bestFit="1" customWidth="1"/>
    <col min="14331" max="14332" width="11.140625" style="178" bestFit="1" customWidth="1"/>
    <col min="14333" max="14333" width="11.5703125" style="178" bestFit="1" customWidth="1"/>
    <col min="14334" max="14334" width="9.140625" style="178" bestFit="1" customWidth="1"/>
    <col min="14335" max="14335" width="10.28515625" style="178" customWidth="1"/>
    <col min="14336" max="14574" width="9.140625" style="178"/>
    <col min="14575" max="14575" width="4.28515625" style="178" bestFit="1" customWidth="1"/>
    <col min="14576" max="14576" width="6.85546875" style="178" bestFit="1" customWidth="1"/>
    <col min="14577" max="14577" width="11" style="178" customWidth="1"/>
    <col min="14578" max="14578" width="11.140625" style="178" bestFit="1" customWidth="1"/>
    <col min="14579" max="14579" width="10.85546875" style="178" customWidth="1"/>
    <col min="14580" max="14580" width="11.5703125" style="178" customWidth="1"/>
    <col min="14581" max="14581" width="11.140625" style="178" bestFit="1" customWidth="1"/>
    <col min="14582" max="14582" width="11" style="178" customWidth="1"/>
    <col min="14583" max="14583" width="10.42578125" style="178" customWidth="1"/>
    <col min="14584" max="14584" width="11.28515625" style="178" customWidth="1"/>
    <col min="14585" max="14586" width="9.140625" style="178" bestFit="1" customWidth="1"/>
    <col min="14587" max="14588" width="11.140625" style="178" bestFit="1" customWidth="1"/>
    <col min="14589" max="14589" width="11.5703125" style="178" bestFit="1" customWidth="1"/>
    <col min="14590" max="14590" width="9.140625" style="178" bestFit="1" customWidth="1"/>
    <col min="14591" max="14591" width="10.28515625" style="178" customWidth="1"/>
    <col min="14592" max="14830" width="9.140625" style="178"/>
    <col min="14831" max="14831" width="4.28515625" style="178" bestFit="1" customWidth="1"/>
    <col min="14832" max="14832" width="6.85546875" style="178" bestFit="1" customWidth="1"/>
    <col min="14833" max="14833" width="11" style="178" customWidth="1"/>
    <col min="14834" max="14834" width="11.140625" style="178" bestFit="1" customWidth="1"/>
    <col min="14835" max="14835" width="10.85546875" style="178" customWidth="1"/>
    <col min="14836" max="14836" width="11.5703125" style="178" customWidth="1"/>
    <col min="14837" max="14837" width="11.140625" style="178" bestFit="1" customWidth="1"/>
    <col min="14838" max="14838" width="11" style="178" customWidth="1"/>
    <col min="14839" max="14839" width="10.42578125" style="178" customWidth="1"/>
    <col min="14840" max="14840" width="11.28515625" style="178" customWidth="1"/>
    <col min="14841" max="14842" width="9.140625" style="178" bestFit="1" customWidth="1"/>
    <col min="14843" max="14844" width="11.140625" style="178" bestFit="1" customWidth="1"/>
    <col min="14845" max="14845" width="11.5703125" style="178" bestFit="1" customWidth="1"/>
    <col min="14846" max="14846" width="9.140625" style="178" bestFit="1" customWidth="1"/>
    <col min="14847" max="14847" width="10.28515625" style="178" customWidth="1"/>
    <col min="14848" max="15086" width="9.140625" style="178"/>
    <col min="15087" max="15087" width="4.28515625" style="178" bestFit="1" customWidth="1"/>
    <col min="15088" max="15088" width="6.85546875" style="178" bestFit="1" customWidth="1"/>
    <col min="15089" max="15089" width="11" style="178" customWidth="1"/>
    <col min="15090" max="15090" width="11.140625" style="178" bestFit="1" customWidth="1"/>
    <col min="15091" max="15091" width="10.85546875" style="178" customWidth="1"/>
    <col min="15092" max="15092" width="11.5703125" style="178" customWidth="1"/>
    <col min="15093" max="15093" width="11.140625" style="178" bestFit="1" customWidth="1"/>
    <col min="15094" max="15094" width="11" style="178" customWidth="1"/>
    <col min="15095" max="15095" width="10.42578125" style="178" customWidth="1"/>
    <col min="15096" max="15096" width="11.28515625" style="178" customWidth="1"/>
    <col min="15097" max="15098" width="9.140625" style="178" bestFit="1" customWidth="1"/>
    <col min="15099" max="15100" width="11.140625" style="178" bestFit="1" customWidth="1"/>
    <col min="15101" max="15101" width="11.5703125" style="178" bestFit="1" customWidth="1"/>
    <col min="15102" max="15102" width="9.140625" style="178" bestFit="1" customWidth="1"/>
    <col min="15103" max="15103" width="10.28515625" style="178" customWidth="1"/>
    <col min="15104" max="15342" width="9.140625" style="178"/>
    <col min="15343" max="15343" width="4.28515625" style="178" bestFit="1" customWidth="1"/>
    <col min="15344" max="15344" width="6.85546875" style="178" bestFit="1" customWidth="1"/>
    <col min="15345" max="15345" width="11" style="178" customWidth="1"/>
    <col min="15346" max="15346" width="11.140625" style="178" bestFit="1" customWidth="1"/>
    <col min="15347" max="15347" width="10.85546875" style="178" customWidth="1"/>
    <col min="15348" max="15348" width="11.5703125" style="178" customWidth="1"/>
    <col min="15349" max="15349" width="11.140625" style="178" bestFit="1" customWidth="1"/>
    <col min="15350" max="15350" width="11" style="178" customWidth="1"/>
    <col min="15351" max="15351" width="10.42578125" style="178" customWidth="1"/>
    <col min="15352" max="15352" width="11.28515625" style="178" customWidth="1"/>
    <col min="15353" max="15354" width="9.140625" style="178" bestFit="1" customWidth="1"/>
    <col min="15355" max="15356" width="11.140625" style="178" bestFit="1" customWidth="1"/>
    <col min="15357" max="15357" width="11.5703125" style="178" bestFit="1" customWidth="1"/>
    <col min="15358" max="15358" width="9.140625" style="178" bestFit="1" customWidth="1"/>
    <col min="15359" max="15359" width="10.28515625" style="178" customWidth="1"/>
    <col min="15360" max="15598" width="9.140625" style="178"/>
    <col min="15599" max="15599" width="4.28515625" style="178" bestFit="1" customWidth="1"/>
    <col min="15600" max="15600" width="6.85546875" style="178" bestFit="1" customWidth="1"/>
    <col min="15601" max="15601" width="11" style="178" customWidth="1"/>
    <col min="15602" max="15602" width="11.140625" style="178" bestFit="1" customWidth="1"/>
    <col min="15603" max="15603" width="10.85546875" style="178" customWidth="1"/>
    <col min="15604" max="15604" width="11.5703125" style="178" customWidth="1"/>
    <col min="15605" max="15605" width="11.140625" style="178" bestFit="1" customWidth="1"/>
    <col min="15606" max="15606" width="11" style="178" customWidth="1"/>
    <col min="15607" max="15607" width="10.42578125" style="178" customWidth="1"/>
    <col min="15608" max="15608" width="11.28515625" style="178" customWidth="1"/>
    <col min="15609" max="15610" width="9.140625" style="178" bestFit="1" customWidth="1"/>
    <col min="15611" max="15612" width="11.140625" style="178" bestFit="1" customWidth="1"/>
    <col min="15613" max="15613" width="11.5703125" style="178" bestFit="1" customWidth="1"/>
    <col min="15614" max="15614" width="9.140625" style="178" bestFit="1" customWidth="1"/>
    <col min="15615" max="15615" width="10.28515625" style="178" customWidth="1"/>
    <col min="15616" max="15854" width="9.140625" style="178"/>
    <col min="15855" max="15855" width="4.28515625" style="178" bestFit="1" customWidth="1"/>
    <col min="15856" max="15856" width="6.85546875" style="178" bestFit="1" customWidth="1"/>
    <col min="15857" max="15857" width="11" style="178" customWidth="1"/>
    <col min="15858" max="15858" width="11.140625" style="178" bestFit="1" customWidth="1"/>
    <col min="15859" max="15859" width="10.85546875" style="178" customWidth="1"/>
    <col min="15860" max="15860" width="11.5703125" style="178" customWidth="1"/>
    <col min="15861" max="15861" width="11.140625" style="178" bestFit="1" customWidth="1"/>
    <col min="15862" max="15862" width="11" style="178" customWidth="1"/>
    <col min="15863" max="15863" width="10.42578125" style="178" customWidth="1"/>
    <col min="15864" max="15864" width="11.28515625" style="178" customWidth="1"/>
    <col min="15865" max="15866" width="9.140625" style="178" bestFit="1" customWidth="1"/>
    <col min="15867" max="15868" width="11.140625" style="178" bestFit="1" customWidth="1"/>
    <col min="15869" max="15869" width="11.5703125" style="178" bestFit="1" customWidth="1"/>
    <col min="15870" max="15870" width="9.140625" style="178" bestFit="1" customWidth="1"/>
    <col min="15871" max="15871" width="10.28515625" style="178" customWidth="1"/>
    <col min="15872" max="16110" width="9.140625" style="178"/>
    <col min="16111" max="16111" width="4.28515625" style="178" bestFit="1" customWidth="1"/>
    <col min="16112" max="16112" width="6.85546875" style="178" bestFit="1" customWidth="1"/>
    <col min="16113" max="16113" width="11" style="178" customWidth="1"/>
    <col min="16114" max="16114" width="11.140625" style="178" bestFit="1" customWidth="1"/>
    <col min="16115" max="16115" width="10.85546875" style="178" customWidth="1"/>
    <col min="16116" max="16116" width="11.5703125" style="178" customWidth="1"/>
    <col min="16117" max="16117" width="11.140625" style="178" bestFit="1" customWidth="1"/>
    <col min="16118" max="16118" width="11" style="178" customWidth="1"/>
    <col min="16119" max="16119" width="10.42578125" style="178" customWidth="1"/>
    <col min="16120" max="16120" width="11.28515625" style="178" customWidth="1"/>
    <col min="16121" max="16122" width="9.140625" style="178" bestFit="1" customWidth="1"/>
    <col min="16123" max="16124" width="11.140625" style="178" bestFit="1" customWidth="1"/>
    <col min="16125" max="16125" width="11.5703125" style="178" bestFit="1" customWidth="1"/>
    <col min="16126" max="16126" width="9.140625" style="178" bestFit="1" customWidth="1"/>
    <col min="16127" max="16127" width="10.28515625" style="178" customWidth="1"/>
    <col min="16128" max="16377" width="9.140625" style="178"/>
    <col min="16378" max="16379" width="9.140625" style="178" customWidth="1"/>
    <col min="16380" max="16384" width="9.140625" style="178"/>
  </cols>
  <sheetData>
    <row r="1" spans="1:12" ht="68.25" customHeight="1">
      <c r="A1" s="2526" t="s">
        <v>164</v>
      </c>
      <c r="B1" s="2527"/>
      <c r="C1" s="2527"/>
      <c r="D1" s="2527"/>
      <c r="E1" s="2527"/>
      <c r="F1" s="2527"/>
      <c r="G1" s="2527"/>
      <c r="H1" s="2527"/>
      <c r="I1" s="2527"/>
      <c r="J1" s="2527"/>
      <c r="K1" s="2527"/>
      <c r="L1" s="2527"/>
    </row>
    <row r="2" spans="1:12" ht="16.5" customHeight="1" thickBo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2578" t="s">
        <v>0</v>
      </c>
    </row>
    <row r="3" spans="1:12" s="179" customFormat="1" ht="12.75" customHeight="1">
      <c r="A3" s="1919" t="s">
        <v>37</v>
      </c>
      <c r="B3" s="1921" t="s">
        <v>3</v>
      </c>
      <c r="C3" s="1921"/>
      <c r="D3" s="2529" t="s">
        <v>4</v>
      </c>
      <c r="E3" s="2531" t="s">
        <v>148</v>
      </c>
      <c r="F3" s="2533" t="s">
        <v>149</v>
      </c>
      <c r="G3" s="2533" t="s">
        <v>84</v>
      </c>
      <c r="H3" s="2533" t="s">
        <v>179</v>
      </c>
      <c r="I3" s="2533" t="s">
        <v>5</v>
      </c>
      <c r="J3" s="2533" t="s">
        <v>178</v>
      </c>
      <c r="K3" s="2533" t="s">
        <v>151</v>
      </c>
      <c r="L3" s="2533" t="s">
        <v>188</v>
      </c>
    </row>
    <row r="4" spans="1:12" s="179" customFormat="1" ht="79.5" customHeight="1" thickBot="1">
      <c r="A4" s="2528"/>
      <c r="B4" s="1922"/>
      <c r="C4" s="1922"/>
      <c r="D4" s="2530"/>
      <c r="E4" s="2532"/>
      <c r="F4" s="2534"/>
      <c r="G4" s="2535"/>
      <c r="H4" s="2534"/>
      <c r="I4" s="2534"/>
      <c r="J4" s="2535"/>
      <c r="K4" s="2535"/>
      <c r="L4" s="2535"/>
    </row>
    <row r="5" spans="1:12" s="180" customFormat="1" ht="12" customHeight="1" thickBot="1">
      <c r="A5" s="183" t="s">
        <v>6</v>
      </c>
      <c r="B5" s="2522" t="s">
        <v>7</v>
      </c>
      <c r="C5" s="2522"/>
      <c r="D5" s="183" t="s">
        <v>8</v>
      </c>
      <c r="E5" s="183" t="s">
        <v>9</v>
      </c>
      <c r="F5" s="183" t="s">
        <v>10</v>
      </c>
      <c r="G5" s="184" t="s">
        <v>11</v>
      </c>
      <c r="H5" s="184" t="s">
        <v>10</v>
      </c>
      <c r="I5" s="184" t="s">
        <v>12</v>
      </c>
      <c r="J5" s="184" t="s">
        <v>11</v>
      </c>
      <c r="K5" s="184" t="s">
        <v>11</v>
      </c>
      <c r="L5" s="184" t="s">
        <v>12</v>
      </c>
    </row>
    <row r="6" spans="1:12" s="189" customFormat="1">
      <c r="A6" s="175" t="s">
        <v>55</v>
      </c>
      <c r="B6" s="164"/>
      <c r="C6" s="185" t="s">
        <v>56</v>
      </c>
      <c r="D6" s="186"/>
      <c r="E6" s="187">
        <f>SUM(E7)</f>
        <v>0</v>
      </c>
      <c r="F6" s="187">
        <f t="shared" ref="F6:K6" si="0">SUM(F7)</f>
        <v>8000100</v>
      </c>
      <c r="G6" s="187">
        <f t="shared" si="0"/>
        <v>0</v>
      </c>
      <c r="H6" s="187">
        <f t="shared" si="0"/>
        <v>0</v>
      </c>
      <c r="I6" s="188"/>
      <c r="J6" s="187">
        <f t="shared" si="0"/>
        <v>0</v>
      </c>
      <c r="K6" s="187">
        <f t="shared" si="0"/>
        <v>0</v>
      </c>
      <c r="L6" s="223"/>
    </row>
    <row r="7" spans="1:12" s="189" customFormat="1">
      <c r="A7" s="2518"/>
      <c r="B7" s="1972" t="s">
        <v>134</v>
      </c>
      <c r="C7" s="173" t="s">
        <v>17</v>
      </c>
      <c r="D7" s="190"/>
      <c r="E7" s="191">
        <f>SUM(E8,E17)</f>
        <v>0</v>
      </c>
      <c r="F7" s="191">
        <f>SUM(F8,F17)</f>
        <v>8000100</v>
      </c>
      <c r="G7" s="191">
        <f>SUM(G8,G17)</f>
        <v>0</v>
      </c>
      <c r="H7" s="191">
        <f>SUM(H8,H17)</f>
        <v>0</v>
      </c>
      <c r="I7" s="192"/>
      <c r="J7" s="191">
        <f>SUM(J8,J17)</f>
        <v>0</v>
      </c>
      <c r="K7" s="191">
        <f>SUM(K8,K17)</f>
        <v>0</v>
      </c>
      <c r="L7" s="2438"/>
    </row>
    <row r="8" spans="1:12">
      <c r="A8" s="1930"/>
      <c r="B8" s="1944"/>
      <c r="C8" s="165" t="s">
        <v>18</v>
      </c>
      <c r="D8" s="193"/>
      <c r="E8" s="166">
        <f>SUM(E9,E12,E13,E14,E15,E16)</f>
        <v>0</v>
      </c>
      <c r="F8" s="166">
        <f>SUM(F9,F12,F13,F14,F15,F16)</f>
        <v>0</v>
      </c>
      <c r="G8" s="166">
        <f>SUM(G9,G12,G13,G14,G15,G16)</f>
        <v>0</v>
      </c>
      <c r="H8" s="166">
        <f>SUM(H9,H12,H13,H14,H15,H16)</f>
        <v>0</v>
      </c>
      <c r="I8" s="194"/>
      <c r="J8" s="166">
        <f>SUM(J9,J12,J13,J14,J15,J16)</f>
        <v>0</v>
      </c>
      <c r="K8" s="166">
        <f>SUM(K9,K12,K13,K14,K15,K16)</f>
        <v>0</v>
      </c>
      <c r="L8" s="2521"/>
    </row>
    <row r="9" spans="1:12">
      <c r="A9" s="1930"/>
      <c r="B9" s="1944"/>
      <c r="C9" s="167" t="s">
        <v>19</v>
      </c>
      <c r="D9" s="195"/>
      <c r="E9" s="196"/>
      <c r="F9" s="196"/>
      <c r="G9" s="196">
        <f t="shared" ref="G9" si="1">SUM(G10:G11)</f>
        <v>0</v>
      </c>
      <c r="H9" s="196"/>
      <c r="I9" s="194"/>
      <c r="J9" s="196"/>
      <c r="K9" s="196"/>
      <c r="L9" s="2521"/>
    </row>
    <row r="10" spans="1:12">
      <c r="A10" s="1930"/>
      <c r="B10" s="1944"/>
      <c r="C10" s="167" t="s">
        <v>20</v>
      </c>
      <c r="D10" s="195"/>
      <c r="E10" s="196"/>
      <c r="F10" s="196"/>
      <c r="G10" s="168"/>
      <c r="H10" s="168"/>
      <c r="I10" s="197"/>
      <c r="J10" s="168"/>
      <c r="K10" s="168"/>
      <c r="L10" s="2521"/>
    </row>
    <row r="11" spans="1:12" ht="15" customHeight="1">
      <c r="A11" s="1930"/>
      <c r="B11" s="1944"/>
      <c r="C11" s="198" t="s">
        <v>21</v>
      </c>
      <c r="D11" s="195"/>
      <c r="E11" s="196"/>
      <c r="F11" s="196"/>
      <c r="G11" s="196"/>
      <c r="H11" s="196"/>
      <c r="I11" s="194"/>
      <c r="J11" s="168"/>
      <c r="K11" s="168"/>
      <c r="L11" s="2521"/>
    </row>
    <row r="12" spans="1:12">
      <c r="A12" s="1930"/>
      <c r="B12" s="1944"/>
      <c r="C12" s="167" t="s">
        <v>23</v>
      </c>
      <c r="D12" s="195"/>
      <c r="E12" s="196"/>
      <c r="F12" s="196"/>
      <c r="G12" s="168"/>
      <c r="H12" s="168"/>
      <c r="I12" s="194"/>
      <c r="J12" s="168"/>
      <c r="K12" s="168"/>
      <c r="L12" s="2521"/>
    </row>
    <row r="13" spans="1:12">
      <c r="A13" s="1930"/>
      <c r="B13" s="1944"/>
      <c r="C13" s="167" t="s">
        <v>24</v>
      </c>
      <c r="D13" s="195"/>
      <c r="E13" s="196"/>
      <c r="F13" s="196"/>
      <c r="G13" s="168"/>
      <c r="H13" s="168"/>
      <c r="I13" s="194"/>
      <c r="J13" s="168"/>
      <c r="K13" s="168"/>
      <c r="L13" s="2521"/>
    </row>
    <row r="14" spans="1:12" ht="25.5" customHeight="1">
      <c r="A14" s="1930"/>
      <c r="B14" s="1944"/>
      <c r="C14" s="170" t="s">
        <v>90</v>
      </c>
      <c r="D14" s="199"/>
      <c r="E14" s="200"/>
      <c r="F14" s="200"/>
      <c r="G14" s="168"/>
      <c r="H14" s="168"/>
      <c r="I14" s="194"/>
      <c r="J14" s="168"/>
      <c r="K14" s="168"/>
      <c r="L14" s="2521"/>
    </row>
    <row r="15" spans="1:12" s="189" customFormat="1">
      <c r="A15" s="1930"/>
      <c r="B15" s="1944"/>
      <c r="C15" s="167" t="s">
        <v>26</v>
      </c>
      <c r="D15" s="195"/>
      <c r="E15" s="196"/>
      <c r="F15" s="196"/>
      <c r="G15" s="168"/>
      <c r="H15" s="168"/>
      <c r="I15" s="194"/>
      <c r="J15" s="168"/>
      <c r="K15" s="168"/>
      <c r="L15" s="2521"/>
    </row>
    <row r="16" spans="1:12">
      <c r="A16" s="1930"/>
      <c r="B16" s="1944"/>
      <c r="C16" s="167" t="s">
        <v>27</v>
      </c>
      <c r="D16" s="195"/>
      <c r="E16" s="196"/>
      <c r="F16" s="196"/>
      <c r="G16" s="168"/>
      <c r="H16" s="168"/>
      <c r="I16" s="194"/>
      <c r="J16" s="168"/>
      <c r="K16" s="168"/>
      <c r="L16" s="2521"/>
    </row>
    <row r="17" spans="1:12" s="189" customFormat="1">
      <c r="A17" s="1930"/>
      <c r="B17" s="1944"/>
      <c r="C17" s="171" t="s">
        <v>28</v>
      </c>
      <c r="D17" s="193"/>
      <c r="E17" s="201">
        <f>SUM(E21,E20,E18)</f>
        <v>0</v>
      </c>
      <c r="F17" s="201">
        <f t="shared" ref="F17" si="2">SUM(F21,F20,F18)</f>
        <v>8000100</v>
      </c>
      <c r="G17" s="201"/>
      <c r="H17" s="201">
        <f t="shared" ref="H17" si="3">SUM(H21,H20,H18)</f>
        <v>0</v>
      </c>
      <c r="I17" s="194"/>
      <c r="J17" s="201">
        <f t="shared" ref="J17:K17" si="4">SUM(J21,J20,J18)</f>
        <v>0</v>
      </c>
      <c r="K17" s="201">
        <f t="shared" si="4"/>
        <v>0</v>
      </c>
      <c r="L17" s="2521"/>
    </row>
    <row r="18" spans="1:12" s="189" customFormat="1">
      <c r="A18" s="1930"/>
      <c r="B18" s="1944"/>
      <c r="C18" s="167" t="s">
        <v>29</v>
      </c>
      <c r="D18" s="195"/>
      <c r="E18" s="196"/>
      <c r="F18" s="196"/>
      <c r="G18" s="168"/>
      <c r="H18" s="168"/>
      <c r="I18" s="194"/>
      <c r="J18" s="168"/>
      <c r="K18" s="168"/>
      <c r="L18" s="2521"/>
    </row>
    <row r="19" spans="1:12" ht="21" customHeight="1">
      <c r="A19" s="1930"/>
      <c r="B19" s="1944"/>
      <c r="C19" s="170" t="s">
        <v>109</v>
      </c>
      <c r="D19" s="199"/>
      <c r="E19" s="200"/>
      <c r="F19" s="200"/>
      <c r="G19" s="168"/>
      <c r="H19" s="168"/>
      <c r="I19" s="194"/>
      <c r="J19" s="168"/>
      <c r="K19" s="168"/>
      <c r="L19" s="2521"/>
    </row>
    <row r="20" spans="1:12">
      <c r="A20" s="1930"/>
      <c r="B20" s="1944"/>
      <c r="C20" s="167" t="s">
        <v>31</v>
      </c>
      <c r="D20" s="195">
        <v>6010</v>
      </c>
      <c r="E20" s="196"/>
      <c r="F20" s="196">
        <v>8000100</v>
      </c>
      <c r="G20" s="168"/>
      <c r="H20" s="168"/>
      <c r="I20" s="194"/>
      <c r="J20" s="168"/>
      <c r="K20" s="168"/>
      <c r="L20" s="2521"/>
    </row>
    <row r="21" spans="1:12">
      <c r="A21" s="2519"/>
      <c r="B21" s="2520"/>
      <c r="C21" s="169" t="s">
        <v>32</v>
      </c>
      <c r="D21" s="202"/>
      <c r="E21" s="203"/>
      <c r="F21" s="203"/>
      <c r="G21" s="172"/>
      <c r="H21" s="172"/>
      <c r="I21" s="204"/>
      <c r="J21" s="172"/>
      <c r="K21" s="172"/>
      <c r="L21" s="2521"/>
    </row>
    <row r="22" spans="1:12" s="189" customFormat="1" ht="16.899999999999999" customHeight="1">
      <c r="A22" s="175" t="s">
        <v>14</v>
      </c>
      <c r="B22" s="164"/>
      <c r="C22" s="185" t="s">
        <v>15</v>
      </c>
      <c r="D22" s="186"/>
      <c r="E22" s="187">
        <f>SUM(E23)</f>
        <v>15450</v>
      </c>
      <c r="F22" s="187">
        <f t="shared" ref="F22:K22" si="5">SUM(F23)</f>
        <v>15450</v>
      </c>
      <c r="G22" s="187">
        <f t="shared" si="5"/>
        <v>0</v>
      </c>
      <c r="H22" s="187">
        <f t="shared" si="5"/>
        <v>17768</v>
      </c>
      <c r="I22" s="188">
        <f>H22/E22</f>
        <v>1.150032362459547</v>
      </c>
      <c r="J22" s="187">
        <f t="shared" si="5"/>
        <v>0</v>
      </c>
      <c r="K22" s="187">
        <f t="shared" si="5"/>
        <v>17768</v>
      </c>
      <c r="L22" s="223"/>
    </row>
    <row r="23" spans="1:12" s="189" customFormat="1" ht="15" customHeight="1">
      <c r="A23" s="2518"/>
      <c r="B23" s="1972" t="s">
        <v>16</v>
      </c>
      <c r="C23" s="173" t="s">
        <v>17</v>
      </c>
      <c r="D23" s="190"/>
      <c r="E23" s="191">
        <f>SUM(E24,E33)</f>
        <v>15450</v>
      </c>
      <c r="F23" s="191">
        <f>SUM(F24,F33)</f>
        <v>15450</v>
      </c>
      <c r="G23" s="191">
        <f>SUM(G24,G33)</f>
        <v>0</v>
      </c>
      <c r="H23" s="191">
        <f>SUM(H24,H33)</f>
        <v>17768</v>
      </c>
      <c r="I23" s="192">
        <f>H23/E23</f>
        <v>1.150032362459547</v>
      </c>
      <c r="J23" s="191">
        <f>SUM(J24,J33)</f>
        <v>0</v>
      </c>
      <c r="K23" s="191">
        <f>SUM(K24,K33)</f>
        <v>17768</v>
      </c>
      <c r="L23" s="2523" t="s">
        <v>171</v>
      </c>
    </row>
    <row r="24" spans="1:12" ht="14.25" customHeight="1">
      <c r="A24" s="1930"/>
      <c r="B24" s="1944"/>
      <c r="C24" s="165" t="s">
        <v>18</v>
      </c>
      <c r="D24" s="193"/>
      <c r="E24" s="166">
        <f>SUM(E25,E28,E29,E30,E31,E32)</f>
        <v>15450</v>
      </c>
      <c r="F24" s="166">
        <f>SUM(F25,F28,F29,F30,F31,F32)</f>
        <v>15450</v>
      </c>
      <c r="G24" s="166">
        <f>SUM(G25,G28,G29,G30,G31,G32)</f>
        <v>0</v>
      </c>
      <c r="H24" s="166">
        <f>SUM(H25,H28,H29,H30,H31,H32)</f>
        <v>17768</v>
      </c>
      <c r="I24" s="194">
        <f t="shared" ref="I24:I25" si="6">H24/E24</f>
        <v>1.150032362459547</v>
      </c>
      <c r="J24" s="166">
        <f>SUM(J25,J28,J29,J30,J31,J32)</f>
        <v>0</v>
      </c>
      <c r="K24" s="166">
        <f>SUM(K25,K28,K29,K30,K31,K32)</f>
        <v>17768</v>
      </c>
      <c r="L24" s="2524"/>
    </row>
    <row r="25" spans="1:12" ht="14.25" customHeight="1">
      <c r="A25" s="1930"/>
      <c r="B25" s="1944"/>
      <c r="C25" s="167" t="s">
        <v>19</v>
      </c>
      <c r="D25" s="195"/>
      <c r="E25" s="196">
        <f>SUM(E26:E27)</f>
        <v>15450</v>
      </c>
      <c r="F25" s="196">
        <f t="shared" ref="F25:H25" si="7">SUM(F26:F27)</f>
        <v>15450</v>
      </c>
      <c r="G25" s="196">
        <f t="shared" si="7"/>
        <v>0</v>
      </c>
      <c r="H25" s="196">
        <f t="shared" si="7"/>
        <v>17768</v>
      </c>
      <c r="I25" s="194">
        <f t="shared" si="6"/>
        <v>1.150032362459547</v>
      </c>
      <c r="J25" s="196"/>
      <c r="K25" s="196">
        <f>H25+J25</f>
        <v>17768</v>
      </c>
      <c r="L25" s="2524"/>
    </row>
    <row r="26" spans="1:12" ht="14.25" customHeight="1">
      <c r="A26" s="1930"/>
      <c r="B26" s="1944"/>
      <c r="C26" s="167" t="s">
        <v>20</v>
      </c>
      <c r="D26" s="195"/>
      <c r="E26" s="196"/>
      <c r="F26" s="196"/>
      <c r="G26" s="168"/>
      <c r="H26" s="168"/>
      <c r="I26" s="197"/>
      <c r="J26" s="168"/>
      <c r="K26" s="168"/>
      <c r="L26" s="2524"/>
    </row>
    <row r="27" spans="1:12" ht="14.25" customHeight="1">
      <c r="A27" s="1930"/>
      <c r="B27" s="1944"/>
      <c r="C27" s="198" t="s">
        <v>21</v>
      </c>
      <c r="D27" s="195">
        <v>4390</v>
      </c>
      <c r="E27" s="196">
        <v>15450</v>
      </c>
      <c r="F27" s="196">
        <v>15450</v>
      </c>
      <c r="G27" s="196"/>
      <c r="H27" s="196">
        <v>17768</v>
      </c>
      <c r="I27" s="194">
        <f>H27/E27</f>
        <v>1.150032362459547</v>
      </c>
      <c r="J27" s="168"/>
      <c r="K27" s="168">
        <f>H27+J27</f>
        <v>17768</v>
      </c>
      <c r="L27" s="2524"/>
    </row>
    <row r="28" spans="1:12" ht="14.25" customHeight="1">
      <c r="A28" s="1930"/>
      <c r="B28" s="1944"/>
      <c r="C28" s="167" t="s">
        <v>23</v>
      </c>
      <c r="D28" s="195"/>
      <c r="E28" s="196"/>
      <c r="F28" s="196"/>
      <c r="G28" s="168"/>
      <c r="H28" s="168"/>
      <c r="I28" s="194"/>
      <c r="J28" s="168"/>
      <c r="K28" s="168"/>
      <c r="L28" s="2524"/>
    </row>
    <row r="29" spans="1:12" ht="13.9" customHeight="1">
      <c r="A29" s="1930"/>
      <c r="B29" s="1944"/>
      <c r="C29" s="167" t="s">
        <v>24</v>
      </c>
      <c r="D29" s="195"/>
      <c r="E29" s="196"/>
      <c r="F29" s="196"/>
      <c r="G29" s="168"/>
      <c r="H29" s="168"/>
      <c r="I29" s="194"/>
      <c r="J29" s="168"/>
      <c r="K29" s="168"/>
      <c r="L29" s="2524"/>
    </row>
    <row r="30" spans="1:12" ht="24" customHeight="1">
      <c r="A30" s="1930"/>
      <c r="B30" s="1944"/>
      <c r="C30" s="170" t="s">
        <v>90</v>
      </c>
      <c r="D30" s="199"/>
      <c r="E30" s="200"/>
      <c r="F30" s="200"/>
      <c r="G30" s="168"/>
      <c r="H30" s="168"/>
      <c r="I30" s="194"/>
      <c r="J30" s="168"/>
      <c r="K30" s="168"/>
      <c r="L30" s="2524"/>
    </row>
    <row r="31" spans="1:12" s="189" customFormat="1" ht="14.25" customHeight="1">
      <c r="A31" s="1930"/>
      <c r="B31" s="1944"/>
      <c r="C31" s="167" t="s">
        <v>26</v>
      </c>
      <c r="D31" s="195"/>
      <c r="E31" s="196"/>
      <c r="F31" s="196"/>
      <c r="G31" s="168"/>
      <c r="H31" s="168"/>
      <c r="I31" s="194"/>
      <c r="J31" s="168"/>
      <c r="K31" s="168"/>
      <c r="L31" s="2524"/>
    </row>
    <row r="32" spans="1:12" ht="14.25" customHeight="1">
      <c r="A32" s="1930"/>
      <c r="B32" s="1944"/>
      <c r="C32" s="167" t="s">
        <v>27</v>
      </c>
      <c r="D32" s="195"/>
      <c r="E32" s="196"/>
      <c r="F32" s="196"/>
      <c r="G32" s="168"/>
      <c r="H32" s="168"/>
      <c r="I32" s="194"/>
      <c r="J32" s="168"/>
      <c r="K32" s="168"/>
      <c r="L32" s="2524"/>
    </row>
    <row r="33" spans="1:12" s="189" customFormat="1" ht="14.25" customHeight="1">
      <c r="A33" s="1930"/>
      <c r="B33" s="1944"/>
      <c r="C33" s="171" t="s">
        <v>28</v>
      </c>
      <c r="D33" s="193"/>
      <c r="E33" s="201">
        <f>SUM(E37,E36,E34)</f>
        <v>0</v>
      </c>
      <c r="F33" s="201">
        <f t="shared" ref="F33:K33" si="8">SUM(F37,F36,F34)</f>
        <v>0</v>
      </c>
      <c r="G33" s="201"/>
      <c r="H33" s="201">
        <f t="shared" si="8"/>
        <v>0</v>
      </c>
      <c r="I33" s="194"/>
      <c r="J33" s="201">
        <f t="shared" si="8"/>
        <v>0</v>
      </c>
      <c r="K33" s="201">
        <f t="shared" si="8"/>
        <v>0</v>
      </c>
      <c r="L33" s="2524"/>
    </row>
    <row r="34" spans="1:12" s="189" customFormat="1" ht="13.5" customHeight="1">
      <c r="A34" s="1930"/>
      <c r="B34" s="1944"/>
      <c r="C34" s="167" t="s">
        <v>29</v>
      </c>
      <c r="D34" s="195"/>
      <c r="E34" s="196"/>
      <c r="F34" s="196"/>
      <c r="G34" s="168"/>
      <c r="H34" s="168"/>
      <c r="I34" s="194"/>
      <c r="J34" s="168"/>
      <c r="K34" s="168"/>
      <c r="L34" s="2524"/>
    </row>
    <row r="35" spans="1:12" ht="22.5">
      <c r="A35" s="1930"/>
      <c r="B35" s="1944"/>
      <c r="C35" s="170" t="s">
        <v>109</v>
      </c>
      <c r="D35" s="199"/>
      <c r="E35" s="200"/>
      <c r="F35" s="200"/>
      <c r="G35" s="168"/>
      <c r="H35" s="168"/>
      <c r="I35" s="194"/>
      <c r="J35" s="168"/>
      <c r="K35" s="168"/>
      <c r="L35" s="2524"/>
    </row>
    <row r="36" spans="1:12" ht="14.25" customHeight="1">
      <c r="A36" s="1930"/>
      <c r="B36" s="1944"/>
      <c r="C36" s="167" t="s">
        <v>31</v>
      </c>
      <c r="D36" s="195"/>
      <c r="E36" s="196">
        <v>0</v>
      </c>
      <c r="F36" s="196"/>
      <c r="G36" s="168"/>
      <c r="H36" s="168"/>
      <c r="I36" s="194"/>
      <c r="J36" s="168"/>
      <c r="K36" s="168"/>
      <c r="L36" s="2524"/>
    </row>
    <row r="37" spans="1:12" ht="14.25" customHeight="1" thickBot="1">
      <c r="A37" s="2519"/>
      <c r="B37" s="2520"/>
      <c r="C37" s="169" t="s">
        <v>32</v>
      </c>
      <c r="D37" s="202"/>
      <c r="E37" s="203"/>
      <c r="F37" s="203"/>
      <c r="G37" s="172"/>
      <c r="H37" s="172"/>
      <c r="I37" s="204"/>
      <c r="J37" s="172"/>
      <c r="K37" s="172"/>
      <c r="L37" s="2524"/>
    </row>
    <row r="38" spans="1:12" s="189" customFormat="1" ht="8.25" hidden="1" customHeight="1" thickBot="1">
      <c r="A38" s="175" t="s">
        <v>110</v>
      </c>
      <c r="B38" s="205"/>
      <c r="C38" s="185" t="s">
        <v>111</v>
      </c>
      <c r="D38" s="186"/>
      <c r="E38" s="187">
        <f>SUM(E39)</f>
        <v>0</v>
      </c>
      <c r="F38" s="187">
        <f t="shared" ref="F38:K38" si="9">SUM(F39)</f>
        <v>0</v>
      </c>
      <c r="G38" s="187">
        <f t="shared" si="9"/>
        <v>0</v>
      </c>
      <c r="H38" s="187">
        <f t="shared" si="9"/>
        <v>0</v>
      </c>
      <c r="I38" s="188"/>
      <c r="J38" s="187">
        <f t="shared" si="9"/>
        <v>0</v>
      </c>
      <c r="K38" s="187">
        <f t="shared" si="9"/>
        <v>0</v>
      </c>
      <c r="L38" s="231"/>
    </row>
    <row r="39" spans="1:12" s="189" customFormat="1" ht="12.75" hidden="1" customHeight="1" thickBot="1">
      <c r="A39" s="2518"/>
      <c r="B39" s="1972" t="s">
        <v>112</v>
      </c>
      <c r="C39" s="173" t="s">
        <v>113</v>
      </c>
      <c r="D39" s="190"/>
      <c r="E39" s="191">
        <f>SUM(E40,E49)</f>
        <v>0</v>
      </c>
      <c r="F39" s="191">
        <f>SUM(F40,F49)</f>
        <v>0</v>
      </c>
      <c r="G39" s="191">
        <f>SUM(G40,G49)</f>
        <v>0</v>
      </c>
      <c r="H39" s="191">
        <f>SUM(H40,H49)</f>
        <v>0</v>
      </c>
      <c r="I39" s="192"/>
      <c r="J39" s="191">
        <f>SUM(J40,J49)</f>
        <v>0</v>
      </c>
      <c r="K39" s="191">
        <f>SUM(K40,K49)</f>
        <v>0</v>
      </c>
      <c r="L39" s="2460"/>
    </row>
    <row r="40" spans="1:12" ht="13.5" hidden="1" thickBot="1">
      <c r="A40" s="1930"/>
      <c r="B40" s="1944"/>
      <c r="C40" s="165" t="s">
        <v>18</v>
      </c>
      <c r="D40" s="193"/>
      <c r="E40" s="166">
        <f>SUM(E41,E44,E45,E46,E47,E48)</f>
        <v>0</v>
      </c>
      <c r="F40" s="166">
        <f>SUM(F41,F44,F45,F46,F47,F48)</f>
        <v>0</v>
      </c>
      <c r="G40" s="166">
        <f>SUM(G41,G44,G45,G46,G47,G48)</f>
        <v>0</v>
      </c>
      <c r="H40" s="166">
        <f>SUM(H41,H44,H45,H46,H47,H48)</f>
        <v>0</v>
      </c>
      <c r="I40" s="197"/>
      <c r="J40" s="166">
        <f>SUM(J41,J44,J45,J46,J47,J48)</f>
        <v>0</v>
      </c>
      <c r="K40" s="166">
        <f>SUM(K41,K44,K45,K46,K47,K48)</f>
        <v>0</v>
      </c>
      <c r="L40" s="2451"/>
    </row>
    <row r="41" spans="1:12" ht="13.5" hidden="1" thickBot="1">
      <c r="A41" s="1930"/>
      <c r="B41" s="1944"/>
      <c r="C41" s="167" t="s">
        <v>19</v>
      </c>
      <c r="D41" s="195"/>
      <c r="E41" s="196"/>
      <c r="F41" s="196"/>
      <c r="G41" s="196"/>
      <c r="H41" s="196"/>
      <c r="I41" s="197"/>
      <c r="J41" s="196"/>
      <c r="K41" s="196"/>
      <c r="L41" s="2451"/>
    </row>
    <row r="42" spans="1:12" ht="13.5" hidden="1" thickBot="1">
      <c r="A42" s="1930"/>
      <c r="B42" s="1944"/>
      <c r="C42" s="167" t="s">
        <v>20</v>
      </c>
      <c r="D42" s="195"/>
      <c r="E42" s="196"/>
      <c r="F42" s="196"/>
      <c r="G42" s="168"/>
      <c r="H42" s="168"/>
      <c r="I42" s="197"/>
      <c r="J42" s="168"/>
      <c r="K42" s="168"/>
      <c r="L42" s="2451"/>
    </row>
    <row r="43" spans="1:12" ht="23.25" hidden="1" thickBot="1">
      <c r="A43" s="1930"/>
      <c r="B43" s="1944"/>
      <c r="C43" s="174" t="s">
        <v>21</v>
      </c>
      <c r="D43" s="195"/>
      <c r="E43" s="196"/>
      <c r="F43" s="196"/>
      <c r="G43" s="196">
        <f>E43*0.95</f>
        <v>0</v>
      </c>
      <c r="H43" s="196"/>
      <c r="I43" s="197"/>
      <c r="J43" s="168"/>
      <c r="K43" s="168"/>
      <c r="L43" s="2451"/>
    </row>
    <row r="44" spans="1:12" ht="13.5" hidden="1" thickBot="1">
      <c r="A44" s="1930"/>
      <c r="B44" s="1944"/>
      <c r="C44" s="167" t="s">
        <v>23</v>
      </c>
      <c r="D44" s="195"/>
      <c r="E44" s="196"/>
      <c r="F44" s="196"/>
      <c r="G44" s="168"/>
      <c r="H44" s="168"/>
      <c r="I44" s="197"/>
      <c r="J44" s="168"/>
      <c r="K44" s="168"/>
      <c r="L44" s="2451"/>
    </row>
    <row r="45" spans="1:12" ht="13.5" hidden="1" thickBot="1">
      <c r="A45" s="1930"/>
      <c r="B45" s="1944"/>
      <c r="C45" s="167" t="s">
        <v>24</v>
      </c>
      <c r="D45" s="195"/>
      <c r="E45" s="196"/>
      <c r="F45" s="196"/>
      <c r="G45" s="168"/>
      <c r="H45" s="168"/>
      <c r="I45" s="197"/>
      <c r="J45" s="168"/>
      <c r="K45" s="168"/>
      <c r="L45" s="2451"/>
    </row>
    <row r="46" spans="1:12" ht="34.5" hidden="1" thickBot="1">
      <c r="A46" s="1930"/>
      <c r="B46" s="1944"/>
      <c r="C46" s="170" t="s">
        <v>90</v>
      </c>
      <c r="D46" s="199"/>
      <c r="E46" s="200"/>
      <c r="F46" s="200"/>
      <c r="G46" s="168"/>
      <c r="H46" s="168"/>
      <c r="I46" s="197"/>
      <c r="J46" s="168"/>
      <c r="K46" s="168"/>
      <c r="L46" s="2451"/>
    </row>
    <row r="47" spans="1:12" s="189" customFormat="1" ht="13.5" hidden="1" thickBot="1">
      <c r="A47" s="1930"/>
      <c r="B47" s="1944"/>
      <c r="C47" s="167" t="s">
        <v>26</v>
      </c>
      <c r="D47" s="195"/>
      <c r="E47" s="196"/>
      <c r="F47" s="196"/>
      <c r="G47" s="168"/>
      <c r="H47" s="168"/>
      <c r="I47" s="197"/>
      <c r="J47" s="168"/>
      <c r="K47" s="168"/>
      <c r="L47" s="2451"/>
    </row>
    <row r="48" spans="1:12" ht="13.5" hidden="1" thickBot="1">
      <c r="A48" s="1930"/>
      <c r="B48" s="1944"/>
      <c r="C48" s="167" t="s">
        <v>27</v>
      </c>
      <c r="D48" s="195"/>
      <c r="E48" s="196"/>
      <c r="F48" s="196"/>
      <c r="G48" s="168"/>
      <c r="H48" s="168"/>
      <c r="I48" s="197"/>
      <c r="J48" s="168"/>
      <c r="K48" s="168"/>
      <c r="L48" s="2451"/>
    </row>
    <row r="49" spans="1:12" s="189" customFormat="1" ht="13.5" hidden="1" thickBot="1">
      <c r="A49" s="1930"/>
      <c r="B49" s="1944"/>
      <c r="C49" s="171" t="s">
        <v>28</v>
      </c>
      <c r="D49" s="193"/>
      <c r="E49" s="201">
        <f>SUM(E53,E52,E50)</f>
        <v>0</v>
      </c>
      <c r="F49" s="201">
        <f t="shared" ref="F49:H49" si="10">SUM(F53,F52,F50)</f>
        <v>0</v>
      </c>
      <c r="G49" s="201"/>
      <c r="H49" s="201">
        <f t="shared" si="10"/>
        <v>0</v>
      </c>
      <c r="I49" s="197"/>
      <c r="J49" s="201">
        <f t="shared" ref="J49:K49" si="11">SUM(J53,J52,J50)</f>
        <v>0</v>
      </c>
      <c r="K49" s="201">
        <f t="shared" si="11"/>
        <v>0</v>
      </c>
      <c r="L49" s="2451"/>
    </row>
    <row r="50" spans="1:12" s="189" customFormat="1" ht="13.5" hidden="1" thickBot="1">
      <c r="A50" s="1930"/>
      <c r="B50" s="1944"/>
      <c r="C50" s="167" t="s">
        <v>29</v>
      </c>
      <c r="D50" s="195"/>
      <c r="E50" s="196"/>
      <c r="F50" s="196"/>
      <c r="G50" s="168"/>
      <c r="H50" s="168"/>
      <c r="I50" s="197"/>
      <c r="J50" s="168"/>
      <c r="K50" s="168"/>
      <c r="L50" s="2451"/>
    </row>
    <row r="51" spans="1:12" ht="24.75" hidden="1" customHeight="1" thickBot="1">
      <c r="A51" s="1930"/>
      <c r="B51" s="1944"/>
      <c r="C51" s="170" t="s">
        <v>109</v>
      </c>
      <c r="D51" s="199"/>
      <c r="E51" s="200"/>
      <c r="F51" s="200"/>
      <c r="G51" s="168"/>
      <c r="H51" s="168"/>
      <c r="I51" s="197"/>
      <c r="J51" s="168"/>
      <c r="K51" s="168"/>
      <c r="L51" s="2451"/>
    </row>
    <row r="52" spans="1:12" ht="13.5" hidden="1" thickBot="1">
      <c r="A52" s="1930"/>
      <c r="B52" s="1944"/>
      <c r="C52" s="167" t="s">
        <v>31</v>
      </c>
      <c r="D52" s="195">
        <v>6010</v>
      </c>
      <c r="E52" s="196"/>
      <c r="F52" s="196"/>
      <c r="G52" s="168"/>
      <c r="H52" s="168"/>
      <c r="I52" s="194"/>
      <c r="J52" s="168"/>
      <c r="K52" s="168"/>
      <c r="L52" s="2451"/>
    </row>
    <row r="53" spans="1:12" ht="13.5" hidden="1" thickBot="1">
      <c r="A53" s="1931"/>
      <c r="B53" s="1945"/>
      <c r="C53" s="176" t="s">
        <v>32</v>
      </c>
      <c r="D53" s="206"/>
      <c r="E53" s="207"/>
      <c r="F53" s="207"/>
      <c r="G53" s="177"/>
      <c r="H53" s="177"/>
      <c r="I53" s="197"/>
      <c r="J53" s="177"/>
      <c r="K53" s="177"/>
      <c r="L53" s="2525"/>
    </row>
    <row r="54" spans="1:12" s="212" customFormat="1" ht="21" customHeight="1" thickBot="1">
      <c r="A54" s="2109" t="s">
        <v>33</v>
      </c>
      <c r="B54" s="2110"/>
      <c r="C54" s="2111"/>
      <c r="D54" s="208"/>
      <c r="E54" s="209">
        <f>SUM(E38,E22,E6)</f>
        <v>15450</v>
      </c>
      <c r="F54" s="209">
        <f>SUM(F38,F22,F6)</f>
        <v>8015550</v>
      </c>
      <c r="G54" s="209">
        <f t="shared" ref="G54:H54" si="12">SUM(G38,G22,G6)</f>
        <v>0</v>
      </c>
      <c r="H54" s="209">
        <f t="shared" si="12"/>
        <v>17768</v>
      </c>
      <c r="I54" s="210">
        <f>H54/E54</f>
        <v>1.150032362459547</v>
      </c>
      <c r="J54" s="209">
        <f>SUM(J38,J22)</f>
        <v>0</v>
      </c>
      <c r="K54" s="209">
        <f>SUM(K38,K22)</f>
        <v>17768</v>
      </c>
      <c r="L54" s="211"/>
    </row>
    <row r="157" spans="9:9">
      <c r="I157" s="247" t="e">
        <f>H157/E157</f>
        <v>#DIV/0!</v>
      </c>
    </row>
    <row r="158" spans="9:9">
      <c r="I158" s="178" t="e">
        <f>H158/E158</f>
        <v>#DIV/0!</v>
      </c>
    </row>
  </sheetData>
  <mergeCells count="23">
    <mergeCell ref="A39:A53"/>
    <mergeCell ref="B39:B53"/>
    <mergeCell ref="L39:L53"/>
    <mergeCell ref="A54:C54"/>
    <mergeCell ref="A1:L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7:A21"/>
    <mergeCell ref="B7:B21"/>
    <mergeCell ref="L7:L21"/>
    <mergeCell ref="B5:C5"/>
    <mergeCell ref="A23:A37"/>
    <mergeCell ref="B23:B37"/>
    <mergeCell ref="L23:L37"/>
  </mergeCells>
  <printOptions horizontalCentered="1"/>
  <pageMargins left="0.19685039370078741" right="0.19685039370078741" top="0.39370078740157483" bottom="0.39370078740157483" header="0.51181102362204722" footer="0.43307086614173229"/>
  <pageSetup paperSize="9" scale="80" orientation="landscape" horizontalDpi="4294967295" verticalDpi="429496729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FFFF"/>
  </sheetPr>
  <dimension ref="A1:V51"/>
  <sheetViews>
    <sheetView view="pageBreakPreview" zoomScaleNormal="100" zoomScaleSheetLayoutView="100" workbookViewId="0">
      <selection activeCell="O10" sqref="O10"/>
    </sheetView>
  </sheetViews>
  <sheetFormatPr defaultRowHeight="12.75"/>
  <cols>
    <col min="1" max="1" width="4.5703125" style="220" bestFit="1" customWidth="1"/>
    <col min="2" max="2" width="7.42578125" style="220" bestFit="1" customWidth="1"/>
    <col min="3" max="3" width="41.85546875" style="220" customWidth="1"/>
    <col min="4" max="4" width="5.28515625" style="1296" bestFit="1" customWidth="1"/>
    <col min="5" max="6" width="12.140625" style="220" customWidth="1"/>
    <col min="7" max="7" width="10.5703125" style="220" hidden="1" customWidth="1"/>
    <col min="8" max="8" width="12.140625" style="220" hidden="1" customWidth="1"/>
    <col min="9" max="9" width="8.5703125" style="220" hidden="1" customWidth="1"/>
    <col min="10" max="10" width="12.140625" style="220" hidden="1" customWidth="1"/>
    <col min="11" max="11" width="12.140625" style="220" customWidth="1"/>
    <col min="12" max="12" width="7.85546875" style="220" hidden="1" customWidth="1"/>
    <col min="13" max="13" width="73.28515625" style="220" customWidth="1"/>
    <col min="14" max="22" width="9.140625" style="214" customWidth="1"/>
    <col min="23" max="246" width="9.140625" style="2" customWidth="1"/>
    <col min="247" max="247" width="4.28515625" style="2" bestFit="1" customWidth="1"/>
    <col min="248" max="248" width="6.85546875" style="2" bestFit="1" customWidth="1"/>
    <col min="249" max="249" width="11" style="2" customWidth="1"/>
    <col min="250" max="250" width="11.140625" style="2" bestFit="1" customWidth="1"/>
    <col min="251" max="251" width="10.85546875" style="2" customWidth="1"/>
    <col min="252" max="252" width="11.5703125" style="2" customWidth="1"/>
    <col min="253" max="253" width="11.140625" style="2" bestFit="1" customWidth="1"/>
    <col min="254" max="254" width="11" style="2" customWidth="1"/>
    <col min="255" max="255" width="10.42578125" style="2" customWidth="1"/>
    <col min="256" max="256" width="11.28515625" style="2" customWidth="1"/>
    <col min="257" max="258" width="9.140625" style="2" bestFit="1" customWidth="1"/>
    <col min="259" max="260" width="11.140625" style="2" bestFit="1" customWidth="1"/>
    <col min="261" max="261" width="11.5703125" style="2" bestFit="1" customWidth="1"/>
    <col min="262" max="262" width="9.140625" style="2" bestFit="1" customWidth="1"/>
    <col min="263" max="263" width="10.28515625" style="2" customWidth="1"/>
    <col min="264" max="502" width="9.140625" style="2" customWidth="1"/>
    <col min="503" max="503" width="4.28515625" style="2" bestFit="1" customWidth="1"/>
    <col min="504" max="504" width="6.85546875" style="2" bestFit="1" customWidth="1"/>
    <col min="505" max="505" width="11" style="2" customWidth="1"/>
    <col min="506" max="506" width="11.140625" style="2" bestFit="1" customWidth="1"/>
    <col min="507" max="507" width="10.85546875" style="2" customWidth="1"/>
    <col min="508" max="508" width="11.5703125" style="2" customWidth="1"/>
    <col min="509" max="509" width="11.140625" style="2" bestFit="1" customWidth="1"/>
    <col min="510" max="510" width="11" style="2" customWidth="1"/>
    <col min="511" max="511" width="10.42578125" style="2" customWidth="1"/>
    <col min="512" max="512" width="11.28515625" style="2" customWidth="1"/>
    <col min="513" max="514" width="9.140625" style="2" bestFit="1" customWidth="1"/>
    <col min="515" max="516" width="11.140625" style="2" bestFit="1" customWidth="1"/>
    <col min="517" max="517" width="11.5703125" style="2" bestFit="1" customWidth="1"/>
    <col min="518" max="518" width="9.140625" style="2" bestFit="1" customWidth="1"/>
    <col min="519" max="519" width="10.28515625" style="2" customWidth="1"/>
    <col min="520" max="758" width="9.140625" style="2" customWidth="1"/>
    <col min="759" max="759" width="4.28515625" style="2" bestFit="1" customWidth="1"/>
    <col min="760" max="760" width="6.85546875" style="2" bestFit="1" customWidth="1"/>
    <col min="761" max="761" width="11" style="2" customWidth="1"/>
    <col min="762" max="762" width="11.140625" style="2" bestFit="1" customWidth="1"/>
    <col min="763" max="763" width="10.85546875" style="2" customWidth="1"/>
    <col min="764" max="764" width="11.5703125" style="2" customWidth="1"/>
    <col min="765" max="765" width="11.140625" style="2" bestFit="1" customWidth="1"/>
    <col min="766" max="766" width="11" style="2" customWidth="1"/>
    <col min="767" max="767" width="10.42578125" style="2" customWidth="1"/>
    <col min="768" max="768" width="11.28515625" style="2" customWidth="1"/>
    <col min="769" max="770" width="9.140625" style="2" bestFit="1" customWidth="1"/>
    <col min="771" max="772" width="11.140625" style="2" bestFit="1" customWidth="1"/>
    <col min="773" max="773" width="11.5703125" style="2" bestFit="1" customWidth="1"/>
    <col min="774" max="774" width="9.140625" style="2" bestFit="1" customWidth="1"/>
    <col min="775" max="775" width="10.28515625" style="2" customWidth="1"/>
    <col min="776" max="1014" width="9.140625" style="2" customWidth="1"/>
    <col min="1015" max="1015" width="4.28515625" style="2" bestFit="1" customWidth="1"/>
    <col min="1016" max="1016" width="6.85546875" style="2" bestFit="1" customWidth="1"/>
    <col min="1017" max="1017" width="11" style="2" customWidth="1"/>
    <col min="1018" max="1018" width="11.140625" style="2" bestFit="1" customWidth="1"/>
    <col min="1019" max="1019" width="10.85546875" style="2" customWidth="1"/>
    <col min="1020" max="1020" width="11.5703125" style="2" customWidth="1"/>
    <col min="1021" max="1021" width="11.140625" style="2" bestFit="1" customWidth="1"/>
    <col min="1022" max="1022" width="11" style="2" customWidth="1"/>
    <col min="1023" max="1023" width="10.42578125" style="2" customWidth="1"/>
    <col min="1024" max="1024" width="11.28515625" style="2" customWidth="1"/>
    <col min="1025" max="1026" width="9.140625" style="2" bestFit="1" customWidth="1"/>
    <col min="1027" max="1028" width="11.140625" style="2" bestFit="1" customWidth="1"/>
    <col min="1029" max="1029" width="11.5703125" style="2" bestFit="1" customWidth="1"/>
    <col min="1030" max="1030" width="9.140625" style="2" bestFit="1" customWidth="1"/>
    <col min="1031" max="1031" width="10.28515625" style="2" customWidth="1"/>
    <col min="1032" max="1270" width="9.140625" style="2" customWidth="1"/>
    <col min="1271" max="1271" width="4.28515625" style="2" bestFit="1" customWidth="1"/>
    <col min="1272" max="1272" width="6.85546875" style="2" bestFit="1" customWidth="1"/>
    <col min="1273" max="1273" width="11" style="2" customWidth="1"/>
    <col min="1274" max="1274" width="11.140625" style="2" bestFit="1" customWidth="1"/>
    <col min="1275" max="1275" width="10.85546875" style="2" customWidth="1"/>
    <col min="1276" max="1276" width="11.5703125" style="2" customWidth="1"/>
    <col min="1277" max="1277" width="11.140625" style="2" bestFit="1" customWidth="1"/>
    <col min="1278" max="1278" width="11" style="2" customWidth="1"/>
    <col min="1279" max="1279" width="10.42578125" style="2" customWidth="1"/>
    <col min="1280" max="1280" width="11.28515625" style="2" customWidth="1"/>
    <col min="1281" max="1282" width="9.140625" style="2" bestFit="1" customWidth="1"/>
    <col min="1283" max="1284" width="11.140625" style="2" bestFit="1" customWidth="1"/>
    <col min="1285" max="1285" width="11.5703125" style="2" bestFit="1" customWidth="1"/>
    <col min="1286" max="1286" width="9.140625" style="2" bestFit="1" customWidth="1"/>
    <col min="1287" max="1287" width="10.28515625" style="2" customWidth="1"/>
    <col min="1288" max="1526" width="9.140625" style="2" customWidth="1"/>
    <col min="1527" max="1527" width="4.28515625" style="2" bestFit="1" customWidth="1"/>
    <col min="1528" max="1528" width="6.85546875" style="2" bestFit="1" customWidth="1"/>
    <col min="1529" max="1529" width="11" style="2" customWidth="1"/>
    <col min="1530" max="1530" width="11.140625" style="2" bestFit="1" customWidth="1"/>
    <col min="1531" max="1531" width="10.85546875" style="2" customWidth="1"/>
    <col min="1532" max="1532" width="11.5703125" style="2" customWidth="1"/>
    <col min="1533" max="1533" width="11.140625" style="2" bestFit="1" customWidth="1"/>
    <col min="1534" max="1534" width="11" style="2" customWidth="1"/>
    <col min="1535" max="1535" width="10.42578125" style="2" customWidth="1"/>
    <col min="1536" max="1536" width="11.28515625" style="2" customWidth="1"/>
    <col min="1537" max="1538" width="9.140625" style="2" bestFit="1" customWidth="1"/>
    <col min="1539" max="1540" width="11.140625" style="2" bestFit="1" customWidth="1"/>
    <col min="1541" max="1541" width="11.5703125" style="2" bestFit="1" customWidth="1"/>
    <col min="1542" max="1542" width="9.140625" style="2" bestFit="1" customWidth="1"/>
    <col min="1543" max="1543" width="10.28515625" style="2" customWidth="1"/>
    <col min="1544" max="1782" width="9.140625" style="2" customWidth="1"/>
    <col min="1783" max="1783" width="4.28515625" style="2" bestFit="1" customWidth="1"/>
    <col min="1784" max="1784" width="6.85546875" style="2" bestFit="1" customWidth="1"/>
    <col min="1785" max="1785" width="11" style="2" customWidth="1"/>
    <col min="1786" max="1786" width="11.140625" style="2" bestFit="1" customWidth="1"/>
    <col min="1787" max="1787" width="10.85546875" style="2" customWidth="1"/>
    <col min="1788" max="1788" width="11.5703125" style="2" customWidth="1"/>
    <col min="1789" max="1789" width="11.140625" style="2" bestFit="1" customWidth="1"/>
    <col min="1790" max="1790" width="11" style="2" customWidth="1"/>
    <col min="1791" max="1791" width="10.42578125" style="2" customWidth="1"/>
    <col min="1792" max="1792" width="11.28515625" style="2" customWidth="1"/>
    <col min="1793" max="1794" width="9.140625" style="2" bestFit="1" customWidth="1"/>
    <col min="1795" max="1796" width="11.140625" style="2" bestFit="1" customWidth="1"/>
    <col min="1797" max="1797" width="11.5703125" style="2" bestFit="1" customWidth="1"/>
    <col min="1798" max="1798" width="9.140625" style="2" bestFit="1" customWidth="1"/>
    <col min="1799" max="1799" width="10.28515625" style="2" customWidth="1"/>
    <col min="1800" max="2038" width="9.140625" style="2" customWidth="1"/>
    <col min="2039" max="2039" width="4.28515625" style="2" bestFit="1" customWidth="1"/>
    <col min="2040" max="2040" width="6.85546875" style="2" bestFit="1" customWidth="1"/>
    <col min="2041" max="2041" width="11" style="2" customWidth="1"/>
    <col min="2042" max="2042" width="11.140625" style="2" bestFit="1" customWidth="1"/>
    <col min="2043" max="2043" width="10.85546875" style="2" customWidth="1"/>
    <col min="2044" max="2044" width="11.5703125" style="2" customWidth="1"/>
    <col min="2045" max="2045" width="11.140625" style="2" bestFit="1" customWidth="1"/>
    <col min="2046" max="2046" width="11" style="2" customWidth="1"/>
    <col min="2047" max="2047" width="10.42578125" style="2" customWidth="1"/>
    <col min="2048" max="2048" width="11.28515625" style="2" customWidth="1"/>
    <col min="2049" max="2050" width="9.140625" style="2" bestFit="1" customWidth="1"/>
    <col min="2051" max="2052" width="11.140625" style="2" bestFit="1" customWidth="1"/>
    <col min="2053" max="2053" width="11.5703125" style="2" bestFit="1" customWidth="1"/>
    <col min="2054" max="2054" width="9.140625" style="2" bestFit="1" customWidth="1"/>
    <col min="2055" max="2055" width="10.28515625" style="2" customWidth="1"/>
    <col min="2056" max="2294" width="9.140625" style="2" customWidth="1"/>
    <col min="2295" max="2295" width="4.28515625" style="2" bestFit="1" customWidth="1"/>
    <col min="2296" max="2296" width="6.85546875" style="2" bestFit="1" customWidth="1"/>
    <col min="2297" max="2297" width="11" style="2" customWidth="1"/>
    <col min="2298" max="2298" width="11.140625" style="2" bestFit="1" customWidth="1"/>
    <col min="2299" max="2299" width="10.85546875" style="2" customWidth="1"/>
    <col min="2300" max="2300" width="11.5703125" style="2" customWidth="1"/>
    <col min="2301" max="2301" width="11.140625" style="2" bestFit="1" customWidth="1"/>
    <col min="2302" max="2302" width="11" style="2" customWidth="1"/>
    <col min="2303" max="2303" width="10.42578125" style="2" customWidth="1"/>
    <col min="2304" max="2304" width="11.28515625" style="2" customWidth="1"/>
    <col min="2305" max="2306" width="9.140625" style="2" bestFit="1" customWidth="1"/>
    <col min="2307" max="2308" width="11.140625" style="2" bestFit="1" customWidth="1"/>
    <col min="2309" max="2309" width="11.5703125" style="2" bestFit="1" customWidth="1"/>
    <col min="2310" max="2310" width="9.140625" style="2" bestFit="1" customWidth="1"/>
    <col min="2311" max="2311" width="10.28515625" style="2" customWidth="1"/>
    <col min="2312" max="2550" width="9.140625" style="2" customWidth="1"/>
    <col min="2551" max="2551" width="4.28515625" style="2" bestFit="1" customWidth="1"/>
    <col min="2552" max="2552" width="6.85546875" style="2" bestFit="1" customWidth="1"/>
    <col min="2553" max="2553" width="11" style="2" customWidth="1"/>
    <col min="2554" max="2554" width="11.140625" style="2" bestFit="1" customWidth="1"/>
    <col min="2555" max="2555" width="10.85546875" style="2" customWidth="1"/>
    <col min="2556" max="2556" width="11.5703125" style="2" customWidth="1"/>
    <col min="2557" max="2557" width="11.140625" style="2" bestFit="1" customWidth="1"/>
    <col min="2558" max="2558" width="11" style="2" customWidth="1"/>
    <col min="2559" max="2559" width="10.42578125" style="2" customWidth="1"/>
    <col min="2560" max="2560" width="11.28515625" style="2" customWidth="1"/>
    <col min="2561" max="2562" width="9.140625" style="2" bestFit="1" customWidth="1"/>
    <col min="2563" max="2564" width="11.140625" style="2" bestFit="1" customWidth="1"/>
    <col min="2565" max="2565" width="11.5703125" style="2" bestFit="1" customWidth="1"/>
    <col min="2566" max="2566" width="9.140625" style="2" bestFit="1" customWidth="1"/>
    <col min="2567" max="2567" width="10.28515625" style="2" customWidth="1"/>
    <col min="2568" max="2806" width="9.140625" style="2" customWidth="1"/>
    <col min="2807" max="2807" width="4.28515625" style="2" bestFit="1" customWidth="1"/>
    <col min="2808" max="2808" width="6.85546875" style="2" bestFit="1" customWidth="1"/>
    <col min="2809" max="2809" width="11" style="2" customWidth="1"/>
    <col min="2810" max="2810" width="11.140625" style="2" bestFit="1" customWidth="1"/>
    <col min="2811" max="2811" width="10.85546875" style="2" customWidth="1"/>
    <col min="2812" max="2812" width="11.5703125" style="2" customWidth="1"/>
    <col min="2813" max="2813" width="11.140625" style="2" bestFit="1" customWidth="1"/>
    <col min="2814" max="2814" width="11" style="2" customWidth="1"/>
    <col min="2815" max="2815" width="10.42578125" style="2" customWidth="1"/>
    <col min="2816" max="2816" width="11.28515625" style="2" customWidth="1"/>
    <col min="2817" max="2818" width="9.140625" style="2" bestFit="1" customWidth="1"/>
    <col min="2819" max="2820" width="11.140625" style="2" bestFit="1" customWidth="1"/>
    <col min="2821" max="2821" width="11.5703125" style="2" bestFit="1" customWidth="1"/>
    <col min="2822" max="2822" width="9.140625" style="2" bestFit="1" customWidth="1"/>
    <col min="2823" max="2823" width="10.28515625" style="2" customWidth="1"/>
    <col min="2824" max="3062" width="9.140625" style="2" customWidth="1"/>
    <col min="3063" max="3063" width="4.28515625" style="2" bestFit="1" customWidth="1"/>
    <col min="3064" max="3064" width="6.85546875" style="2" bestFit="1" customWidth="1"/>
    <col min="3065" max="3065" width="11" style="2" customWidth="1"/>
    <col min="3066" max="3066" width="11.140625" style="2" bestFit="1" customWidth="1"/>
    <col min="3067" max="3067" width="10.85546875" style="2" customWidth="1"/>
    <col min="3068" max="3068" width="11.5703125" style="2" customWidth="1"/>
    <col min="3069" max="3069" width="11.140625" style="2" bestFit="1" customWidth="1"/>
    <col min="3070" max="3070" width="11" style="2" customWidth="1"/>
    <col min="3071" max="3071" width="10.42578125" style="2" customWidth="1"/>
    <col min="3072" max="3072" width="11.28515625" style="2" customWidth="1"/>
    <col min="3073" max="3074" width="9.140625" style="2" bestFit="1" customWidth="1"/>
    <col min="3075" max="3076" width="11.140625" style="2" bestFit="1" customWidth="1"/>
    <col min="3077" max="3077" width="11.5703125" style="2" bestFit="1" customWidth="1"/>
    <col min="3078" max="3078" width="9.140625" style="2" bestFit="1" customWidth="1"/>
    <col min="3079" max="3079" width="10.28515625" style="2" customWidth="1"/>
    <col min="3080" max="3318" width="9.140625" style="2" customWidth="1"/>
    <col min="3319" max="3319" width="4.28515625" style="2" bestFit="1" customWidth="1"/>
    <col min="3320" max="3320" width="6.85546875" style="2" bestFit="1" customWidth="1"/>
    <col min="3321" max="3321" width="11" style="2" customWidth="1"/>
    <col min="3322" max="3322" width="11.140625" style="2" bestFit="1" customWidth="1"/>
    <col min="3323" max="3323" width="10.85546875" style="2" customWidth="1"/>
    <col min="3324" max="3324" width="11.5703125" style="2" customWidth="1"/>
    <col min="3325" max="3325" width="11.140625" style="2" bestFit="1" customWidth="1"/>
    <col min="3326" max="3326" width="11" style="2" customWidth="1"/>
    <col min="3327" max="3327" width="10.42578125" style="2" customWidth="1"/>
    <col min="3328" max="3328" width="11.28515625" style="2" customWidth="1"/>
    <col min="3329" max="3330" width="9.140625" style="2" bestFit="1" customWidth="1"/>
    <col min="3331" max="3332" width="11.140625" style="2" bestFit="1" customWidth="1"/>
    <col min="3333" max="3333" width="11.5703125" style="2" bestFit="1" customWidth="1"/>
    <col min="3334" max="3334" width="9.140625" style="2" bestFit="1" customWidth="1"/>
    <col min="3335" max="3335" width="10.28515625" style="2" customWidth="1"/>
    <col min="3336" max="3574" width="9.140625" style="2" customWidth="1"/>
    <col min="3575" max="3575" width="4.28515625" style="2" bestFit="1" customWidth="1"/>
    <col min="3576" max="3576" width="6.85546875" style="2" bestFit="1" customWidth="1"/>
    <col min="3577" max="3577" width="11" style="2" customWidth="1"/>
    <col min="3578" max="3578" width="11.140625" style="2" bestFit="1" customWidth="1"/>
    <col min="3579" max="3579" width="10.85546875" style="2" customWidth="1"/>
    <col min="3580" max="3580" width="11.5703125" style="2" customWidth="1"/>
    <col min="3581" max="3581" width="11.140625" style="2" bestFit="1" customWidth="1"/>
    <col min="3582" max="3582" width="11" style="2" customWidth="1"/>
    <col min="3583" max="3583" width="10.42578125" style="2" customWidth="1"/>
    <col min="3584" max="3584" width="11.28515625" style="2" customWidth="1"/>
    <col min="3585" max="3586" width="9.140625" style="2" bestFit="1" customWidth="1"/>
    <col min="3587" max="3588" width="11.140625" style="2" bestFit="1" customWidth="1"/>
    <col min="3589" max="3589" width="11.5703125" style="2" bestFit="1" customWidth="1"/>
    <col min="3590" max="3590" width="9.140625" style="2" bestFit="1" customWidth="1"/>
    <col min="3591" max="3591" width="10.28515625" style="2" customWidth="1"/>
    <col min="3592" max="3830" width="9.140625" style="2" customWidth="1"/>
    <col min="3831" max="3831" width="4.28515625" style="2" bestFit="1" customWidth="1"/>
    <col min="3832" max="3832" width="6.85546875" style="2" bestFit="1" customWidth="1"/>
    <col min="3833" max="3833" width="11" style="2" customWidth="1"/>
    <col min="3834" max="3834" width="11.140625" style="2" bestFit="1" customWidth="1"/>
    <col min="3835" max="3835" width="10.85546875" style="2" customWidth="1"/>
    <col min="3836" max="3836" width="11.5703125" style="2" customWidth="1"/>
    <col min="3837" max="3837" width="11.140625" style="2" bestFit="1" customWidth="1"/>
    <col min="3838" max="3838" width="11" style="2" customWidth="1"/>
    <col min="3839" max="3839" width="10.42578125" style="2" customWidth="1"/>
    <col min="3840" max="3840" width="11.28515625" style="2" customWidth="1"/>
    <col min="3841" max="3842" width="9.140625" style="2" bestFit="1" customWidth="1"/>
    <col min="3843" max="3844" width="11.140625" style="2" bestFit="1" customWidth="1"/>
    <col min="3845" max="3845" width="11.5703125" style="2" bestFit="1" customWidth="1"/>
    <col min="3846" max="3846" width="9.140625" style="2" bestFit="1" customWidth="1"/>
    <col min="3847" max="3847" width="10.28515625" style="2" customWidth="1"/>
    <col min="3848" max="4086" width="9.140625" style="2" customWidth="1"/>
    <col min="4087" max="4087" width="4.28515625" style="2" bestFit="1" customWidth="1"/>
    <col min="4088" max="4088" width="6.85546875" style="2" bestFit="1" customWidth="1"/>
    <col min="4089" max="4089" width="11" style="2" customWidth="1"/>
    <col min="4090" max="4090" width="11.140625" style="2" bestFit="1" customWidth="1"/>
    <col min="4091" max="4091" width="10.85546875" style="2" customWidth="1"/>
    <col min="4092" max="4092" width="11.5703125" style="2" customWidth="1"/>
    <col min="4093" max="4093" width="11.140625" style="2" bestFit="1" customWidth="1"/>
    <col min="4094" max="4094" width="11" style="2" customWidth="1"/>
    <col min="4095" max="4095" width="10.42578125" style="2" customWidth="1"/>
    <col min="4096" max="4096" width="11.28515625" style="2" customWidth="1"/>
    <col min="4097" max="4098" width="9.140625" style="2" bestFit="1" customWidth="1"/>
    <col min="4099" max="4100" width="11.140625" style="2" bestFit="1" customWidth="1"/>
    <col min="4101" max="4101" width="11.5703125" style="2" bestFit="1" customWidth="1"/>
    <col min="4102" max="4102" width="9.140625" style="2" bestFit="1" customWidth="1"/>
    <col min="4103" max="4103" width="10.28515625" style="2" customWidth="1"/>
    <col min="4104" max="4342" width="9.140625" style="2" customWidth="1"/>
    <col min="4343" max="4343" width="4.28515625" style="2" bestFit="1" customWidth="1"/>
    <col min="4344" max="4344" width="6.85546875" style="2" bestFit="1" customWidth="1"/>
    <col min="4345" max="4345" width="11" style="2" customWidth="1"/>
    <col min="4346" max="4346" width="11.140625" style="2" bestFit="1" customWidth="1"/>
    <col min="4347" max="4347" width="10.85546875" style="2" customWidth="1"/>
    <col min="4348" max="4348" width="11.5703125" style="2" customWidth="1"/>
    <col min="4349" max="4349" width="11.140625" style="2" bestFit="1" customWidth="1"/>
    <col min="4350" max="4350" width="11" style="2" customWidth="1"/>
    <col min="4351" max="4351" width="10.42578125" style="2" customWidth="1"/>
    <col min="4352" max="4352" width="11.28515625" style="2" customWidth="1"/>
    <col min="4353" max="4354" width="9.140625" style="2" bestFit="1" customWidth="1"/>
    <col min="4355" max="4356" width="11.140625" style="2" bestFit="1" customWidth="1"/>
    <col min="4357" max="4357" width="11.5703125" style="2" bestFit="1" customWidth="1"/>
    <col min="4358" max="4358" width="9.140625" style="2" bestFit="1" customWidth="1"/>
    <col min="4359" max="4359" width="10.28515625" style="2" customWidth="1"/>
    <col min="4360" max="4598" width="9.140625" style="2" customWidth="1"/>
    <col min="4599" max="4599" width="4.28515625" style="2" bestFit="1" customWidth="1"/>
    <col min="4600" max="4600" width="6.85546875" style="2" bestFit="1" customWidth="1"/>
    <col min="4601" max="4601" width="11" style="2" customWidth="1"/>
    <col min="4602" max="4602" width="11.140625" style="2" bestFit="1" customWidth="1"/>
    <col min="4603" max="4603" width="10.85546875" style="2" customWidth="1"/>
    <col min="4604" max="4604" width="11.5703125" style="2" customWidth="1"/>
    <col min="4605" max="4605" width="11.140625" style="2" bestFit="1" customWidth="1"/>
    <col min="4606" max="4606" width="11" style="2" customWidth="1"/>
    <col min="4607" max="4607" width="10.42578125" style="2" customWidth="1"/>
    <col min="4608" max="4608" width="11.28515625" style="2" customWidth="1"/>
    <col min="4609" max="4610" width="9.140625" style="2" bestFit="1" customWidth="1"/>
    <col min="4611" max="4612" width="11.140625" style="2" bestFit="1" customWidth="1"/>
    <col min="4613" max="4613" width="11.5703125" style="2" bestFit="1" customWidth="1"/>
    <col min="4614" max="4614" width="9.140625" style="2" bestFit="1" customWidth="1"/>
    <col min="4615" max="4615" width="10.28515625" style="2" customWidth="1"/>
    <col min="4616" max="4854" width="9.140625" style="2" customWidth="1"/>
    <col min="4855" max="4855" width="4.28515625" style="2" bestFit="1" customWidth="1"/>
    <col min="4856" max="4856" width="6.85546875" style="2" bestFit="1" customWidth="1"/>
    <col min="4857" max="4857" width="11" style="2" customWidth="1"/>
    <col min="4858" max="4858" width="11.140625" style="2" bestFit="1" customWidth="1"/>
    <col min="4859" max="4859" width="10.85546875" style="2" customWidth="1"/>
    <col min="4860" max="4860" width="11.5703125" style="2" customWidth="1"/>
    <col min="4861" max="4861" width="11.140625" style="2" bestFit="1" customWidth="1"/>
    <col min="4862" max="4862" width="11" style="2" customWidth="1"/>
    <col min="4863" max="4863" width="10.42578125" style="2" customWidth="1"/>
    <col min="4864" max="4864" width="11.28515625" style="2" customWidth="1"/>
    <col min="4865" max="4866" width="9.140625" style="2" bestFit="1" customWidth="1"/>
    <col min="4867" max="4868" width="11.140625" style="2" bestFit="1" customWidth="1"/>
    <col min="4869" max="4869" width="11.5703125" style="2" bestFit="1" customWidth="1"/>
    <col min="4870" max="4870" width="9.140625" style="2" bestFit="1" customWidth="1"/>
    <col min="4871" max="4871" width="10.28515625" style="2" customWidth="1"/>
    <col min="4872" max="5110" width="9.140625" style="2" customWidth="1"/>
    <col min="5111" max="5111" width="4.28515625" style="2" bestFit="1" customWidth="1"/>
    <col min="5112" max="5112" width="6.85546875" style="2" bestFit="1" customWidth="1"/>
    <col min="5113" max="5113" width="11" style="2" customWidth="1"/>
    <col min="5114" max="5114" width="11.140625" style="2" bestFit="1" customWidth="1"/>
    <col min="5115" max="5115" width="10.85546875" style="2" customWidth="1"/>
    <col min="5116" max="5116" width="11.5703125" style="2" customWidth="1"/>
    <col min="5117" max="5117" width="11.140625" style="2" bestFit="1" customWidth="1"/>
    <col min="5118" max="5118" width="11" style="2" customWidth="1"/>
    <col min="5119" max="5119" width="10.42578125" style="2" customWidth="1"/>
    <col min="5120" max="5120" width="11.28515625" style="2" customWidth="1"/>
    <col min="5121" max="5122" width="9.140625" style="2" bestFit="1" customWidth="1"/>
    <col min="5123" max="5124" width="11.140625" style="2" bestFit="1" customWidth="1"/>
    <col min="5125" max="5125" width="11.5703125" style="2" bestFit="1" customWidth="1"/>
    <col min="5126" max="5126" width="9.140625" style="2" bestFit="1" customWidth="1"/>
    <col min="5127" max="5127" width="10.28515625" style="2" customWidth="1"/>
    <col min="5128" max="5366" width="9.140625" style="2" customWidth="1"/>
    <col min="5367" max="5367" width="4.28515625" style="2" bestFit="1" customWidth="1"/>
    <col min="5368" max="5368" width="6.85546875" style="2" bestFit="1" customWidth="1"/>
    <col min="5369" max="5369" width="11" style="2" customWidth="1"/>
    <col min="5370" max="5370" width="11.140625" style="2" bestFit="1" customWidth="1"/>
    <col min="5371" max="5371" width="10.85546875" style="2" customWidth="1"/>
    <col min="5372" max="5372" width="11.5703125" style="2" customWidth="1"/>
    <col min="5373" max="5373" width="11.140625" style="2" bestFit="1" customWidth="1"/>
    <col min="5374" max="5374" width="11" style="2" customWidth="1"/>
    <col min="5375" max="5375" width="10.42578125" style="2" customWidth="1"/>
    <col min="5376" max="5376" width="11.28515625" style="2" customWidth="1"/>
    <col min="5377" max="5378" width="9.140625" style="2" bestFit="1" customWidth="1"/>
    <col min="5379" max="5380" width="11.140625" style="2" bestFit="1" customWidth="1"/>
    <col min="5381" max="5381" width="11.5703125" style="2" bestFit="1" customWidth="1"/>
    <col min="5382" max="5382" width="9.140625" style="2" bestFit="1" customWidth="1"/>
    <col min="5383" max="5383" width="10.28515625" style="2" customWidth="1"/>
    <col min="5384" max="5622" width="9.140625" style="2" customWidth="1"/>
    <col min="5623" max="5623" width="4.28515625" style="2" bestFit="1" customWidth="1"/>
    <col min="5624" max="5624" width="6.85546875" style="2" bestFit="1" customWidth="1"/>
    <col min="5625" max="5625" width="11" style="2" customWidth="1"/>
    <col min="5626" max="5626" width="11.140625" style="2" bestFit="1" customWidth="1"/>
    <col min="5627" max="5627" width="10.85546875" style="2" customWidth="1"/>
    <col min="5628" max="5628" width="11.5703125" style="2" customWidth="1"/>
    <col min="5629" max="5629" width="11.140625" style="2" bestFit="1" customWidth="1"/>
    <col min="5630" max="5630" width="11" style="2" customWidth="1"/>
    <col min="5631" max="5631" width="10.42578125" style="2" customWidth="1"/>
    <col min="5632" max="5632" width="11.28515625" style="2" customWidth="1"/>
    <col min="5633" max="5634" width="9.140625" style="2" bestFit="1" customWidth="1"/>
    <col min="5635" max="5636" width="11.140625" style="2" bestFit="1" customWidth="1"/>
    <col min="5637" max="5637" width="11.5703125" style="2" bestFit="1" customWidth="1"/>
    <col min="5638" max="5638" width="9.140625" style="2" bestFit="1" customWidth="1"/>
    <col min="5639" max="5639" width="10.28515625" style="2" customWidth="1"/>
    <col min="5640" max="5878" width="9.140625" style="2" customWidth="1"/>
    <col min="5879" max="5879" width="4.28515625" style="2" bestFit="1" customWidth="1"/>
    <col min="5880" max="5880" width="6.85546875" style="2" bestFit="1" customWidth="1"/>
    <col min="5881" max="5881" width="11" style="2" customWidth="1"/>
    <col min="5882" max="5882" width="11.140625" style="2" bestFit="1" customWidth="1"/>
    <col min="5883" max="5883" width="10.85546875" style="2" customWidth="1"/>
    <col min="5884" max="5884" width="11.5703125" style="2" customWidth="1"/>
    <col min="5885" max="5885" width="11.140625" style="2" bestFit="1" customWidth="1"/>
    <col min="5886" max="5886" width="11" style="2" customWidth="1"/>
    <col min="5887" max="5887" width="10.42578125" style="2" customWidth="1"/>
    <col min="5888" max="5888" width="11.28515625" style="2" customWidth="1"/>
    <col min="5889" max="5890" width="9.140625" style="2" bestFit="1" customWidth="1"/>
    <col min="5891" max="5892" width="11.140625" style="2" bestFit="1" customWidth="1"/>
    <col min="5893" max="5893" width="11.5703125" style="2" bestFit="1" customWidth="1"/>
    <col min="5894" max="5894" width="9.140625" style="2" bestFit="1" customWidth="1"/>
    <col min="5895" max="5895" width="10.28515625" style="2" customWidth="1"/>
    <col min="5896" max="6134" width="9.140625" style="2" customWidth="1"/>
    <col min="6135" max="6135" width="4.28515625" style="2" bestFit="1" customWidth="1"/>
    <col min="6136" max="6136" width="6.85546875" style="2" bestFit="1" customWidth="1"/>
    <col min="6137" max="6137" width="11" style="2" customWidth="1"/>
    <col min="6138" max="6138" width="11.140625" style="2" bestFit="1" customWidth="1"/>
    <col min="6139" max="6139" width="10.85546875" style="2" customWidth="1"/>
    <col min="6140" max="6140" width="11.5703125" style="2" customWidth="1"/>
    <col min="6141" max="6141" width="11.140625" style="2" bestFit="1" customWidth="1"/>
    <col min="6142" max="6142" width="11" style="2" customWidth="1"/>
    <col min="6143" max="6143" width="10.42578125" style="2" customWidth="1"/>
    <col min="6144" max="6144" width="11.28515625" style="2" customWidth="1"/>
    <col min="6145" max="6146" width="9.140625" style="2" bestFit="1" customWidth="1"/>
    <col min="6147" max="6148" width="11.140625" style="2" bestFit="1" customWidth="1"/>
    <col min="6149" max="6149" width="11.5703125" style="2" bestFit="1" customWidth="1"/>
    <col min="6150" max="6150" width="9.140625" style="2" bestFit="1" customWidth="1"/>
    <col min="6151" max="6151" width="10.28515625" style="2" customWidth="1"/>
    <col min="6152" max="6390" width="9.140625" style="2" customWidth="1"/>
    <col min="6391" max="6391" width="4.28515625" style="2" bestFit="1" customWidth="1"/>
    <col min="6392" max="6392" width="6.85546875" style="2" bestFit="1" customWidth="1"/>
    <col min="6393" max="6393" width="11" style="2" customWidth="1"/>
    <col min="6394" max="6394" width="11.140625" style="2" bestFit="1" customWidth="1"/>
    <col min="6395" max="6395" width="10.85546875" style="2" customWidth="1"/>
    <col min="6396" max="6396" width="11.5703125" style="2" customWidth="1"/>
    <col min="6397" max="6397" width="11.140625" style="2" bestFit="1" customWidth="1"/>
    <col min="6398" max="6398" width="11" style="2" customWidth="1"/>
    <col min="6399" max="6399" width="10.42578125" style="2" customWidth="1"/>
    <col min="6400" max="6400" width="11.28515625" style="2" customWidth="1"/>
    <col min="6401" max="6402" width="9.140625" style="2" bestFit="1" customWidth="1"/>
    <col min="6403" max="6404" width="11.140625" style="2" bestFit="1" customWidth="1"/>
    <col min="6405" max="6405" width="11.5703125" style="2" bestFit="1" customWidth="1"/>
    <col min="6406" max="6406" width="9.140625" style="2" bestFit="1" customWidth="1"/>
    <col min="6407" max="6407" width="10.28515625" style="2" customWidth="1"/>
    <col min="6408" max="6646" width="9.140625" style="2" customWidth="1"/>
    <col min="6647" max="6647" width="4.28515625" style="2" bestFit="1" customWidth="1"/>
    <col min="6648" max="6648" width="6.85546875" style="2" bestFit="1" customWidth="1"/>
    <col min="6649" max="6649" width="11" style="2" customWidth="1"/>
    <col min="6650" max="6650" width="11.140625" style="2" bestFit="1" customWidth="1"/>
    <col min="6651" max="6651" width="10.85546875" style="2" customWidth="1"/>
    <col min="6652" max="6652" width="11.5703125" style="2" customWidth="1"/>
    <col min="6653" max="6653" width="11.140625" style="2" bestFit="1" customWidth="1"/>
    <col min="6654" max="6654" width="11" style="2" customWidth="1"/>
    <col min="6655" max="6655" width="10.42578125" style="2" customWidth="1"/>
    <col min="6656" max="6656" width="11.28515625" style="2" customWidth="1"/>
    <col min="6657" max="6658" width="9.140625" style="2" bestFit="1" customWidth="1"/>
    <col min="6659" max="6660" width="11.140625" style="2" bestFit="1" customWidth="1"/>
    <col min="6661" max="6661" width="11.5703125" style="2" bestFit="1" customWidth="1"/>
    <col min="6662" max="6662" width="9.140625" style="2" bestFit="1" customWidth="1"/>
    <col min="6663" max="6663" width="10.28515625" style="2" customWidth="1"/>
    <col min="6664" max="6902" width="9.140625" style="2" customWidth="1"/>
    <col min="6903" max="6903" width="4.28515625" style="2" bestFit="1" customWidth="1"/>
    <col min="6904" max="6904" width="6.85546875" style="2" bestFit="1" customWidth="1"/>
    <col min="6905" max="6905" width="11" style="2" customWidth="1"/>
    <col min="6906" max="6906" width="11.140625" style="2" bestFit="1" customWidth="1"/>
    <col min="6907" max="6907" width="10.85546875" style="2" customWidth="1"/>
    <col min="6908" max="6908" width="11.5703125" style="2" customWidth="1"/>
    <col min="6909" max="6909" width="11.140625" style="2" bestFit="1" customWidth="1"/>
    <col min="6910" max="6910" width="11" style="2" customWidth="1"/>
    <col min="6911" max="6911" width="10.42578125" style="2" customWidth="1"/>
    <col min="6912" max="6912" width="11.28515625" style="2" customWidth="1"/>
    <col min="6913" max="6914" width="9.140625" style="2" bestFit="1" customWidth="1"/>
    <col min="6915" max="6916" width="11.140625" style="2" bestFit="1" customWidth="1"/>
    <col min="6917" max="6917" width="11.5703125" style="2" bestFit="1" customWidth="1"/>
    <col min="6918" max="6918" width="9.140625" style="2" bestFit="1" customWidth="1"/>
    <col min="6919" max="6919" width="10.28515625" style="2" customWidth="1"/>
    <col min="6920" max="7158" width="9.140625" style="2" customWidth="1"/>
    <col min="7159" max="7159" width="4.28515625" style="2" bestFit="1" customWidth="1"/>
    <col min="7160" max="7160" width="6.85546875" style="2" bestFit="1" customWidth="1"/>
    <col min="7161" max="7161" width="11" style="2" customWidth="1"/>
    <col min="7162" max="7162" width="11.140625" style="2" bestFit="1" customWidth="1"/>
    <col min="7163" max="7163" width="10.85546875" style="2" customWidth="1"/>
    <col min="7164" max="7164" width="11.5703125" style="2" customWidth="1"/>
    <col min="7165" max="7165" width="11.140625" style="2" bestFit="1" customWidth="1"/>
    <col min="7166" max="7166" width="11" style="2" customWidth="1"/>
    <col min="7167" max="7167" width="10.42578125" style="2" customWidth="1"/>
    <col min="7168" max="7168" width="11.28515625" style="2" customWidth="1"/>
    <col min="7169" max="7170" width="9.140625" style="2" bestFit="1" customWidth="1"/>
    <col min="7171" max="7172" width="11.140625" style="2" bestFit="1" customWidth="1"/>
    <col min="7173" max="7173" width="11.5703125" style="2" bestFit="1" customWidth="1"/>
    <col min="7174" max="7174" width="9.140625" style="2" bestFit="1" customWidth="1"/>
    <col min="7175" max="7175" width="10.28515625" style="2" customWidth="1"/>
    <col min="7176" max="7414" width="9.140625" style="2" customWidth="1"/>
    <col min="7415" max="7415" width="4.28515625" style="2" bestFit="1" customWidth="1"/>
    <col min="7416" max="7416" width="6.85546875" style="2" bestFit="1" customWidth="1"/>
    <col min="7417" max="7417" width="11" style="2" customWidth="1"/>
    <col min="7418" max="7418" width="11.140625" style="2" bestFit="1" customWidth="1"/>
    <col min="7419" max="7419" width="10.85546875" style="2" customWidth="1"/>
    <col min="7420" max="7420" width="11.5703125" style="2" customWidth="1"/>
    <col min="7421" max="7421" width="11.140625" style="2" bestFit="1" customWidth="1"/>
    <col min="7422" max="7422" width="11" style="2" customWidth="1"/>
    <col min="7423" max="7423" width="10.42578125" style="2" customWidth="1"/>
    <col min="7424" max="7424" width="11.28515625" style="2" customWidth="1"/>
    <col min="7425" max="7426" width="9.140625" style="2" bestFit="1" customWidth="1"/>
    <col min="7427" max="7428" width="11.140625" style="2" bestFit="1" customWidth="1"/>
    <col min="7429" max="7429" width="11.5703125" style="2" bestFit="1" customWidth="1"/>
    <col min="7430" max="7430" width="9.140625" style="2" bestFit="1" customWidth="1"/>
    <col min="7431" max="7431" width="10.28515625" style="2" customWidth="1"/>
    <col min="7432" max="7670" width="9.140625" style="2" customWidth="1"/>
    <col min="7671" max="7671" width="4.28515625" style="2" bestFit="1" customWidth="1"/>
    <col min="7672" max="7672" width="6.85546875" style="2" bestFit="1" customWidth="1"/>
    <col min="7673" max="7673" width="11" style="2" customWidth="1"/>
    <col min="7674" max="7674" width="11.140625" style="2" bestFit="1" customWidth="1"/>
    <col min="7675" max="7675" width="10.85546875" style="2" customWidth="1"/>
    <col min="7676" max="7676" width="11.5703125" style="2" customWidth="1"/>
    <col min="7677" max="7677" width="11.140625" style="2" bestFit="1" customWidth="1"/>
    <col min="7678" max="7678" width="11" style="2" customWidth="1"/>
    <col min="7679" max="7679" width="10.42578125" style="2" customWidth="1"/>
    <col min="7680" max="7680" width="11.28515625" style="2" customWidth="1"/>
    <col min="7681" max="7682" width="9.140625" style="2" bestFit="1" customWidth="1"/>
    <col min="7683" max="7684" width="11.140625" style="2" bestFit="1" customWidth="1"/>
    <col min="7685" max="7685" width="11.5703125" style="2" bestFit="1" customWidth="1"/>
    <col min="7686" max="7686" width="9.140625" style="2" bestFit="1" customWidth="1"/>
    <col min="7687" max="7687" width="10.28515625" style="2" customWidth="1"/>
    <col min="7688" max="7926" width="9.140625" style="2" customWidth="1"/>
    <col min="7927" max="7927" width="4.28515625" style="2" bestFit="1" customWidth="1"/>
    <col min="7928" max="7928" width="6.85546875" style="2" bestFit="1" customWidth="1"/>
    <col min="7929" max="7929" width="11" style="2" customWidth="1"/>
    <col min="7930" max="7930" width="11.140625" style="2" bestFit="1" customWidth="1"/>
    <col min="7931" max="7931" width="10.85546875" style="2" customWidth="1"/>
    <col min="7932" max="7932" width="11.5703125" style="2" customWidth="1"/>
    <col min="7933" max="7933" width="11.140625" style="2" bestFit="1" customWidth="1"/>
    <col min="7934" max="7934" width="11" style="2" customWidth="1"/>
    <col min="7935" max="7935" width="10.42578125" style="2" customWidth="1"/>
    <col min="7936" max="7936" width="11.28515625" style="2" customWidth="1"/>
    <col min="7937" max="7938" width="9.140625" style="2" bestFit="1" customWidth="1"/>
    <col min="7939" max="7940" width="11.140625" style="2" bestFit="1" customWidth="1"/>
    <col min="7941" max="7941" width="11.5703125" style="2" bestFit="1" customWidth="1"/>
    <col min="7942" max="7942" width="9.140625" style="2" bestFit="1" customWidth="1"/>
    <col min="7943" max="7943" width="10.28515625" style="2" customWidth="1"/>
    <col min="7944" max="8182" width="9.140625" style="2" customWidth="1"/>
    <col min="8183" max="8183" width="4.28515625" style="2" bestFit="1" customWidth="1"/>
    <col min="8184" max="8184" width="6.85546875" style="2" bestFit="1" customWidth="1"/>
    <col min="8185" max="8185" width="11" style="2" customWidth="1"/>
    <col min="8186" max="8186" width="11.140625" style="2" bestFit="1" customWidth="1"/>
    <col min="8187" max="8187" width="10.85546875" style="2" customWidth="1"/>
    <col min="8188" max="8188" width="11.5703125" style="2" customWidth="1"/>
    <col min="8189" max="8189" width="11.140625" style="2" bestFit="1" customWidth="1"/>
    <col min="8190" max="8190" width="11" style="2" customWidth="1"/>
    <col min="8191" max="8191" width="10.42578125" style="2" customWidth="1"/>
    <col min="8192" max="8192" width="11.28515625" style="2" customWidth="1"/>
    <col min="8193" max="8194" width="9.140625" style="2" bestFit="1" customWidth="1"/>
    <col min="8195" max="8196" width="11.140625" style="2" bestFit="1" customWidth="1"/>
    <col min="8197" max="8197" width="11.5703125" style="2" bestFit="1" customWidth="1"/>
    <col min="8198" max="8198" width="9.140625" style="2" bestFit="1" customWidth="1"/>
    <col min="8199" max="8199" width="10.28515625" style="2" customWidth="1"/>
    <col min="8200" max="8438" width="9.140625" style="2" customWidth="1"/>
    <col min="8439" max="8439" width="4.28515625" style="2" bestFit="1" customWidth="1"/>
    <col min="8440" max="8440" width="6.85546875" style="2" bestFit="1" customWidth="1"/>
    <col min="8441" max="8441" width="11" style="2" customWidth="1"/>
    <col min="8442" max="8442" width="11.140625" style="2" bestFit="1" customWidth="1"/>
    <col min="8443" max="8443" width="10.85546875" style="2" customWidth="1"/>
    <col min="8444" max="8444" width="11.5703125" style="2" customWidth="1"/>
    <col min="8445" max="8445" width="11.140625" style="2" bestFit="1" customWidth="1"/>
    <col min="8446" max="8446" width="11" style="2" customWidth="1"/>
    <col min="8447" max="8447" width="10.42578125" style="2" customWidth="1"/>
    <col min="8448" max="8448" width="11.28515625" style="2" customWidth="1"/>
    <col min="8449" max="8450" width="9.140625" style="2" bestFit="1" customWidth="1"/>
    <col min="8451" max="8452" width="11.140625" style="2" bestFit="1" customWidth="1"/>
    <col min="8453" max="8453" width="11.5703125" style="2" bestFit="1" customWidth="1"/>
    <col min="8454" max="8454" width="9.140625" style="2" bestFit="1" customWidth="1"/>
    <col min="8455" max="8455" width="10.28515625" style="2" customWidth="1"/>
    <col min="8456" max="8694" width="9.140625" style="2" customWidth="1"/>
    <col min="8695" max="8695" width="4.28515625" style="2" bestFit="1" customWidth="1"/>
    <col min="8696" max="8696" width="6.85546875" style="2" bestFit="1" customWidth="1"/>
    <col min="8697" max="8697" width="11" style="2" customWidth="1"/>
    <col min="8698" max="8698" width="11.140625" style="2" bestFit="1" customWidth="1"/>
    <col min="8699" max="8699" width="10.85546875" style="2" customWidth="1"/>
    <col min="8700" max="8700" width="11.5703125" style="2" customWidth="1"/>
    <col min="8701" max="8701" width="11.140625" style="2" bestFit="1" customWidth="1"/>
    <col min="8702" max="8702" width="11" style="2" customWidth="1"/>
    <col min="8703" max="8703" width="10.42578125" style="2" customWidth="1"/>
    <col min="8704" max="8704" width="11.28515625" style="2" customWidth="1"/>
    <col min="8705" max="8706" width="9.140625" style="2" bestFit="1" customWidth="1"/>
    <col min="8707" max="8708" width="11.140625" style="2" bestFit="1" customWidth="1"/>
    <col min="8709" max="8709" width="11.5703125" style="2" bestFit="1" customWidth="1"/>
    <col min="8710" max="8710" width="9.140625" style="2" bestFit="1" customWidth="1"/>
    <col min="8711" max="8711" width="10.28515625" style="2" customWidth="1"/>
    <col min="8712" max="8950" width="9.140625" style="2" customWidth="1"/>
    <col min="8951" max="8951" width="4.28515625" style="2" bestFit="1" customWidth="1"/>
    <col min="8952" max="8952" width="6.85546875" style="2" bestFit="1" customWidth="1"/>
    <col min="8953" max="8953" width="11" style="2" customWidth="1"/>
    <col min="8954" max="8954" width="11.140625" style="2" bestFit="1" customWidth="1"/>
    <col min="8955" max="8955" width="10.85546875" style="2" customWidth="1"/>
    <col min="8956" max="8956" width="11.5703125" style="2" customWidth="1"/>
    <col min="8957" max="8957" width="11.140625" style="2" bestFit="1" customWidth="1"/>
    <col min="8958" max="8958" width="11" style="2" customWidth="1"/>
    <col min="8959" max="8959" width="10.42578125" style="2" customWidth="1"/>
    <col min="8960" max="8960" width="11.28515625" style="2" customWidth="1"/>
    <col min="8961" max="8962" width="9.140625" style="2" bestFit="1" customWidth="1"/>
    <col min="8963" max="8964" width="11.140625" style="2" bestFit="1" customWidth="1"/>
    <col min="8965" max="8965" width="11.5703125" style="2" bestFit="1" customWidth="1"/>
    <col min="8966" max="8966" width="9.140625" style="2" bestFit="1" customWidth="1"/>
    <col min="8967" max="8967" width="10.28515625" style="2" customWidth="1"/>
    <col min="8968" max="9206" width="9.140625" style="2" customWidth="1"/>
    <col min="9207" max="9207" width="4.28515625" style="2" bestFit="1" customWidth="1"/>
    <col min="9208" max="9208" width="6.85546875" style="2" bestFit="1" customWidth="1"/>
    <col min="9209" max="9209" width="11" style="2" customWidth="1"/>
    <col min="9210" max="9210" width="11.140625" style="2" bestFit="1" customWidth="1"/>
    <col min="9211" max="9211" width="10.85546875" style="2" customWidth="1"/>
    <col min="9212" max="9212" width="11.5703125" style="2" customWidth="1"/>
    <col min="9213" max="9213" width="11.140625" style="2" bestFit="1" customWidth="1"/>
    <col min="9214" max="9214" width="11" style="2" customWidth="1"/>
    <col min="9215" max="9215" width="10.42578125" style="2" customWidth="1"/>
    <col min="9216" max="9216" width="11.28515625" style="2" customWidth="1"/>
    <col min="9217" max="9218" width="9.140625" style="2" bestFit="1" customWidth="1"/>
    <col min="9219" max="9220" width="11.140625" style="2" bestFit="1" customWidth="1"/>
    <col min="9221" max="9221" width="11.5703125" style="2" bestFit="1" customWidth="1"/>
    <col min="9222" max="9222" width="9.140625" style="2" bestFit="1" customWidth="1"/>
    <col min="9223" max="9223" width="10.28515625" style="2" customWidth="1"/>
    <col min="9224" max="9462" width="9.140625" style="2" customWidth="1"/>
    <col min="9463" max="9463" width="4.28515625" style="2" bestFit="1" customWidth="1"/>
    <col min="9464" max="9464" width="6.85546875" style="2" bestFit="1" customWidth="1"/>
    <col min="9465" max="9465" width="11" style="2" customWidth="1"/>
    <col min="9466" max="9466" width="11.140625" style="2" bestFit="1" customWidth="1"/>
    <col min="9467" max="9467" width="10.85546875" style="2" customWidth="1"/>
    <col min="9468" max="9468" width="11.5703125" style="2" customWidth="1"/>
    <col min="9469" max="9469" width="11.140625" style="2" bestFit="1" customWidth="1"/>
    <col min="9470" max="9470" width="11" style="2" customWidth="1"/>
    <col min="9471" max="9471" width="10.42578125" style="2" customWidth="1"/>
    <col min="9472" max="9472" width="11.28515625" style="2" customWidth="1"/>
    <col min="9473" max="9474" width="9.140625" style="2" bestFit="1" customWidth="1"/>
    <col min="9475" max="9476" width="11.140625" style="2" bestFit="1" customWidth="1"/>
    <col min="9477" max="9477" width="11.5703125" style="2" bestFit="1" customWidth="1"/>
    <col min="9478" max="9478" width="9.140625" style="2" bestFit="1" customWidth="1"/>
    <col min="9479" max="9479" width="10.28515625" style="2" customWidth="1"/>
    <col min="9480" max="9718" width="9.140625" style="2" customWidth="1"/>
    <col min="9719" max="9719" width="4.28515625" style="2" bestFit="1" customWidth="1"/>
    <col min="9720" max="9720" width="6.85546875" style="2" bestFit="1" customWidth="1"/>
    <col min="9721" max="9721" width="11" style="2" customWidth="1"/>
    <col min="9722" max="9722" width="11.140625" style="2" bestFit="1" customWidth="1"/>
    <col min="9723" max="9723" width="10.85546875" style="2" customWidth="1"/>
    <col min="9724" max="9724" width="11.5703125" style="2" customWidth="1"/>
    <col min="9725" max="9725" width="11.140625" style="2" bestFit="1" customWidth="1"/>
    <col min="9726" max="9726" width="11" style="2" customWidth="1"/>
    <col min="9727" max="9727" width="10.42578125" style="2" customWidth="1"/>
    <col min="9728" max="9728" width="11.28515625" style="2" customWidth="1"/>
    <col min="9729" max="9730" width="9.140625" style="2" bestFit="1" customWidth="1"/>
    <col min="9731" max="9732" width="11.140625" style="2" bestFit="1" customWidth="1"/>
    <col min="9733" max="9733" width="11.5703125" style="2" bestFit="1" customWidth="1"/>
    <col min="9734" max="9734" width="9.140625" style="2" bestFit="1" customWidth="1"/>
    <col min="9735" max="9735" width="10.28515625" style="2" customWidth="1"/>
    <col min="9736" max="9974" width="9.140625" style="2" customWidth="1"/>
    <col min="9975" max="9975" width="4.28515625" style="2" bestFit="1" customWidth="1"/>
    <col min="9976" max="9976" width="6.85546875" style="2" bestFit="1" customWidth="1"/>
    <col min="9977" max="9977" width="11" style="2" customWidth="1"/>
    <col min="9978" max="9978" width="11.140625" style="2" bestFit="1" customWidth="1"/>
    <col min="9979" max="9979" width="10.85546875" style="2" customWidth="1"/>
    <col min="9980" max="9980" width="11.5703125" style="2" customWidth="1"/>
    <col min="9981" max="9981" width="11.140625" style="2" bestFit="1" customWidth="1"/>
    <col min="9982" max="9982" width="11" style="2" customWidth="1"/>
    <col min="9983" max="9983" width="10.42578125" style="2" customWidth="1"/>
    <col min="9984" max="9984" width="11.28515625" style="2" customWidth="1"/>
    <col min="9985" max="9986" width="9.140625" style="2" bestFit="1" customWidth="1"/>
    <col min="9987" max="9988" width="11.140625" style="2" bestFit="1" customWidth="1"/>
    <col min="9989" max="9989" width="11.5703125" style="2" bestFit="1" customWidth="1"/>
    <col min="9990" max="9990" width="9.140625" style="2" bestFit="1" customWidth="1"/>
    <col min="9991" max="9991" width="10.28515625" style="2" customWidth="1"/>
    <col min="9992" max="10230" width="9.140625" style="2" customWidth="1"/>
    <col min="10231" max="10231" width="4.28515625" style="2" bestFit="1" customWidth="1"/>
    <col min="10232" max="10232" width="6.85546875" style="2" bestFit="1" customWidth="1"/>
    <col min="10233" max="10233" width="11" style="2" customWidth="1"/>
    <col min="10234" max="10234" width="11.140625" style="2" bestFit="1" customWidth="1"/>
    <col min="10235" max="10235" width="10.85546875" style="2" customWidth="1"/>
    <col min="10236" max="10236" width="11.5703125" style="2" customWidth="1"/>
    <col min="10237" max="10237" width="11.140625" style="2" bestFit="1" customWidth="1"/>
    <col min="10238" max="10238" width="11" style="2" customWidth="1"/>
    <col min="10239" max="10239" width="10.42578125" style="2" customWidth="1"/>
    <col min="10240" max="10240" width="11.28515625" style="2" customWidth="1"/>
    <col min="10241" max="10242" width="9.140625" style="2" bestFit="1" customWidth="1"/>
    <col min="10243" max="10244" width="11.140625" style="2" bestFit="1" customWidth="1"/>
    <col min="10245" max="10245" width="11.5703125" style="2" bestFit="1" customWidth="1"/>
    <col min="10246" max="10246" width="9.140625" style="2" bestFit="1" customWidth="1"/>
    <col min="10247" max="10247" width="10.28515625" style="2" customWidth="1"/>
    <col min="10248" max="10486" width="9.140625" style="2" customWidth="1"/>
    <col min="10487" max="10487" width="4.28515625" style="2" bestFit="1" customWidth="1"/>
    <col min="10488" max="10488" width="6.85546875" style="2" bestFit="1" customWidth="1"/>
    <col min="10489" max="10489" width="11" style="2" customWidth="1"/>
    <col min="10490" max="10490" width="11.140625" style="2" bestFit="1" customWidth="1"/>
    <col min="10491" max="10491" width="10.85546875" style="2" customWidth="1"/>
    <col min="10492" max="10492" width="11.5703125" style="2" customWidth="1"/>
    <col min="10493" max="10493" width="11.140625" style="2" bestFit="1" customWidth="1"/>
    <col min="10494" max="10494" width="11" style="2" customWidth="1"/>
    <col min="10495" max="10495" width="10.42578125" style="2" customWidth="1"/>
    <col min="10496" max="10496" width="11.28515625" style="2" customWidth="1"/>
    <col min="10497" max="10498" width="9.140625" style="2" bestFit="1" customWidth="1"/>
    <col min="10499" max="10500" width="11.140625" style="2" bestFit="1" customWidth="1"/>
    <col min="10501" max="10501" width="11.5703125" style="2" bestFit="1" customWidth="1"/>
    <col min="10502" max="10502" width="9.140625" style="2" bestFit="1" customWidth="1"/>
    <col min="10503" max="10503" width="10.28515625" style="2" customWidth="1"/>
    <col min="10504" max="10742" width="9.140625" style="2" customWidth="1"/>
    <col min="10743" max="10743" width="4.28515625" style="2" bestFit="1" customWidth="1"/>
    <col min="10744" max="10744" width="6.85546875" style="2" bestFit="1" customWidth="1"/>
    <col min="10745" max="10745" width="11" style="2" customWidth="1"/>
    <col min="10746" max="10746" width="11.140625" style="2" bestFit="1" customWidth="1"/>
    <col min="10747" max="10747" width="10.85546875" style="2" customWidth="1"/>
    <col min="10748" max="10748" width="11.5703125" style="2" customWidth="1"/>
    <col min="10749" max="10749" width="11.140625" style="2" bestFit="1" customWidth="1"/>
    <col min="10750" max="10750" width="11" style="2" customWidth="1"/>
    <col min="10751" max="10751" width="10.42578125" style="2" customWidth="1"/>
    <col min="10752" max="10752" width="11.28515625" style="2" customWidth="1"/>
    <col min="10753" max="10754" width="9.140625" style="2" bestFit="1" customWidth="1"/>
    <col min="10755" max="10756" width="11.140625" style="2" bestFit="1" customWidth="1"/>
    <col min="10757" max="10757" width="11.5703125" style="2" bestFit="1" customWidth="1"/>
    <col min="10758" max="10758" width="9.140625" style="2" bestFit="1" customWidth="1"/>
    <col min="10759" max="10759" width="10.28515625" style="2" customWidth="1"/>
    <col min="10760" max="10998" width="9.140625" style="2" customWidth="1"/>
    <col min="10999" max="10999" width="4.28515625" style="2" bestFit="1" customWidth="1"/>
    <col min="11000" max="11000" width="6.85546875" style="2" bestFit="1" customWidth="1"/>
    <col min="11001" max="11001" width="11" style="2" customWidth="1"/>
    <col min="11002" max="11002" width="11.140625" style="2" bestFit="1" customWidth="1"/>
    <col min="11003" max="11003" width="10.85546875" style="2" customWidth="1"/>
    <col min="11004" max="11004" width="11.5703125" style="2" customWidth="1"/>
    <col min="11005" max="11005" width="11.140625" style="2" bestFit="1" customWidth="1"/>
    <col min="11006" max="11006" width="11" style="2" customWidth="1"/>
    <col min="11007" max="11007" width="10.42578125" style="2" customWidth="1"/>
    <col min="11008" max="11008" width="11.28515625" style="2" customWidth="1"/>
    <col min="11009" max="11010" width="9.140625" style="2" bestFit="1" customWidth="1"/>
    <col min="11011" max="11012" width="11.140625" style="2" bestFit="1" customWidth="1"/>
    <col min="11013" max="11013" width="11.5703125" style="2" bestFit="1" customWidth="1"/>
    <col min="11014" max="11014" width="9.140625" style="2" bestFit="1" customWidth="1"/>
    <col min="11015" max="11015" width="10.28515625" style="2" customWidth="1"/>
    <col min="11016" max="11254" width="9.140625" style="2" customWidth="1"/>
    <col min="11255" max="11255" width="4.28515625" style="2" bestFit="1" customWidth="1"/>
    <col min="11256" max="11256" width="6.85546875" style="2" bestFit="1" customWidth="1"/>
    <col min="11257" max="11257" width="11" style="2" customWidth="1"/>
    <col min="11258" max="11258" width="11.140625" style="2" bestFit="1" customWidth="1"/>
    <col min="11259" max="11259" width="10.85546875" style="2" customWidth="1"/>
    <col min="11260" max="11260" width="11.5703125" style="2" customWidth="1"/>
    <col min="11261" max="11261" width="11.140625" style="2" bestFit="1" customWidth="1"/>
    <col min="11262" max="11262" width="11" style="2" customWidth="1"/>
    <col min="11263" max="11263" width="10.42578125" style="2" customWidth="1"/>
    <col min="11264" max="11264" width="11.28515625" style="2" customWidth="1"/>
    <col min="11265" max="11266" width="9.140625" style="2" bestFit="1" customWidth="1"/>
    <col min="11267" max="11268" width="11.140625" style="2" bestFit="1" customWidth="1"/>
    <col min="11269" max="11269" width="11.5703125" style="2" bestFit="1" customWidth="1"/>
    <col min="11270" max="11270" width="9.140625" style="2" bestFit="1" customWidth="1"/>
    <col min="11271" max="11271" width="10.28515625" style="2" customWidth="1"/>
    <col min="11272" max="11510" width="9.140625" style="2" customWidth="1"/>
    <col min="11511" max="11511" width="4.28515625" style="2" bestFit="1" customWidth="1"/>
    <col min="11512" max="11512" width="6.85546875" style="2" bestFit="1" customWidth="1"/>
    <col min="11513" max="11513" width="11" style="2" customWidth="1"/>
    <col min="11514" max="11514" width="11.140625" style="2" bestFit="1" customWidth="1"/>
    <col min="11515" max="11515" width="10.85546875" style="2" customWidth="1"/>
    <col min="11516" max="11516" width="11.5703125" style="2" customWidth="1"/>
    <col min="11517" max="11517" width="11.140625" style="2" bestFit="1" customWidth="1"/>
    <col min="11518" max="11518" width="11" style="2" customWidth="1"/>
    <col min="11519" max="11519" width="10.42578125" style="2" customWidth="1"/>
    <col min="11520" max="11520" width="11.28515625" style="2" customWidth="1"/>
    <col min="11521" max="11522" width="9.140625" style="2" bestFit="1" customWidth="1"/>
    <col min="11523" max="11524" width="11.140625" style="2" bestFit="1" customWidth="1"/>
    <col min="11525" max="11525" width="11.5703125" style="2" bestFit="1" customWidth="1"/>
    <col min="11526" max="11526" width="9.140625" style="2" bestFit="1" customWidth="1"/>
    <col min="11527" max="11527" width="10.28515625" style="2" customWidth="1"/>
    <col min="11528" max="11766" width="9.140625" style="2" customWidth="1"/>
    <col min="11767" max="11767" width="4.28515625" style="2" bestFit="1" customWidth="1"/>
    <col min="11768" max="11768" width="6.85546875" style="2" bestFit="1" customWidth="1"/>
    <col min="11769" max="11769" width="11" style="2" customWidth="1"/>
    <col min="11770" max="11770" width="11.140625" style="2" bestFit="1" customWidth="1"/>
    <col min="11771" max="11771" width="10.85546875" style="2" customWidth="1"/>
    <col min="11772" max="11772" width="11.5703125" style="2" customWidth="1"/>
    <col min="11773" max="11773" width="11.140625" style="2" bestFit="1" customWidth="1"/>
    <col min="11774" max="11774" width="11" style="2" customWidth="1"/>
    <col min="11775" max="11775" width="10.42578125" style="2" customWidth="1"/>
    <col min="11776" max="11776" width="11.28515625" style="2" customWidth="1"/>
    <col min="11777" max="11778" width="9.140625" style="2" bestFit="1" customWidth="1"/>
    <col min="11779" max="11780" width="11.140625" style="2" bestFit="1" customWidth="1"/>
    <col min="11781" max="11781" width="11.5703125" style="2" bestFit="1" customWidth="1"/>
    <col min="11782" max="11782" width="9.140625" style="2" bestFit="1" customWidth="1"/>
    <col min="11783" max="11783" width="10.28515625" style="2" customWidth="1"/>
    <col min="11784" max="12022" width="9.140625" style="2" customWidth="1"/>
    <col min="12023" max="12023" width="4.28515625" style="2" bestFit="1" customWidth="1"/>
    <col min="12024" max="12024" width="6.85546875" style="2" bestFit="1" customWidth="1"/>
    <col min="12025" max="12025" width="11" style="2" customWidth="1"/>
    <col min="12026" max="12026" width="11.140625" style="2" bestFit="1" customWidth="1"/>
    <col min="12027" max="12027" width="10.85546875" style="2" customWidth="1"/>
    <col min="12028" max="12028" width="11.5703125" style="2" customWidth="1"/>
    <col min="12029" max="12029" width="11.140625" style="2" bestFit="1" customWidth="1"/>
    <col min="12030" max="12030" width="11" style="2" customWidth="1"/>
    <col min="12031" max="12031" width="10.42578125" style="2" customWidth="1"/>
    <col min="12032" max="12032" width="11.28515625" style="2" customWidth="1"/>
    <col min="12033" max="12034" width="9.140625" style="2" bestFit="1" customWidth="1"/>
    <col min="12035" max="12036" width="11.140625" style="2" bestFit="1" customWidth="1"/>
    <col min="12037" max="12037" width="11.5703125" style="2" bestFit="1" customWidth="1"/>
    <col min="12038" max="12038" width="9.140625" style="2" bestFit="1" customWidth="1"/>
    <col min="12039" max="12039" width="10.28515625" style="2" customWidth="1"/>
    <col min="12040" max="12278" width="9.140625" style="2" customWidth="1"/>
    <col min="12279" max="12279" width="4.28515625" style="2" bestFit="1" customWidth="1"/>
    <col min="12280" max="12280" width="6.85546875" style="2" bestFit="1" customWidth="1"/>
    <col min="12281" max="12281" width="11" style="2" customWidth="1"/>
    <col min="12282" max="12282" width="11.140625" style="2" bestFit="1" customWidth="1"/>
    <col min="12283" max="12283" width="10.85546875" style="2" customWidth="1"/>
    <col min="12284" max="12284" width="11.5703125" style="2" customWidth="1"/>
    <col min="12285" max="12285" width="11.140625" style="2" bestFit="1" customWidth="1"/>
    <col min="12286" max="12286" width="11" style="2" customWidth="1"/>
    <col min="12287" max="12287" width="10.42578125" style="2" customWidth="1"/>
    <col min="12288" max="12288" width="11.28515625" style="2" customWidth="1"/>
    <col min="12289" max="12290" width="9.140625" style="2" bestFit="1" customWidth="1"/>
    <col min="12291" max="12292" width="11.140625" style="2" bestFit="1" customWidth="1"/>
    <col min="12293" max="12293" width="11.5703125" style="2" bestFit="1" customWidth="1"/>
    <col min="12294" max="12294" width="9.140625" style="2" bestFit="1" customWidth="1"/>
    <col min="12295" max="12295" width="10.28515625" style="2" customWidth="1"/>
    <col min="12296" max="12534" width="9.140625" style="2" customWidth="1"/>
    <col min="12535" max="12535" width="4.28515625" style="2" bestFit="1" customWidth="1"/>
    <col min="12536" max="12536" width="6.85546875" style="2" bestFit="1" customWidth="1"/>
    <col min="12537" max="12537" width="11" style="2" customWidth="1"/>
    <col min="12538" max="12538" width="11.140625" style="2" bestFit="1" customWidth="1"/>
    <col min="12539" max="12539" width="10.85546875" style="2" customWidth="1"/>
    <col min="12540" max="12540" width="11.5703125" style="2" customWidth="1"/>
    <col min="12541" max="12541" width="11.140625" style="2" bestFit="1" customWidth="1"/>
    <col min="12542" max="12542" width="11" style="2" customWidth="1"/>
    <col min="12543" max="12543" width="10.42578125" style="2" customWidth="1"/>
    <col min="12544" max="12544" width="11.28515625" style="2" customWidth="1"/>
    <col min="12545" max="12546" width="9.140625" style="2" bestFit="1" customWidth="1"/>
    <col min="12547" max="12548" width="11.140625" style="2" bestFit="1" customWidth="1"/>
    <col min="12549" max="12549" width="11.5703125" style="2" bestFit="1" customWidth="1"/>
    <col min="12550" max="12550" width="9.140625" style="2" bestFit="1" customWidth="1"/>
    <col min="12551" max="12551" width="10.28515625" style="2" customWidth="1"/>
    <col min="12552" max="12790" width="9.140625" style="2" customWidth="1"/>
    <col min="12791" max="12791" width="4.28515625" style="2" bestFit="1" customWidth="1"/>
    <col min="12792" max="12792" width="6.85546875" style="2" bestFit="1" customWidth="1"/>
    <col min="12793" max="12793" width="11" style="2" customWidth="1"/>
    <col min="12794" max="12794" width="11.140625" style="2" bestFit="1" customWidth="1"/>
    <col min="12795" max="12795" width="10.85546875" style="2" customWidth="1"/>
    <col min="12796" max="12796" width="11.5703125" style="2" customWidth="1"/>
    <col min="12797" max="12797" width="11.140625" style="2" bestFit="1" customWidth="1"/>
    <col min="12798" max="12798" width="11" style="2" customWidth="1"/>
    <col min="12799" max="12799" width="10.42578125" style="2" customWidth="1"/>
    <col min="12800" max="12800" width="11.28515625" style="2" customWidth="1"/>
    <col min="12801" max="12802" width="9.140625" style="2" bestFit="1" customWidth="1"/>
    <col min="12803" max="12804" width="11.140625" style="2" bestFit="1" customWidth="1"/>
    <col min="12805" max="12805" width="11.5703125" style="2" bestFit="1" customWidth="1"/>
    <col min="12806" max="12806" width="9.140625" style="2" bestFit="1" customWidth="1"/>
    <col min="12807" max="12807" width="10.28515625" style="2" customWidth="1"/>
    <col min="12808" max="13046" width="9.140625" style="2" customWidth="1"/>
    <col min="13047" max="13047" width="4.28515625" style="2" bestFit="1" customWidth="1"/>
    <col min="13048" max="13048" width="6.85546875" style="2" bestFit="1" customWidth="1"/>
    <col min="13049" max="13049" width="11" style="2" customWidth="1"/>
    <col min="13050" max="13050" width="11.140625" style="2" bestFit="1" customWidth="1"/>
    <col min="13051" max="13051" width="10.85546875" style="2" customWidth="1"/>
    <col min="13052" max="13052" width="11.5703125" style="2" customWidth="1"/>
    <col min="13053" max="13053" width="11.140625" style="2" bestFit="1" customWidth="1"/>
    <col min="13054" max="13054" width="11" style="2" customWidth="1"/>
    <col min="13055" max="13055" width="10.42578125" style="2" customWidth="1"/>
    <col min="13056" max="13056" width="11.28515625" style="2" customWidth="1"/>
    <col min="13057" max="13058" width="9.140625" style="2" bestFit="1" customWidth="1"/>
    <col min="13059" max="13060" width="11.140625" style="2" bestFit="1" customWidth="1"/>
    <col min="13061" max="13061" width="11.5703125" style="2" bestFit="1" customWidth="1"/>
    <col min="13062" max="13062" width="9.140625" style="2" bestFit="1" customWidth="1"/>
    <col min="13063" max="13063" width="10.28515625" style="2" customWidth="1"/>
    <col min="13064" max="13302" width="9.140625" style="2" customWidth="1"/>
    <col min="13303" max="13303" width="4.28515625" style="2" bestFit="1" customWidth="1"/>
    <col min="13304" max="13304" width="6.85546875" style="2" bestFit="1" customWidth="1"/>
    <col min="13305" max="13305" width="11" style="2" customWidth="1"/>
    <col min="13306" max="13306" width="11.140625" style="2" bestFit="1" customWidth="1"/>
    <col min="13307" max="13307" width="10.85546875" style="2" customWidth="1"/>
    <col min="13308" max="13308" width="11.5703125" style="2" customWidth="1"/>
    <col min="13309" max="13309" width="11.140625" style="2" bestFit="1" customWidth="1"/>
    <col min="13310" max="13310" width="11" style="2" customWidth="1"/>
    <col min="13311" max="13311" width="10.42578125" style="2" customWidth="1"/>
    <col min="13312" max="13312" width="11.28515625" style="2" customWidth="1"/>
    <col min="13313" max="13314" width="9.140625" style="2" bestFit="1" customWidth="1"/>
    <col min="13315" max="13316" width="11.140625" style="2" bestFit="1" customWidth="1"/>
    <col min="13317" max="13317" width="11.5703125" style="2" bestFit="1" customWidth="1"/>
    <col min="13318" max="13318" width="9.140625" style="2" bestFit="1" customWidth="1"/>
    <col min="13319" max="13319" width="10.28515625" style="2" customWidth="1"/>
    <col min="13320" max="13558" width="9.140625" style="2" customWidth="1"/>
    <col min="13559" max="13559" width="4.28515625" style="2" bestFit="1" customWidth="1"/>
    <col min="13560" max="13560" width="6.85546875" style="2" bestFit="1" customWidth="1"/>
    <col min="13561" max="13561" width="11" style="2" customWidth="1"/>
    <col min="13562" max="13562" width="11.140625" style="2" bestFit="1" customWidth="1"/>
    <col min="13563" max="13563" width="10.85546875" style="2" customWidth="1"/>
    <col min="13564" max="13564" width="11.5703125" style="2" customWidth="1"/>
    <col min="13565" max="13565" width="11.140625" style="2" bestFit="1" customWidth="1"/>
    <col min="13566" max="13566" width="11" style="2" customWidth="1"/>
    <col min="13567" max="13567" width="10.42578125" style="2" customWidth="1"/>
    <col min="13568" max="13568" width="11.28515625" style="2" customWidth="1"/>
    <col min="13569" max="13570" width="9.140625" style="2" bestFit="1" customWidth="1"/>
    <col min="13571" max="13572" width="11.140625" style="2" bestFit="1" customWidth="1"/>
    <col min="13573" max="13573" width="11.5703125" style="2" bestFit="1" customWidth="1"/>
    <col min="13574" max="13574" width="9.140625" style="2" bestFit="1" customWidth="1"/>
    <col min="13575" max="13575" width="10.28515625" style="2" customWidth="1"/>
    <col min="13576" max="13814" width="9.140625" style="2" customWidth="1"/>
    <col min="13815" max="13815" width="4.28515625" style="2" bestFit="1" customWidth="1"/>
    <col min="13816" max="13816" width="6.85546875" style="2" bestFit="1" customWidth="1"/>
    <col min="13817" max="13817" width="11" style="2" customWidth="1"/>
    <col min="13818" max="13818" width="11.140625" style="2" bestFit="1" customWidth="1"/>
    <col min="13819" max="13819" width="10.85546875" style="2" customWidth="1"/>
    <col min="13820" max="13820" width="11.5703125" style="2" customWidth="1"/>
    <col min="13821" max="13821" width="11.140625" style="2" bestFit="1" customWidth="1"/>
    <col min="13822" max="13822" width="11" style="2" customWidth="1"/>
    <col min="13823" max="13823" width="10.42578125" style="2" customWidth="1"/>
    <col min="13824" max="13824" width="11.28515625" style="2" customWidth="1"/>
    <col min="13825" max="13826" width="9.140625" style="2" bestFit="1" customWidth="1"/>
    <col min="13827" max="13828" width="11.140625" style="2" bestFit="1" customWidth="1"/>
    <col min="13829" max="13829" width="11.5703125" style="2" bestFit="1" customWidth="1"/>
    <col min="13830" max="13830" width="9.140625" style="2" bestFit="1" customWidth="1"/>
    <col min="13831" max="13831" width="10.28515625" style="2" customWidth="1"/>
    <col min="13832" max="14070" width="9.140625" style="2" customWidth="1"/>
    <col min="14071" max="14071" width="4.28515625" style="2" bestFit="1" customWidth="1"/>
    <col min="14072" max="14072" width="6.85546875" style="2" bestFit="1" customWidth="1"/>
    <col min="14073" max="14073" width="11" style="2" customWidth="1"/>
    <col min="14074" max="14074" width="11.140625" style="2" bestFit="1" customWidth="1"/>
    <col min="14075" max="14075" width="10.85546875" style="2" customWidth="1"/>
    <col min="14076" max="14076" width="11.5703125" style="2" customWidth="1"/>
    <col min="14077" max="14077" width="11.140625" style="2" bestFit="1" customWidth="1"/>
    <col min="14078" max="14078" width="11" style="2" customWidth="1"/>
    <col min="14079" max="14079" width="10.42578125" style="2" customWidth="1"/>
    <col min="14080" max="14080" width="11.28515625" style="2" customWidth="1"/>
    <col min="14081" max="14082" width="9.140625" style="2" bestFit="1" customWidth="1"/>
    <col min="14083" max="14084" width="11.140625" style="2" bestFit="1" customWidth="1"/>
    <col min="14085" max="14085" width="11.5703125" style="2" bestFit="1" customWidth="1"/>
    <col min="14086" max="14086" width="9.140625" style="2" bestFit="1" customWidth="1"/>
    <col min="14087" max="14087" width="10.28515625" style="2" customWidth="1"/>
    <col min="14088" max="14326" width="9.140625" style="2" customWidth="1"/>
    <col min="14327" max="14327" width="4.28515625" style="2" bestFit="1" customWidth="1"/>
    <col min="14328" max="14328" width="6.85546875" style="2" bestFit="1" customWidth="1"/>
    <col min="14329" max="14329" width="11" style="2" customWidth="1"/>
    <col min="14330" max="14330" width="11.140625" style="2" bestFit="1" customWidth="1"/>
    <col min="14331" max="14331" width="10.85546875" style="2" customWidth="1"/>
    <col min="14332" max="14332" width="11.5703125" style="2" customWidth="1"/>
    <col min="14333" max="14333" width="11.140625" style="2" bestFit="1" customWidth="1"/>
    <col min="14334" max="14334" width="11" style="2" customWidth="1"/>
    <col min="14335" max="14335" width="10.42578125" style="2" customWidth="1"/>
    <col min="14336" max="14336" width="11.28515625" style="2" customWidth="1"/>
    <col min="14337" max="14338" width="9.140625" style="2" bestFit="1" customWidth="1"/>
    <col min="14339" max="14340" width="11.140625" style="2" bestFit="1" customWidth="1"/>
    <col min="14341" max="14341" width="11.5703125" style="2" bestFit="1" customWidth="1"/>
    <col min="14342" max="14342" width="9.140625" style="2" bestFit="1" customWidth="1"/>
    <col min="14343" max="14343" width="10.28515625" style="2" customWidth="1"/>
    <col min="14344" max="14582" width="9.140625" style="2" customWidth="1"/>
    <col min="14583" max="14583" width="4.28515625" style="2" bestFit="1" customWidth="1"/>
    <col min="14584" max="14584" width="6.85546875" style="2" bestFit="1" customWidth="1"/>
    <col min="14585" max="14585" width="11" style="2" customWidth="1"/>
    <col min="14586" max="14586" width="11.140625" style="2" bestFit="1" customWidth="1"/>
    <col min="14587" max="14587" width="10.85546875" style="2" customWidth="1"/>
    <col min="14588" max="14588" width="11.5703125" style="2" customWidth="1"/>
    <col min="14589" max="14589" width="11.140625" style="2" bestFit="1" customWidth="1"/>
    <col min="14590" max="14590" width="11" style="2" customWidth="1"/>
    <col min="14591" max="14591" width="10.42578125" style="2" customWidth="1"/>
    <col min="14592" max="14592" width="11.28515625" style="2" customWidth="1"/>
    <col min="14593" max="14594" width="9.140625" style="2" bestFit="1" customWidth="1"/>
    <col min="14595" max="14596" width="11.140625" style="2" bestFit="1" customWidth="1"/>
    <col min="14597" max="14597" width="11.5703125" style="2" bestFit="1" customWidth="1"/>
    <col min="14598" max="14598" width="9.140625" style="2" bestFit="1" customWidth="1"/>
    <col min="14599" max="14599" width="10.28515625" style="2" customWidth="1"/>
    <col min="14600" max="14838" width="9.140625" style="2" customWidth="1"/>
    <col min="14839" max="14839" width="4.28515625" style="2" bestFit="1" customWidth="1"/>
    <col min="14840" max="14840" width="6.85546875" style="2" bestFit="1" customWidth="1"/>
    <col min="14841" max="14841" width="11" style="2" customWidth="1"/>
    <col min="14842" max="14842" width="11.140625" style="2" bestFit="1" customWidth="1"/>
    <col min="14843" max="14843" width="10.85546875" style="2" customWidth="1"/>
    <col min="14844" max="14844" width="11.5703125" style="2" customWidth="1"/>
    <col min="14845" max="14845" width="11.140625" style="2" bestFit="1" customWidth="1"/>
    <col min="14846" max="14846" width="11" style="2" customWidth="1"/>
    <col min="14847" max="14847" width="10.42578125" style="2" customWidth="1"/>
    <col min="14848" max="14848" width="11.28515625" style="2" customWidth="1"/>
    <col min="14849" max="14850" width="9.140625" style="2" bestFit="1" customWidth="1"/>
    <col min="14851" max="14852" width="11.140625" style="2" bestFit="1" customWidth="1"/>
    <col min="14853" max="14853" width="11.5703125" style="2" bestFit="1" customWidth="1"/>
    <col min="14854" max="14854" width="9.140625" style="2" bestFit="1" customWidth="1"/>
    <col min="14855" max="14855" width="10.28515625" style="2" customWidth="1"/>
    <col min="14856" max="15094" width="9.140625" style="2" customWidth="1"/>
    <col min="15095" max="15095" width="4.28515625" style="2" bestFit="1" customWidth="1"/>
    <col min="15096" max="15096" width="6.85546875" style="2" bestFit="1" customWidth="1"/>
    <col min="15097" max="15097" width="11" style="2" customWidth="1"/>
    <col min="15098" max="15098" width="11.140625" style="2" bestFit="1" customWidth="1"/>
    <col min="15099" max="15099" width="10.85546875" style="2" customWidth="1"/>
    <col min="15100" max="15100" width="11.5703125" style="2" customWidth="1"/>
    <col min="15101" max="15101" width="11.140625" style="2" bestFit="1" customWidth="1"/>
    <col min="15102" max="15102" width="11" style="2" customWidth="1"/>
    <col min="15103" max="15103" width="10.42578125" style="2" customWidth="1"/>
    <col min="15104" max="15104" width="11.28515625" style="2" customWidth="1"/>
    <col min="15105" max="15106" width="9.140625" style="2" bestFit="1" customWidth="1"/>
    <col min="15107" max="15108" width="11.140625" style="2" bestFit="1" customWidth="1"/>
    <col min="15109" max="15109" width="11.5703125" style="2" bestFit="1" customWidth="1"/>
    <col min="15110" max="15110" width="9.140625" style="2" bestFit="1" customWidth="1"/>
    <col min="15111" max="15111" width="10.28515625" style="2" customWidth="1"/>
    <col min="15112" max="15350" width="9.140625" style="2" customWidth="1"/>
    <col min="15351" max="15351" width="4.28515625" style="2" bestFit="1" customWidth="1"/>
    <col min="15352" max="15352" width="6.85546875" style="2" bestFit="1" customWidth="1"/>
    <col min="15353" max="15353" width="11" style="2" customWidth="1"/>
    <col min="15354" max="15354" width="11.140625" style="2" bestFit="1" customWidth="1"/>
    <col min="15355" max="15355" width="10.85546875" style="2" customWidth="1"/>
    <col min="15356" max="15356" width="11.5703125" style="2" customWidth="1"/>
    <col min="15357" max="15357" width="11.140625" style="2" bestFit="1" customWidth="1"/>
    <col min="15358" max="15358" width="11" style="2" customWidth="1"/>
    <col min="15359" max="15359" width="10.42578125" style="2" customWidth="1"/>
    <col min="15360" max="15360" width="11.28515625" style="2" customWidth="1"/>
    <col min="15361" max="15362" width="9.140625" style="2" bestFit="1" customWidth="1"/>
    <col min="15363" max="15364" width="11.140625" style="2" bestFit="1" customWidth="1"/>
    <col min="15365" max="15365" width="11.5703125" style="2" bestFit="1" customWidth="1"/>
    <col min="15366" max="15366" width="9.140625" style="2" bestFit="1" customWidth="1"/>
    <col min="15367" max="15367" width="10.28515625" style="2" customWidth="1"/>
    <col min="15368" max="15606" width="9.140625" style="2" customWidth="1"/>
    <col min="15607" max="15607" width="4.28515625" style="2" bestFit="1" customWidth="1"/>
    <col min="15608" max="15608" width="6.85546875" style="2" bestFit="1" customWidth="1"/>
    <col min="15609" max="15609" width="11" style="2" customWidth="1"/>
    <col min="15610" max="15610" width="11.140625" style="2" bestFit="1" customWidth="1"/>
    <col min="15611" max="15611" width="10.85546875" style="2" customWidth="1"/>
    <col min="15612" max="15612" width="11.5703125" style="2" customWidth="1"/>
    <col min="15613" max="15613" width="11.140625" style="2" bestFit="1" customWidth="1"/>
    <col min="15614" max="15614" width="11" style="2" customWidth="1"/>
    <col min="15615" max="15615" width="10.42578125" style="2" customWidth="1"/>
    <col min="15616" max="15616" width="11.28515625" style="2" customWidth="1"/>
    <col min="15617" max="15618" width="9.140625" style="2" bestFit="1" customWidth="1"/>
    <col min="15619" max="15620" width="11.140625" style="2" bestFit="1" customWidth="1"/>
    <col min="15621" max="15621" width="11.5703125" style="2" bestFit="1" customWidth="1"/>
    <col min="15622" max="15622" width="9.140625" style="2" bestFit="1" customWidth="1"/>
    <col min="15623" max="15623" width="10.28515625" style="2" customWidth="1"/>
    <col min="15624" max="15862" width="9.140625" style="2" customWidth="1"/>
    <col min="15863" max="15863" width="4.28515625" style="2" bestFit="1" customWidth="1"/>
    <col min="15864" max="15864" width="6.85546875" style="2" bestFit="1" customWidth="1"/>
    <col min="15865" max="15865" width="11" style="2" customWidth="1"/>
    <col min="15866" max="15866" width="11.140625" style="2" bestFit="1" customWidth="1"/>
    <col min="15867" max="15867" width="10.85546875" style="2" customWidth="1"/>
    <col min="15868" max="15868" width="11.5703125" style="2" customWidth="1"/>
    <col min="15869" max="15869" width="11.140625" style="2" bestFit="1" customWidth="1"/>
    <col min="15870" max="15870" width="11" style="2" customWidth="1"/>
    <col min="15871" max="15871" width="10.42578125" style="2" customWidth="1"/>
    <col min="15872" max="15872" width="11.28515625" style="2" customWidth="1"/>
    <col min="15873" max="15874" width="9.140625" style="2" bestFit="1" customWidth="1"/>
    <col min="15875" max="15876" width="11.140625" style="2" bestFit="1" customWidth="1"/>
    <col min="15877" max="15877" width="11.5703125" style="2" bestFit="1" customWidth="1"/>
    <col min="15878" max="15878" width="9.140625" style="2" bestFit="1" customWidth="1"/>
    <col min="15879" max="15879" width="10.28515625" style="2" customWidth="1"/>
    <col min="15880" max="16118" width="9.140625" style="2" customWidth="1"/>
    <col min="16119" max="16119" width="4.28515625" style="2" bestFit="1" customWidth="1"/>
    <col min="16120" max="16120" width="6.85546875" style="2" bestFit="1" customWidth="1"/>
    <col min="16121" max="16121" width="11" style="2" customWidth="1"/>
    <col min="16122" max="16122" width="11.140625" style="2" bestFit="1" customWidth="1"/>
    <col min="16123" max="16123" width="10.85546875" style="2" customWidth="1"/>
    <col min="16124" max="16124" width="11.5703125" style="2" customWidth="1"/>
    <col min="16125" max="16125" width="11.140625" style="2" bestFit="1" customWidth="1"/>
    <col min="16126" max="16126" width="11" style="2" customWidth="1"/>
    <col min="16127" max="16127" width="10.42578125" style="2" customWidth="1"/>
    <col min="16128" max="16128" width="11.28515625" style="2" customWidth="1"/>
    <col min="16129" max="16130" width="9.140625" style="2" bestFit="1" customWidth="1"/>
    <col min="16131" max="16132" width="11.140625" style="2" bestFit="1" customWidth="1"/>
    <col min="16133" max="16133" width="11.5703125" style="2" bestFit="1" customWidth="1"/>
    <col min="16134" max="16134" width="9.140625" style="2" bestFit="1" customWidth="1"/>
    <col min="16135" max="16135" width="10.28515625" style="2" customWidth="1"/>
    <col min="16136" max="16384" width="9.140625" style="2" customWidth="1"/>
  </cols>
  <sheetData>
    <row r="1" spans="1:13" s="220" customFormat="1" ht="59.25" customHeight="1">
      <c r="A1" s="2538" t="s">
        <v>599</v>
      </c>
      <c r="B1" s="2538"/>
      <c r="C1" s="2538"/>
      <c r="D1" s="2538"/>
      <c r="E1" s="2538"/>
      <c r="F1" s="2538"/>
      <c r="G1" s="2538"/>
      <c r="H1" s="2538"/>
      <c r="I1" s="2538"/>
      <c r="J1" s="2538"/>
      <c r="K1" s="2538"/>
      <c r="L1" s="2538"/>
      <c r="M1" s="2538"/>
    </row>
    <row r="2" spans="1:13" s="220" customFormat="1" ht="16.5" customHeight="1" thickBot="1">
      <c r="A2" s="1253"/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5" t="s">
        <v>0</v>
      </c>
    </row>
    <row r="3" spans="1:13" s="1125" customFormat="1" ht="90.75" thickBot="1">
      <c r="A3" s="1121" t="s">
        <v>1</v>
      </c>
      <c r="B3" s="1122" t="s">
        <v>2</v>
      </c>
      <c r="C3" s="1121" t="s">
        <v>3</v>
      </c>
      <c r="D3" s="1123" t="s">
        <v>4</v>
      </c>
      <c r="E3" s="1124" t="s">
        <v>557</v>
      </c>
      <c r="F3" s="1124" t="s">
        <v>153</v>
      </c>
      <c r="G3" s="1124"/>
      <c r="H3" s="1124" t="s">
        <v>180</v>
      </c>
      <c r="I3" s="1124" t="s">
        <v>5</v>
      </c>
      <c r="J3" s="1124" t="s">
        <v>178</v>
      </c>
      <c r="K3" s="1124" t="s">
        <v>558</v>
      </c>
      <c r="L3" s="1124" t="s">
        <v>517</v>
      </c>
      <c r="M3" s="1124" t="s">
        <v>358</v>
      </c>
    </row>
    <row r="4" spans="1:13" s="1132" customFormat="1" ht="10.5" thickBot="1">
      <c r="A4" s="1126" t="s">
        <v>6</v>
      </c>
      <c r="B4" s="2127" t="s">
        <v>7</v>
      </c>
      <c r="C4" s="2127"/>
      <c r="D4" s="1127" t="s">
        <v>8</v>
      </c>
      <c r="E4" s="1128" t="s">
        <v>9</v>
      </c>
      <c r="F4" s="1128" t="s">
        <v>10</v>
      </c>
      <c r="G4" s="1128"/>
      <c r="H4" s="1129" t="s">
        <v>10</v>
      </c>
      <c r="I4" s="1128" t="s">
        <v>12</v>
      </c>
      <c r="J4" s="1128" t="s">
        <v>11</v>
      </c>
      <c r="K4" s="1128" t="s">
        <v>11</v>
      </c>
      <c r="L4" s="1130" t="s">
        <v>202</v>
      </c>
      <c r="M4" s="1131" t="s">
        <v>12</v>
      </c>
    </row>
    <row r="5" spans="1:13" s="228" customFormat="1" ht="12" customHeight="1">
      <c r="A5" s="1256" t="s">
        <v>14</v>
      </c>
      <c r="B5" s="1257"/>
      <c r="C5" s="1258" t="s">
        <v>15</v>
      </c>
      <c r="D5" s="1257"/>
      <c r="E5" s="1259">
        <f>SUM(E6)</f>
        <v>1650000</v>
      </c>
      <c r="F5" s="1259">
        <f>SUM(F6)</f>
        <v>1650000</v>
      </c>
      <c r="G5" s="1259"/>
      <c r="H5" s="1259">
        <f>SUM(H6)</f>
        <v>730000</v>
      </c>
      <c r="I5" s="1260">
        <f>H5/E5</f>
        <v>0.44242424242424244</v>
      </c>
      <c r="J5" s="1259">
        <f>SUM(J6)</f>
        <v>0</v>
      </c>
      <c r="K5" s="1259">
        <f>SUM(K6)</f>
        <v>730000</v>
      </c>
      <c r="L5" s="1261">
        <f>K5/E5</f>
        <v>0.44242424242424244</v>
      </c>
      <c r="M5" s="1262"/>
    </row>
    <row r="6" spans="1:13" s="229" customFormat="1" ht="12" customHeight="1" thickBot="1">
      <c r="A6" s="2539"/>
      <c r="B6" s="2541" t="s">
        <v>16</v>
      </c>
      <c r="C6" s="1263" t="s">
        <v>17</v>
      </c>
      <c r="D6" s="1264"/>
      <c r="E6" s="1265">
        <f>SUM(E7,E45)</f>
        <v>1650000</v>
      </c>
      <c r="F6" s="1265">
        <f>SUM(F7,F45)</f>
        <v>1650000</v>
      </c>
      <c r="G6" s="1265"/>
      <c r="H6" s="1265">
        <f>SUM(H7,H45)</f>
        <v>730000</v>
      </c>
      <c r="I6" s="1266">
        <f>H6/E6</f>
        <v>0.44242424242424244</v>
      </c>
      <c r="J6" s="1265">
        <f>SUM(J7,J45)</f>
        <v>0</v>
      </c>
      <c r="K6" s="1265">
        <f>SUM(K7,K45)</f>
        <v>730000</v>
      </c>
      <c r="L6" s="1267">
        <f t="shared" ref="L6:L50" si="0">K6/E6</f>
        <v>0.44242424242424244</v>
      </c>
      <c r="M6" s="2543" t="s">
        <v>612</v>
      </c>
    </row>
    <row r="7" spans="1:13" s="214" customFormat="1" ht="12" customHeight="1" thickBot="1">
      <c r="A7" s="2539"/>
      <c r="B7" s="2541"/>
      <c r="C7" s="1268" t="s">
        <v>18</v>
      </c>
      <c r="D7" s="1269"/>
      <c r="E7" s="1270">
        <f>SUM(E8,E11,E12,E13,E43,E44)</f>
        <v>1650000</v>
      </c>
      <c r="F7" s="1270">
        <f>SUM(F8,F11,F12,F13,F43,F44)</f>
        <v>1650000</v>
      </c>
      <c r="G7" s="1270">
        <f>SUM(G8,G11,G12,G13,G43,G44)</f>
        <v>0</v>
      </c>
      <c r="H7" s="1270">
        <f>SUM(H8,H11,H12,H13,H43,H44)</f>
        <v>730000</v>
      </c>
      <c r="I7" s="1271">
        <f>H7/E7</f>
        <v>0.44242424242424244</v>
      </c>
      <c r="J7" s="1270">
        <f>SUM(J8,J11,J12,J13,J43,J44)</f>
        <v>0</v>
      </c>
      <c r="K7" s="1270">
        <f>SUM(K8,K11,K12,K13,K43,K44)</f>
        <v>730000</v>
      </c>
      <c r="L7" s="1272">
        <f t="shared" si="0"/>
        <v>0.44242424242424244</v>
      </c>
      <c r="M7" s="2543"/>
    </row>
    <row r="8" spans="1:13" s="214" customFormat="1" ht="12" customHeight="1" thickBot="1">
      <c r="A8" s="2539"/>
      <c r="B8" s="2541"/>
      <c r="C8" s="1273" t="s">
        <v>19</v>
      </c>
      <c r="D8" s="1274"/>
      <c r="E8" s="1275">
        <f>E9+E10</f>
        <v>0</v>
      </c>
      <c r="F8" s="1275">
        <f>F9+F10</f>
        <v>0</v>
      </c>
      <c r="G8" s="1275">
        <f>G9+G10</f>
        <v>0</v>
      </c>
      <c r="H8" s="1275">
        <f>H9+H10</f>
        <v>0</v>
      </c>
      <c r="I8" s="1271"/>
      <c r="J8" s="1275">
        <f>J9+J10</f>
        <v>0</v>
      </c>
      <c r="K8" s="1275">
        <f>K9+K10</f>
        <v>0</v>
      </c>
      <c r="L8" s="1272"/>
      <c r="M8" s="2543"/>
    </row>
    <row r="9" spans="1:13" s="214" customFormat="1" ht="12" customHeight="1" thickBot="1">
      <c r="A9" s="2539"/>
      <c r="B9" s="2541"/>
      <c r="C9" s="1273" t="s">
        <v>20</v>
      </c>
      <c r="D9" s="1274"/>
      <c r="E9" s="1275"/>
      <c r="F9" s="1275"/>
      <c r="G9" s="1275"/>
      <c r="H9" s="1275"/>
      <c r="I9" s="1271"/>
      <c r="J9" s="1275"/>
      <c r="K9" s="1275"/>
      <c r="L9" s="1272"/>
      <c r="M9" s="2543"/>
    </row>
    <row r="10" spans="1:13" s="214" customFormat="1" ht="12" customHeight="1" thickBot="1">
      <c r="A10" s="2539"/>
      <c r="B10" s="2541"/>
      <c r="C10" s="1276" t="s">
        <v>21</v>
      </c>
      <c r="D10" s="1274"/>
      <c r="E10" s="1275"/>
      <c r="F10" s="1275"/>
      <c r="G10" s="1275"/>
      <c r="H10" s="1275"/>
      <c r="I10" s="1271"/>
      <c r="J10" s="1275"/>
      <c r="K10" s="1275"/>
      <c r="L10" s="1272"/>
      <c r="M10" s="2543"/>
    </row>
    <row r="11" spans="1:13" s="214" customFormat="1" ht="12" customHeight="1" thickBot="1">
      <c r="A11" s="2539"/>
      <c r="B11" s="2541"/>
      <c r="C11" s="1273" t="s">
        <v>23</v>
      </c>
      <c r="D11" s="1274"/>
      <c r="E11" s="1275"/>
      <c r="F11" s="1275"/>
      <c r="G11" s="1275"/>
      <c r="H11" s="1275"/>
      <c r="I11" s="1271"/>
      <c r="J11" s="1275"/>
      <c r="K11" s="1275"/>
      <c r="L11" s="1272"/>
      <c r="M11" s="2543"/>
    </row>
    <row r="12" spans="1:13" s="214" customFormat="1" ht="12" customHeight="1" thickBot="1">
      <c r="A12" s="2539"/>
      <c r="B12" s="2541"/>
      <c r="C12" s="1273" t="s">
        <v>24</v>
      </c>
      <c r="D12" s="1274"/>
      <c r="E12" s="1275"/>
      <c r="F12" s="1275"/>
      <c r="G12" s="1275"/>
      <c r="H12" s="1275"/>
      <c r="I12" s="1271"/>
      <c r="J12" s="1275"/>
      <c r="K12" s="1275"/>
      <c r="L12" s="1272"/>
      <c r="M12" s="2543"/>
    </row>
    <row r="13" spans="1:13" s="214" customFormat="1" ht="12" customHeight="1" thickBot="1">
      <c r="A13" s="2539"/>
      <c r="B13" s="2541"/>
      <c r="C13" s="2545" t="s">
        <v>25</v>
      </c>
      <c r="D13" s="1274" t="s">
        <v>22</v>
      </c>
      <c r="E13" s="1275">
        <f>SUM(E14:E42)</f>
        <v>1650000</v>
      </c>
      <c r="F13" s="1275">
        <f>SUM(F14:F42)</f>
        <v>1650000</v>
      </c>
      <c r="G13" s="1275">
        <f>SUM(G14:G42)</f>
        <v>0</v>
      </c>
      <c r="H13" s="1275">
        <f>SUM(H14:H42)</f>
        <v>730000</v>
      </c>
      <c r="I13" s="1277">
        <f t="shared" ref="I13:I39" si="1">H13/E13</f>
        <v>0.44242424242424244</v>
      </c>
      <c r="J13" s="1275">
        <f>SUM(J14:J42)</f>
        <v>0</v>
      </c>
      <c r="K13" s="1275">
        <f>SUM(K14:K42)</f>
        <v>730000</v>
      </c>
      <c r="L13" s="1278">
        <f t="shared" si="0"/>
        <v>0.44242424242424244</v>
      </c>
      <c r="M13" s="2543"/>
    </row>
    <row r="14" spans="1:13" s="214" customFormat="1" ht="12" customHeight="1" thickBot="1">
      <c r="A14" s="2539"/>
      <c r="B14" s="2541"/>
      <c r="C14" s="2546"/>
      <c r="D14" s="1522">
        <v>4018</v>
      </c>
      <c r="E14" s="1523">
        <v>981750</v>
      </c>
      <c r="F14" s="1523">
        <v>943818</v>
      </c>
      <c r="G14" s="1523"/>
      <c r="H14" s="1523">
        <v>379080</v>
      </c>
      <c r="I14" s="1524">
        <f t="shared" si="1"/>
        <v>0.38612681436210849</v>
      </c>
      <c r="J14" s="1523"/>
      <c r="K14" s="1523">
        <f t="shared" ref="K14:K42" si="2">H14+J14</f>
        <v>379080</v>
      </c>
      <c r="L14" s="1278">
        <f t="shared" si="0"/>
        <v>0.38612681436210849</v>
      </c>
      <c r="M14" s="2543"/>
    </row>
    <row r="15" spans="1:13" s="214" customFormat="1" ht="12" customHeight="1" thickBot="1">
      <c r="A15" s="2539"/>
      <c r="B15" s="2541"/>
      <c r="C15" s="2546"/>
      <c r="D15" s="1522">
        <v>4019</v>
      </c>
      <c r="E15" s="1523">
        <v>173250</v>
      </c>
      <c r="F15" s="1523">
        <v>166554</v>
      </c>
      <c r="G15" s="1523"/>
      <c r="H15" s="1523">
        <v>66897</v>
      </c>
      <c r="I15" s="1524">
        <f t="shared" si="1"/>
        <v>0.38612987012987016</v>
      </c>
      <c r="J15" s="1523"/>
      <c r="K15" s="1523">
        <f t="shared" si="2"/>
        <v>66897</v>
      </c>
      <c r="L15" s="1278">
        <f t="shared" si="0"/>
        <v>0.38612987012987016</v>
      </c>
      <c r="M15" s="2543"/>
    </row>
    <row r="16" spans="1:13" s="214" customFormat="1" ht="12" customHeight="1" thickBot="1">
      <c r="A16" s="2539"/>
      <c r="B16" s="2541"/>
      <c r="C16" s="2546"/>
      <c r="D16" s="1522">
        <v>4048</v>
      </c>
      <c r="E16" s="1523">
        <v>70635</v>
      </c>
      <c r="F16" s="1523">
        <v>68267</v>
      </c>
      <c r="G16" s="1523"/>
      <c r="H16" s="1523">
        <v>84745</v>
      </c>
      <c r="I16" s="1524">
        <f t="shared" si="1"/>
        <v>1.1997593261131168</v>
      </c>
      <c r="J16" s="1523"/>
      <c r="K16" s="1523">
        <f t="shared" si="2"/>
        <v>84745</v>
      </c>
      <c r="L16" s="1278">
        <f t="shared" si="0"/>
        <v>1.1997593261131168</v>
      </c>
      <c r="M16" s="2543"/>
    </row>
    <row r="17" spans="1:13" s="214" customFormat="1" ht="12" customHeight="1" thickBot="1">
      <c r="A17" s="2539"/>
      <c r="B17" s="2541"/>
      <c r="C17" s="2546"/>
      <c r="D17" s="1522">
        <v>4049</v>
      </c>
      <c r="E17" s="1523">
        <v>12465</v>
      </c>
      <c r="F17" s="1523">
        <v>12048</v>
      </c>
      <c r="G17" s="1523"/>
      <c r="H17" s="1523">
        <v>14955</v>
      </c>
      <c r="I17" s="1524">
        <f t="shared" si="1"/>
        <v>1.1997593261131168</v>
      </c>
      <c r="J17" s="1523"/>
      <c r="K17" s="1523">
        <f t="shared" si="2"/>
        <v>14955</v>
      </c>
      <c r="L17" s="1278">
        <f t="shared" si="0"/>
        <v>1.1997593261131168</v>
      </c>
      <c r="M17" s="2543"/>
    </row>
    <row r="18" spans="1:13" s="214" customFormat="1" ht="12" customHeight="1" thickBot="1">
      <c r="A18" s="2539"/>
      <c r="B18" s="2541"/>
      <c r="C18" s="2546"/>
      <c r="D18" s="1522">
        <v>4118</v>
      </c>
      <c r="E18" s="1523">
        <v>181305</v>
      </c>
      <c r="F18" s="1523">
        <v>181305</v>
      </c>
      <c r="G18" s="1523"/>
      <c r="H18" s="1523">
        <v>75626</v>
      </c>
      <c r="I18" s="1524">
        <f t="shared" si="1"/>
        <v>0.41712032210915306</v>
      </c>
      <c r="J18" s="1523"/>
      <c r="K18" s="1523">
        <f t="shared" si="2"/>
        <v>75626</v>
      </c>
      <c r="L18" s="1278">
        <f t="shared" si="0"/>
        <v>0.41712032210915306</v>
      </c>
      <c r="M18" s="2543"/>
    </row>
    <row r="19" spans="1:13" s="214" customFormat="1" ht="12" customHeight="1" thickBot="1">
      <c r="A19" s="2539"/>
      <c r="B19" s="2541"/>
      <c r="C19" s="2546"/>
      <c r="D19" s="1522">
        <v>4119</v>
      </c>
      <c r="E19" s="1523">
        <v>31995</v>
      </c>
      <c r="F19" s="1523">
        <v>31995</v>
      </c>
      <c r="G19" s="1523"/>
      <c r="H19" s="1523">
        <v>13346</v>
      </c>
      <c r="I19" s="1524">
        <f t="shared" si="1"/>
        <v>0.41712767619940616</v>
      </c>
      <c r="J19" s="1523"/>
      <c r="K19" s="1523">
        <f t="shared" si="2"/>
        <v>13346</v>
      </c>
      <c r="L19" s="1278">
        <f t="shared" si="0"/>
        <v>0.41712767619940616</v>
      </c>
      <c r="M19" s="2543"/>
    </row>
    <row r="20" spans="1:13" s="214" customFormat="1" ht="12" customHeight="1" thickBot="1">
      <c r="A20" s="2539"/>
      <c r="B20" s="2541"/>
      <c r="C20" s="2546"/>
      <c r="D20" s="1522">
        <v>4128</v>
      </c>
      <c r="E20" s="1523">
        <v>26435</v>
      </c>
      <c r="F20" s="1523">
        <v>26435</v>
      </c>
      <c r="G20" s="1523"/>
      <c r="H20" s="1523">
        <v>9463</v>
      </c>
      <c r="I20" s="1524">
        <f t="shared" si="1"/>
        <v>0.35797238509551732</v>
      </c>
      <c r="J20" s="1523"/>
      <c r="K20" s="1523">
        <f t="shared" si="2"/>
        <v>9463</v>
      </c>
      <c r="L20" s="1278">
        <f t="shared" si="0"/>
        <v>0.35797238509551732</v>
      </c>
      <c r="M20" s="2543"/>
    </row>
    <row r="21" spans="1:13" s="214" customFormat="1" ht="12" customHeight="1" thickBot="1">
      <c r="A21" s="2539"/>
      <c r="B21" s="2541"/>
      <c r="C21" s="2546"/>
      <c r="D21" s="1522">
        <v>4129</v>
      </c>
      <c r="E21" s="1523">
        <v>4665</v>
      </c>
      <c r="F21" s="1523">
        <v>4665</v>
      </c>
      <c r="G21" s="1523"/>
      <c r="H21" s="1523">
        <v>1670</v>
      </c>
      <c r="I21" s="1524">
        <f t="shared" si="1"/>
        <v>0.35798499464094319</v>
      </c>
      <c r="J21" s="1523"/>
      <c r="K21" s="1523">
        <f t="shared" si="2"/>
        <v>1670</v>
      </c>
      <c r="L21" s="1278">
        <f t="shared" si="0"/>
        <v>0.35798499464094319</v>
      </c>
      <c r="M21" s="2543"/>
    </row>
    <row r="22" spans="1:13" s="214" customFormat="1" ht="12" customHeight="1" thickBot="1">
      <c r="A22" s="2539"/>
      <c r="B22" s="2541"/>
      <c r="C22" s="2546"/>
      <c r="D22" s="1522">
        <v>4218</v>
      </c>
      <c r="E22" s="1523">
        <v>45050</v>
      </c>
      <c r="F22" s="1523">
        <v>52700</v>
      </c>
      <c r="G22" s="1523"/>
      <c r="H22" s="1523">
        <v>0</v>
      </c>
      <c r="I22" s="1524">
        <f t="shared" si="1"/>
        <v>0</v>
      </c>
      <c r="J22" s="1523"/>
      <c r="K22" s="1523">
        <f t="shared" si="2"/>
        <v>0</v>
      </c>
      <c r="L22" s="1278">
        <f t="shared" si="0"/>
        <v>0</v>
      </c>
      <c r="M22" s="2543"/>
    </row>
    <row r="23" spans="1:13" s="214" customFormat="1" ht="12" customHeight="1" thickBot="1">
      <c r="A23" s="2539"/>
      <c r="B23" s="2541"/>
      <c r="C23" s="2546"/>
      <c r="D23" s="1522">
        <v>4219</v>
      </c>
      <c r="E23" s="1523">
        <v>7950</v>
      </c>
      <c r="F23" s="1523">
        <v>9300</v>
      </c>
      <c r="G23" s="1523"/>
      <c r="H23" s="1523">
        <v>0</v>
      </c>
      <c r="I23" s="1524">
        <f t="shared" si="1"/>
        <v>0</v>
      </c>
      <c r="J23" s="1523"/>
      <c r="K23" s="1523">
        <f t="shared" si="2"/>
        <v>0</v>
      </c>
      <c r="L23" s="1278">
        <f t="shared" si="0"/>
        <v>0</v>
      </c>
      <c r="M23" s="2543"/>
    </row>
    <row r="24" spans="1:13" s="214" customFormat="1" ht="12" customHeight="1" thickBot="1">
      <c r="A24" s="2539"/>
      <c r="B24" s="2541"/>
      <c r="C24" s="2546"/>
      <c r="D24" s="1522">
        <v>4268</v>
      </c>
      <c r="E24" s="1523">
        <v>16600</v>
      </c>
      <c r="F24" s="1523">
        <v>25100</v>
      </c>
      <c r="G24" s="1523"/>
      <c r="H24" s="1523">
        <v>10815</v>
      </c>
      <c r="I24" s="1524">
        <f t="shared" si="1"/>
        <v>0.65150602409638558</v>
      </c>
      <c r="J24" s="1523"/>
      <c r="K24" s="1523">
        <f t="shared" si="2"/>
        <v>10815</v>
      </c>
      <c r="L24" s="1278">
        <f t="shared" si="0"/>
        <v>0.65150602409638558</v>
      </c>
      <c r="M24" s="2543"/>
    </row>
    <row r="25" spans="1:13" s="214" customFormat="1" ht="12" customHeight="1" thickBot="1">
      <c r="A25" s="2539"/>
      <c r="B25" s="2541"/>
      <c r="C25" s="2546"/>
      <c r="D25" s="1525">
        <v>4269</v>
      </c>
      <c r="E25" s="1523">
        <v>2929</v>
      </c>
      <c r="F25" s="1523">
        <v>4429</v>
      </c>
      <c r="G25" s="1523"/>
      <c r="H25" s="1523">
        <v>1908</v>
      </c>
      <c r="I25" s="1524">
        <f t="shared" si="1"/>
        <v>0.65141686582451352</v>
      </c>
      <c r="J25" s="1523"/>
      <c r="K25" s="1523">
        <f t="shared" si="2"/>
        <v>1908</v>
      </c>
      <c r="L25" s="1278">
        <f t="shared" si="0"/>
        <v>0.65141686582451352</v>
      </c>
      <c r="M25" s="2543"/>
    </row>
    <row r="26" spans="1:13" s="214" customFormat="1" ht="12" customHeight="1" thickBot="1">
      <c r="A26" s="2539"/>
      <c r="B26" s="2541"/>
      <c r="C26" s="2546"/>
      <c r="D26" s="1522">
        <v>4308</v>
      </c>
      <c r="E26" s="1523">
        <v>38990</v>
      </c>
      <c r="F26" s="1523">
        <v>48450</v>
      </c>
      <c r="G26" s="1523"/>
      <c r="H26" s="1523">
        <v>35870</v>
      </c>
      <c r="I26" s="1524">
        <f t="shared" si="1"/>
        <v>0.91997948191844059</v>
      </c>
      <c r="J26" s="1523"/>
      <c r="K26" s="1523">
        <f t="shared" si="2"/>
        <v>35870</v>
      </c>
      <c r="L26" s="1278">
        <f t="shared" si="0"/>
        <v>0.91997948191844059</v>
      </c>
      <c r="M26" s="2543"/>
    </row>
    <row r="27" spans="1:13" s="214" customFormat="1" ht="12" customHeight="1" thickBot="1">
      <c r="A27" s="2539"/>
      <c r="B27" s="2541"/>
      <c r="C27" s="2546"/>
      <c r="D27" s="1522">
        <v>4309</v>
      </c>
      <c r="E27" s="1523">
        <v>6881</v>
      </c>
      <c r="F27" s="1523">
        <v>8550</v>
      </c>
      <c r="G27" s="1523"/>
      <c r="H27" s="1523">
        <v>6330</v>
      </c>
      <c r="I27" s="1524">
        <f t="shared" si="1"/>
        <v>0.91992442958872256</v>
      </c>
      <c r="J27" s="1523"/>
      <c r="K27" s="1523">
        <f t="shared" si="2"/>
        <v>6330</v>
      </c>
      <c r="L27" s="1278">
        <f t="shared" si="0"/>
        <v>0.91992442958872256</v>
      </c>
      <c r="M27" s="2543"/>
    </row>
    <row r="28" spans="1:13" s="214" customFormat="1" ht="12" customHeight="1" thickBot="1">
      <c r="A28" s="2539"/>
      <c r="B28" s="2541"/>
      <c r="C28" s="2546"/>
      <c r="D28" s="1522">
        <v>4368</v>
      </c>
      <c r="E28" s="1523">
        <v>1020</v>
      </c>
      <c r="F28" s="1523">
        <v>1130</v>
      </c>
      <c r="G28" s="1523"/>
      <c r="H28" s="1523">
        <v>1020</v>
      </c>
      <c r="I28" s="1524">
        <f t="shared" si="1"/>
        <v>1</v>
      </c>
      <c r="J28" s="1523"/>
      <c r="K28" s="1523">
        <f t="shared" si="2"/>
        <v>1020</v>
      </c>
      <c r="L28" s="1278">
        <f t="shared" si="0"/>
        <v>1</v>
      </c>
      <c r="M28" s="2543"/>
    </row>
    <row r="29" spans="1:13" s="214" customFormat="1" ht="12" customHeight="1" thickBot="1">
      <c r="A29" s="2539"/>
      <c r="B29" s="2541"/>
      <c r="C29" s="2546"/>
      <c r="D29" s="1522">
        <v>4369</v>
      </c>
      <c r="E29" s="1523">
        <v>180</v>
      </c>
      <c r="F29" s="1523">
        <v>200</v>
      </c>
      <c r="G29" s="1523"/>
      <c r="H29" s="1523">
        <v>180</v>
      </c>
      <c r="I29" s="1524">
        <f t="shared" si="1"/>
        <v>1</v>
      </c>
      <c r="J29" s="1523"/>
      <c r="K29" s="1523">
        <f t="shared" si="2"/>
        <v>180</v>
      </c>
      <c r="L29" s="1278">
        <f t="shared" si="0"/>
        <v>1</v>
      </c>
      <c r="M29" s="2543"/>
    </row>
    <row r="30" spans="1:13" s="214" customFormat="1" ht="12" customHeight="1" thickBot="1">
      <c r="A30" s="2539"/>
      <c r="B30" s="2541"/>
      <c r="C30" s="2546"/>
      <c r="D30" s="1522">
        <v>4408</v>
      </c>
      <c r="E30" s="1523">
        <v>11050</v>
      </c>
      <c r="F30" s="1523">
        <v>11050</v>
      </c>
      <c r="G30" s="1523"/>
      <c r="H30" s="1523">
        <v>12240</v>
      </c>
      <c r="I30" s="1524">
        <f t="shared" si="1"/>
        <v>1.1076923076923078</v>
      </c>
      <c r="J30" s="1523"/>
      <c r="K30" s="1523">
        <f t="shared" si="2"/>
        <v>12240</v>
      </c>
      <c r="L30" s="1278">
        <f t="shared" si="0"/>
        <v>1.1076923076923078</v>
      </c>
      <c r="M30" s="2543"/>
    </row>
    <row r="31" spans="1:13" s="214" customFormat="1" ht="12" customHeight="1" thickBot="1">
      <c r="A31" s="2539"/>
      <c r="B31" s="2541"/>
      <c r="C31" s="2546"/>
      <c r="D31" s="1522">
        <v>4409</v>
      </c>
      <c r="E31" s="1523">
        <v>1950</v>
      </c>
      <c r="F31" s="1523">
        <v>1950</v>
      </c>
      <c r="G31" s="1523"/>
      <c r="H31" s="1523">
        <v>2160</v>
      </c>
      <c r="I31" s="1524">
        <f t="shared" si="1"/>
        <v>1.1076923076923078</v>
      </c>
      <c r="J31" s="1523"/>
      <c r="K31" s="1523">
        <f t="shared" si="2"/>
        <v>2160</v>
      </c>
      <c r="L31" s="1278">
        <f t="shared" si="0"/>
        <v>1.1076923076923078</v>
      </c>
      <c r="M31" s="2543"/>
    </row>
    <row r="32" spans="1:13" s="214" customFormat="1" ht="12" customHeight="1" thickBot="1">
      <c r="A32" s="2539"/>
      <c r="B32" s="2541"/>
      <c r="C32" s="2546"/>
      <c r="D32" s="1522">
        <v>4418</v>
      </c>
      <c r="E32" s="1523">
        <v>2550</v>
      </c>
      <c r="F32" s="1523">
        <v>3400</v>
      </c>
      <c r="G32" s="1523"/>
      <c r="H32" s="1523">
        <v>850</v>
      </c>
      <c r="I32" s="1524">
        <f t="shared" si="1"/>
        <v>0.33333333333333331</v>
      </c>
      <c r="J32" s="1523"/>
      <c r="K32" s="1523">
        <f t="shared" si="2"/>
        <v>850</v>
      </c>
      <c r="L32" s="1278">
        <f t="shared" si="0"/>
        <v>0.33333333333333331</v>
      </c>
      <c r="M32" s="2543"/>
    </row>
    <row r="33" spans="1:13" s="214" customFormat="1" ht="12" customHeight="1" thickBot="1">
      <c r="A33" s="2539"/>
      <c r="B33" s="2541"/>
      <c r="C33" s="2546"/>
      <c r="D33" s="1522">
        <v>4419</v>
      </c>
      <c r="E33" s="1523">
        <v>450</v>
      </c>
      <c r="F33" s="1523">
        <v>600</v>
      </c>
      <c r="G33" s="1523"/>
      <c r="H33" s="1523">
        <v>150</v>
      </c>
      <c r="I33" s="1524">
        <f t="shared" si="1"/>
        <v>0.33333333333333331</v>
      </c>
      <c r="J33" s="1523"/>
      <c r="K33" s="1523">
        <f t="shared" si="2"/>
        <v>150</v>
      </c>
      <c r="L33" s="1278">
        <f t="shared" si="0"/>
        <v>0.33333333333333331</v>
      </c>
      <c r="M33" s="2543"/>
    </row>
    <row r="34" spans="1:13" s="214" customFormat="1" ht="12" customHeight="1" thickBot="1">
      <c r="A34" s="2539"/>
      <c r="B34" s="2541"/>
      <c r="C34" s="2546"/>
      <c r="D34" s="1522">
        <v>4528</v>
      </c>
      <c r="E34" s="1523">
        <v>425</v>
      </c>
      <c r="F34" s="1523">
        <v>555</v>
      </c>
      <c r="G34" s="1523"/>
      <c r="H34" s="1523">
        <v>0</v>
      </c>
      <c r="I34" s="1524">
        <f t="shared" si="1"/>
        <v>0</v>
      </c>
      <c r="J34" s="1523"/>
      <c r="K34" s="1523">
        <f t="shared" si="2"/>
        <v>0</v>
      </c>
      <c r="L34" s="1278">
        <f t="shared" si="0"/>
        <v>0</v>
      </c>
      <c r="M34" s="2543"/>
    </row>
    <row r="35" spans="1:13" s="214" customFormat="1" ht="12" customHeight="1" thickBot="1">
      <c r="A35" s="2539"/>
      <c r="B35" s="2541"/>
      <c r="C35" s="2546"/>
      <c r="D35" s="1522">
        <v>4529</v>
      </c>
      <c r="E35" s="1523">
        <v>75</v>
      </c>
      <c r="F35" s="1523">
        <v>99</v>
      </c>
      <c r="G35" s="1523"/>
      <c r="H35" s="1523">
        <v>0</v>
      </c>
      <c r="I35" s="1524">
        <f t="shared" si="1"/>
        <v>0</v>
      </c>
      <c r="J35" s="1523"/>
      <c r="K35" s="1523">
        <f t="shared" si="2"/>
        <v>0</v>
      </c>
      <c r="L35" s="1278">
        <f t="shared" si="0"/>
        <v>0</v>
      </c>
      <c r="M35" s="2543"/>
    </row>
    <row r="36" spans="1:13" s="214" customFormat="1" ht="12" customHeight="1" thickBot="1">
      <c r="A36" s="2539"/>
      <c r="B36" s="2541"/>
      <c r="C36" s="2546"/>
      <c r="D36" s="1522">
        <v>4708</v>
      </c>
      <c r="E36" s="1523">
        <v>17000</v>
      </c>
      <c r="F36" s="1523">
        <v>30600</v>
      </c>
      <c r="G36" s="1523"/>
      <c r="H36" s="1523">
        <v>850</v>
      </c>
      <c r="I36" s="1524">
        <f t="shared" si="1"/>
        <v>0.05</v>
      </c>
      <c r="J36" s="1523"/>
      <c r="K36" s="1523">
        <f t="shared" si="2"/>
        <v>850</v>
      </c>
      <c r="L36" s="1278">
        <f t="shared" si="0"/>
        <v>0.05</v>
      </c>
      <c r="M36" s="2543"/>
    </row>
    <row r="37" spans="1:13" s="214" customFormat="1" ht="12" customHeight="1" thickBot="1">
      <c r="A37" s="2539"/>
      <c r="B37" s="2541"/>
      <c r="C37" s="2546"/>
      <c r="D37" s="1525">
        <v>4709</v>
      </c>
      <c r="E37" s="1523">
        <v>3000</v>
      </c>
      <c r="F37" s="1523">
        <v>5400</v>
      </c>
      <c r="G37" s="1523"/>
      <c r="H37" s="1523">
        <v>150</v>
      </c>
      <c r="I37" s="1524">
        <f t="shared" si="1"/>
        <v>0.05</v>
      </c>
      <c r="J37" s="1523"/>
      <c r="K37" s="1523">
        <f t="shared" si="2"/>
        <v>150</v>
      </c>
      <c r="L37" s="1278">
        <f t="shared" si="0"/>
        <v>0.05</v>
      </c>
      <c r="M37" s="2543"/>
    </row>
    <row r="38" spans="1:13" s="214" customFormat="1" ht="12" customHeight="1" thickBot="1">
      <c r="A38" s="2539"/>
      <c r="B38" s="2541"/>
      <c r="C38" s="2546"/>
      <c r="D38" s="1525">
        <v>4718</v>
      </c>
      <c r="E38" s="1523">
        <v>9690</v>
      </c>
      <c r="F38" s="1523">
        <v>9690</v>
      </c>
      <c r="G38" s="1523"/>
      <c r="H38" s="1523">
        <v>9941</v>
      </c>
      <c r="I38" s="1524">
        <f t="shared" si="1"/>
        <v>1.0259029927760579</v>
      </c>
      <c r="J38" s="1523"/>
      <c r="K38" s="1523">
        <f t="shared" si="2"/>
        <v>9941</v>
      </c>
      <c r="L38" s="1278">
        <f t="shared" si="0"/>
        <v>1.0259029927760579</v>
      </c>
      <c r="M38" s="2543"/>
    </row>
    <row r="39" spans="1:13" s="214" customFormat="1" ht="12" customHeight="1" thickBot="1">
      <c r="A39" s="2539"/>
      <c r="B39" s="2541"/>
      <c r="C39" s="2546"/>
      <c r="D39" s="1525">
        <v>4719</v>
      </c>
      <c r="E39" s="1523">
        <v>1710</v>
      </c>
      <c r="F39" s="1523">
        <v>1710</v>
      </c>
      <c r="G39" s="1523"/>
      <c r="H39" s="1523">
        <v>1754</v>
      </c>
      <c r="I39" s="1524">
        <f t="shared" si="1"/>
        <v>1.0257309941520467</v>
      </c>
      <c r="J39" s="1523"/>
      <c r="K39" s="1523">
        <f t="shared" si="2"/>
        <v>1754</v>
      </c>
      <c r="L39" s="1278">
        <f t="shared" si="0"/>
        <v>1.0257309941520467</v>
      </c>
      <c r="M39" s="2543"/>
    </row>
    <row r="40" spans="1:13" s="214" customFormat="1" ht="12" hidden="1" customHeight="1" thickBot="1">
      <c r="A40" s="2539"/>
      <c r="B40" s="2541"/>
      <c r="C40" s="2546"/>
      <c r="D40" s="1279">
        <v>2918</v>
      </c>
      <c r="E40" s="1275">
        <v>0</v>
      </c>
      <c r="F40" s="1275">
        <v>0</v>
      </c>
      <c r="G40" s="1275"/>
      <c r="H40" s="1275"/>
      <c r="I40" s="1277"/>
      <c r="J40" s="1275"/>
      <c r="K40" s="1275">
        <f t="shared" si="2"/>
        <v>0</v>
      </c>
      <c r="L40" s="1272" t="e">
        <f t="shared" si="0"/>
        <v>#DIV/0!</v>
      </c>
      <c r="M40" s="2543"/>
    </row>
    <row r="41" spans="1:13" s="214" customFormat="1" ht="12" hidden="1" customHeight="1" thickBot="1">
      <c r="A41" s="2539"/>
      <c r="B41" s="2541"/>
      <c r="C41" s="2546"/>
      <c r="D41" s="1279">
        <v>2919</v>
      </c>
      <c r="E41" s="1275">
        <v>0</v>
      </c>
      <c r="F41" s="1275">
        <v>0</v>
      </c>
      <c r="G41" s="1275"/>
      <c r="H41" s="1275"/>
      <c r="I41" s="1277"/>
      <c r="J41" s="1275"/>
      <c r="K41" s="1275">
        <f t="shared" si="2"/>
        <v>0</v>
      </c>
      <c r="L41" s="1272" t="e">
        <f t="shared" si="0"/>
        <v>#DIV/0!</v>
      </c>
      <c r="M41" s="2543"/>
    </row>
    <row r="42" spans="1:13" s="214" customFormat="1" ht="12" hidden="1" customHeight="1" thickBot="1">
      <c r="A42" s="2539"/>
      <c r="B42" s="2541"/>
      <c r="C42" s="2547"/>
      <c r="D42" s="1279">
        <v>4569</v>
      </c>
      <c r="E42" s="1275">
        <v>0</v>
      </c>
      <c r="F42" s="1275">
        <v>0</v>
      </c>
      <c r="G42" s="1275"/>
      <c r="H42" s="1275"/>
      <c r="I42" s="1277"/>
      <c r="J42" s="1275"/>
      <c r="K42" s="1275">
        <f t="shared" si="2"/>
        <v>0</v>
      </c>
      <c r="L42" s="1272" t="e">
        <f t="shared" si="0"/>
        <v>#DIV/0!</v>
      </c>
      <c r="M42" s="2543"/>
    </row>
    <row r="43" spans="1:13" s="229" customFormat="1" ht="12" customHeight="1" thickBot="1">
      <c r="A43" s="2539"/>
      <c r="B43" s="2541"/>
      <c r="C43" s="1273" t="s">
        <v>26</v>
      </c>
      <c r="D43" s="1274"/>
      <c r="E43" s="1275"/>
      <c r="F43" s="1275"/>
      <c r="G43" s="1275"/>
      <c r="H43" s="1275"/>
      <c r="I43" s="1271"/>
      <c r="J43" s="1275"/>
      <c r="K43" s="1275"/>
      <c r="L43" s="1272"/>
      <c r="M43" s="2543"/>
    </row>
    <row r="44" spans="1:13" s="214" customFormat="1" ht="12" customHeight="1" thickBot="1">
      <c r="A44" s="2539"/>
      <c r="B44" s="2541"/>
      <c r="C44" s="1273" t="s">
        <v>27</v>
      </c>
      <c r="D44" s="1274"/>
      <c r="E44" s="1275"/>
      <c r="F44" s="1275"/>
      <c r="G44" s="1275"/>
      <c r="H44" s="1275"/>
      <c r="I44" s="1271"/>
      <c r="J44" s="1275"/>
      <c r="K44" s="1275"/>
      <c r="L44" s="1272"/>
      <c r="M44" s="2543"/>
    </row>
    <row r="45" spans="1:13" s="229" customFormat="1" ht="12" customHeight="1" thickBot="1">
      <c r="A45" s="2539"/>
      <c r="B45" s="2541"/>
      <c r="C45" s="1280" t="s">
        <v>28</v>
      </c>
      <c r="D45" s="1281"/>
      <c r="E45" s="1270">
        <f>SUM(E46,E48,E49)</f>
        <v>0</v>
      </c>
      <c r="F45" s="1270">
        <f>SUM(F46,F48,F49)</f>
        <v>0</v>
      </c>
      <c r="G45" s="1270"/>
      <c r="H45" s="1270">
        <f>SUM(H46,H48,H49)</f>
        <v>0</v>
      </c>
      <c r="I45" s="1271"/>
      <c r="J45" s="1270">
        <f>SUM(J46,J48,J49)</f>
        <v>0</v>
      </c>
      <c r="K45" s="1270">
        <f>SUM(K46,K48,K49)</f>
        <v>0</v>
      </c>
      <c r="L45" s="1272"/>
      <c r="M45" s="2543"/>
    </row>
    <row r="46" spans="1:13" s="229" customFormat="1" ht="12" customHeight="1" thickBot="1">
      <c r="A46" s="2539"/>
      <c r="B46" s="2541"/>
      <c r="C46" s="1282" t="s">
        <v>29</v>
      </c>
      <c r="D46" s="1274"/>
      <c r="E46" s="1275"/>
      <c r="F46" s="1275"/>
      <c r="G46" s="1275"/>
      <c r="H46" s="1275"/>
      <c r="I46" s="1271"/>
      <c r="J46" s="1275"/>
      <c r="K46" s="1275"/>
      <c r="L46" s="1272"/>
      <c r="M46" s="2543"/>
    </row>
    <row r="47" spans="1:13" s="214" customFormat="1" ht="23.25" thickBot="1">
      <c r="A47" s="2539"/>
      <c r="B47" s="2541"/>
      <c r="C47" s="1283" t="s">
        <v>30</v>
      </c>
      <c r="D47" s="1279"/>
      <c r="E47" s="1275"/>
      <c r="F47" s="1275"/>
      <c r="G47" s="1275"/>
      <c r="H47" s="1275"/>
      <c r="I47" s="1271"/>
      <c r="J47" s="1275"/>
      <c r="K47" s="1275"/>
      <c r="L47" s="1272"/>
      <c r="M47" s="2543"/>
    </row>
    <row r="48" spans="1:13" s="214" customFormat="1" ht="12" customHeight="1" thickBot="1">
      <c r="A48" s="2539"/>
      <c r="B48" s="2541"/>
      <c r="C48" s="1273" t="s">
        <v>31</v>
      </c>
      <c r="D48" s="1274"/>
      <c r="E48" s="1275"/>
      <c r="F48" s="1275"/>
      <c r="G48" s="1275"/>
      <c r="H48" s="1275"/>
      <c r="I48" s="1277"/>
      <c r="J48" s="1275"/>
      <c r="K48" s="1275"/>
      <c r="L48" s="1272"/>
      <c r="M48" s="2543"/>
    </row>
    <row r="49" spans="1:13" s="214" customFormat="1" ht="12" customHeight="1" thickBot="1">
      <c r="A49" s="2540"/>
      <c r="B49" s="2542"/>
      <c r="C49" s="1284" t="s">
        <v>32</v>
      </c>
      <c r="D49" s="1285"/>
      <c r="E49" s="1286"/>
      <c r="F49" s="1286"/>
      <c r="G49" s="1286"/>
      <c r="H49" s="1286"/>
      <c r="I49" s="1287"/>
      <c r="J49" s="1286"/>
      <c r="K49" s="1288"/>
      <c r="L49" s="1289"/>
      <c r="M49" s="2544"/>
    </row>
    <row r="50" spans="1:13" s="1295" customFormat="1" ht="21" customHeight="1" thickBot="1">
      <c r="A50" s="2536" t="s">
        <v>33</v>
      </c>
      <c r="B50" s="2537"/>
      <c r="C50" s="2537"/>
      <c r="D50" s="1290"/>
      <c r="E50" s="1291">
        <f>E5</f>
        <v>1650000</v>
      </c>
      <c r="F50" s="1291">
        <f>F5</f>
        <v>1650000</v>
      </c>
      <c r="G50" s="1291"/>
      <c r="H50" s="1291">
        <f>H5</f>
        <v>730000</v>
      </c>
      <c r="I50" s="1292">
        <f>H50/E50</f>
        <v>0.44242424242424244</v>
      </c>
      <c r="J50" s="1291">
        <f>J5</f>
        <v>0</v>
      </c>
      <c r="K50" s="1291">
        <f>K5</f>
        <v>730000</v>
      </c>
      <c r="L50" s="1293">
        <f t="shared" si="0"/>
        <v>0.44242424242424244</v>
      </c>
      <c r="M50" s="1294"/>
    </row>
    <row r="51" spans="1:13">
      <c r="E51" s="230"/>
    </row>
  </sheetData>
  <mergeCells count="7">
    <mergeCell ref="A50:C50"/>
    <mergeCell ref="A1:M1"/>
    <mergeCell ref="B4:C4"/>
    <mergeCell ref="A6:A49"/>
    <mergeCell ref="B6:B49"/>
    <mergeCell ref="M6:M49"/>
    <mergeCell ref="C13:C42"/>
  </mergeCells>
  <printOptions horizontalCentered="1"/>
  <pageMargins left="0.19685039370078741" right="0.19685039370078741" top="0.39370078740157483" bottom="0.19685039370078741" header="0.39370078740157483" footer="0.19685039370078741"/>
  <pageSetup paperSize="9" scale="74" fitToWidth="0" fitToHeight="0" orientation="landscape" r:id="rId1"/>
  <headerFooter alignWithMargins="0"/>
  <colBreaks count="1" manualBreakCount="1">
    <brk id="1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FFFF"/>
  </sheetPr>
  <dimension ref="A1:U38"/>
  <sheetViews>
    <sheetView view="pageBreakPreview" zoomScaleNormal="100" zoomScaleSheetLayoutView="100" workbookViewId="0">
      <selection activeCell="N11" sqref="N11"/>
    </sheetView>
  </sheetViews>
  <sheetFormatPr defaultRowHeight="12.75"/>
  <cols>
    <col min="1" max="1" width="4.5703125" style="220" bestFit="1" customWidth="1"/>
    <col min="2" max="2" width="7.42578125" style="220" bestFit="1" customWidth="1"/>
    <col min="3" max="3" width="41.85546875" style="220" customWidth="1"/>
    <col min="4" max="4" width="5.28515625" style="1296" bestFit="1" customWidth="1"/>
    <col min="5" max="5" width="12.140625" style="220" customWidth="1"/>
    <col min="6" max="6" width="12.140625" style="214" customWidth="1"/>
    <col min="7" max="7" width="10.5703125" style="220" hidden="1" customWidth="1"/>
    <col min="8" max="8" width="13.140625" style="214" hidden="1" customWidth="1"/>
    <col min="9" max="9" width="8.5703125" style="214" hidden="1" customWidth="1"/>
    <col min="10" max="10" width="12.140625" style="214" hidden="1" customWidth="1"/>
    <col min="11" max="11" width="12.140625" style="214" customWidth="1"/>
    <col min="12" max="12" width="7" style="214" hidden="1" customWidth="1"/>
    <col min="13" max="13" width="77.140625" style="214" customWidth="1"/>
    <col min="14" max="21" width="9.140625" style="214" customWidth="1"/>
    <col min="22" max="246" width="9.140625" style="2" customWidth="1"/>
    <col min="247" max="247" width="4.28515625" style="2" bestFit="1" customWidth="1"/>
    <col min="248" max="248" width="6.85546875" style="2" bestFit="1" customWidth="1"/>
    <col min="249" max="249" width="11" style="2" customWidth="1"/>
    <col min="250" max="250" width="11.140625" style="2" bestFit="1" customWidth="1"/>
    <col min="251" max="251" width="10.85546875" style="2" customWidth="1"/>
    <col min="252" max="252" width="11.5703125" style="2" customWidth="1"/>
    <col min="253" max="253" width="11.140625" style="2" bestFit="1" customWidth="1"/>
    <col min="254" max="254" width="11" style="2" customWidth="1"/>
    <col min="255" max="255" width="10.42578125" style="2" customWidth="1"/>
    <col min="256" max="256" width="11.28515625" style="2" customWidth="1"/>
    <col min="257" max="258" width="9.140625" style="2" bestFit="1" customWidth="1"/>
    <col min="259" max="260" width="11.140625" style="2" bestFit="1" customWidth="1"/>
    <col min="261" max="261" width="11.5703125" style="2" bestFit="1" customWidth="1"/>
    <col min="262" max="262" width="9.140625" style="2" bestFit="1" customWidth="1"/>
    <col min="263" max="263" width="10.28515625" style="2" customWidth="1"/>
    <col min="264" max="502" width="9.140625" style="2" customWidth="1"/>
    <col min="503" max="503" width="4.28515625" style="2" bestFit="1" customWidth="1"/>
    <col min="504" max="504" width="6.85546875" style="2" bestFit="1" customWidth="1"/>
    <col min="505" max="505" width="11" style="2" customWidth="1"/>
    <col min="506" max="506" width="11.140625" style="2" bestFit="1" customWidth="1"/>
    <col min="507" max="507" width="10.85546875" style="2" customWidth="1"/>
    <col min="508" max="508" width="11.5703125" style="2" customWidth="1"/>
    <col min="509" max="509" width="11.140625" style="2" bestFit="1" customWidth="1"/>
    <col min="510" max="510" width="11" style="2" customWidth="1"/>
    <col min="511" max="511" width="10.42578125" style="2" customWidth="1"/>
    <col min="512" max="512" width="11.28515625" style="2" customWidth="1"/>
    <col min="513" max="514" width="9.140625" style="2" bestFit="1" customWidth="1"/>
    <col min="515" max="516" width="11.140625" style="2" bestFit="1" customWidth="1"/>
    <col min="517" max="517" width="11.5703125" style="2" bestFit="1" customWidth="1"/>
    <col min="518" max="518" width="9.140625" style="2" bestFit="1" customWidth="1"/>
    <col min="519" max="519" width="10.28515625" style="2" customWidth="1"/>
    <col min="520" max="758" width="9.140625" style="2" customWidth="1"/>
    <col min="759" max="759" width="4.28515625" style="2" bestFit="1" customWidth="1"/>
    <col min="760" max="760" width="6.85546875" style="2" bestFit="1" customWidth="1"/>
    <col min="761" max="761" width="11" style="2" customWidth="1"/>
    <col min="762" max="762" width="11.140625" style="2" bestFit="1" customWidth="1"/>
    <col min="763" max="763" width="10.85546875" style="2" customWidth="1"/>
    <col min="764" max="764" width="11.5703125" style="2" customWidth="1"/>
    <col min="765" max="765" width="11.140625" style="2" bestFit="1" customWidth="1"/>
    <col min="766" max="766" width="11" style="2" customWidth="1"/>
    <col min="767" max="767" width="10.42578125" style="2" customWidth="1"/>
    <col min="768" max="768" width="11.28515625" style="2" customWidth="1"/>
    <col min="769" max="770" width="9.140625" style="2" bestFit="1" customWidth="1"/>
    <col min="771" max="772" width="11.140625" style="2" bestFit="1" customWidth="1"/>
    <col min="773" max="773" width="11.5703125" style="2" bestFit="1" customWidth="1"/>
    <col min="774" max="774" width="9.140625" style="2" bestFit="1" customWidth="1"/>
    <col min="775" max="775" width="10.28515625" style="2" customWidth="1"/>
    <col min="776" max="1014" width="9.140625" style="2" customWidth="1"/>
    <col min="1015" max="1015" width="4.28515625" style="2" bestFit="1" customWidth="1"/>
    <col min="1016" max="1016" width="6.85546875" style="2" bestFit="1" customWidth="1"/>
    <col min="1017" max="1017" width="11" style="2" customWidth="1"/>
    <col min="1018" max="1018" width="11.140625" style="2" bestFit="1" customWidth="1"/>
    <col min="1019" max="1019" width="10.85546875" style="2" customWidth="1"/>
    <col min="1020" max="1020" width="11.5703125" style="2" customWidth="1"/>
    <col min="1021" max="1021" width="11.140625" style="2" bestFit="1" customWidth="1"/>
    <col min="1022" max="1022" width="11" style="2" customWidth="1"/>
    <col min="1023" max="1023" width="10.42578125" style="2" customWidth="1"/>
    <col min="1024" max="1024" width="11.28515625" style="2" customWidth="1"/>
    <col min="1025" max="1026" width="9.140625" style="2" bestFit="1" customWidth="1"/>
    <col min="1027" max="1028" width="11.140625" style="2" bestFit="1" customWidth="1"/>
    <col min="1029" max="1029" width="11.5703125" style="2" bestFit="1" customWidth="1"/>
    <col min="1030" max="1030" width="9.140625" style="2" bestFit="1" customWidth="1"/>
    <col min="1031" max="1031" width="10.28515625" style="2" customWidth="1"/>
    <col min="1032" max="1270" width="9.140625" style="2" customWidth="1"/>
    <col min="1271" max="1271" width="4.28515625" style="2" bestFit="1" customWidth="1"/>
    <col min="1272" max="1272" width="6.85546875" style="2" bestFit="1" customWidth="1"/>
    <col min="1273" max="1273" width="11" style="2" customWidth="1"/>
    <col min="1274" max="1274" width="11.140625" style="2" bestFit="1" customWidth="1"/>
    <col min="1275" max="1275" width="10.85546875" style="2" customWidth="1"/>
    <col min="1276" max="1276" width="11.5703125" style="2" customWidth="1"/>
    <col min="1277" max="1277" width="11.140625" style="2" bestFit="1" customWidth="1"/>
    <col min="1278" max="1278" width="11" style="2" customWidth="1"/>
    <col min="1279" max="1279" width="10.42578125" style="2" customWidth="1"/>
    <col min="1280" max="1280" width="11.28515625" style="2" customWidth="1"/>
    <col min="1281" max="1282" width="9.140625" style="2" bestFit="1" customWidth="1"/>
    <col min="1283" max="1284" width="11.140625" style="2" bestFit="1" customWidth="1"/>
    <col min="1285" max="1285" width="11.5703125" style="2" bestFit="1" customWidth="1"/>
    <col min="1286" max="1286" width="9.140625" style="2" bestFit="1" customWidth="1"/>
    <col min="1287" max="1287" width="10.28515625" style="2" customWidth="1"/>
    <col min="1288" max="1526" width="9.140625" style="2" customWidth="1"/>
    <col min="1527" max="1527" width="4.28515625" style="2" bestFit="1" customWidth="1"/>
    <col min="1528" max="1528" width="6.85546875" style="2" bestFit="1" customWidth="1"/>
    <col min="1529" max="1529" width="11" style="2" customWidth="1"/>
    <col min="1530" max="1530" width="11.140625" style="2" bestFit="1" customWidth="1"/>
    <col min="1531" max="1531" width="10.85546875" style="2" customWidth="1"/>
    <col min="1532" max="1532" width="11.5703125" style="2" customWidth="1"/>
    <col min="1533" max="1533" width="11.140625" style="2" bestFit="1" customWidth="1"/>
    <col min="1534" max="1534" width="11" style="2" customWidth="1"/>
    <col min="1535" max="1535" width="10.42578125" style="2" customWidth="1"/>
    <col min="1536" max="1536" width="11.28515625" style="2" customWidth="1"/>
    <col min="1537" max="1538" width="9.140625" style="2" bestFit="1" customWidth="1"/>
    <col min="1539" max="1540" width="11.140625" style="2" bestFit="1" customWidth="1"/>
    <col min="1541" max="1541" width="11.5703125" style="2" bestFit="1" customWidth="1"/>
    <col min="1542" max="1542" width="9.140625" style="2" bestFit="1" customWidth="1"/>
    <col min="1543" max="1543" width="10.28515625" style="2" customWidth="1"/>
    <col min="1544" max="1782" width="9.140625" style="2" customWidth="1"/>
    <col min="1783" max="1783" width="4.28515625" style="2" bestFit="1" customWidth="1"/>
    <col min="1784" max="1784" width="6.85546875" style="2" bestFit="1" customWidth="1"/>
    <col min="1785" max="1785" width="11" style="2" customWidth="1"/>
    <col min="1786" max="1786" width="11.140625" style="2" bestFit="1" customWidth="1"/>
    <col min="1787" max="1787" width="10.85546875" style="2" customWidth="1"/>
    <col min="1788" max="1788" width="11.5703125" style="2" customWidth="1"/>
    <col min="1789" max="1789" width="11.140625" style="2" bestFit="1" customWidth="1"/>
    <col min="1790" max="1790" width="11" style="2" customWidth="1"/>
    <col min="1791" max="1791" width="10.42578125" style="2" customWidth="1"/>
    <col min="1792" max="1792" width="11.28515625" style="2" customWidth="1"/>
    <col min="1793" max="1794" width="9.140625" style="2" bestFit="1" customWidth="1"/>
    <col min="1795" max="1796" width="11.140625" style="2" bestFit="1" customWidth="1"/>
    <col min="1797" max="1797" width="11.5703125" style="2" bestFit="1" customWidth="1"/>
    <col min="1798" max="1798" width="9.140625" style="2" bestFit="1" customWidth="1"/>
    <col min="1799" max="1799" width="10.28515625" style="2" customWidth="1"/>
    <col min="1800" max="2038" width="9.140625" style="2" customWidth="1"/>
    <col min="2039" max="2039" width="4.28515625" style="2" bestFit="1" customWidth="1"/>
    <col min="2040" max="2040" width="6.85546875" style="2" bestFit="1" customWidth="1"/>
    <col min="2041" max="2041" width="11" style="2" customWidth="1"/>
    <col min="2042" max="2042" width="11.140625" style="2" bestFit="1" customWidth="1"/>
    <col min="2043" max="2043" width="10.85546875" style="2" customWidth="1"/>
    <col min="2044" max="2044" width="11.5703125" style="2" customWidth="1"/>
    <col min="2045" max="2045" width="11.140625" style="2" bestFit="1" customWidth="1"/>
    <col min="2046" max="2046" width="11" style="2" customWidth="1"/>
    <col min="2047" max="2047" width="10.42578125" style="2" customWidth="1"/>
    <col min="2048" max="2048" width="11.28515625" style="2" customWidth="1"/>
    <col min="2049" max="2050" width="9.140625" style="2" bestFit="1" customWidth="1"/>
    <col min="2051" max="2052" width="11.140625" style="2" bestFit="1" customWidth="1"/>
    <col min="2053" max="2053" width="11.5703125" style="2" bestFit="1" customWidth="1"/>
    <col min="2054" max="2054" width="9.140625" style="2" bestFit="1" customWidth="1"/>
    <col min="2055" max="2055" width="10.28515625" style="2" customWidth="1"/>
    <col min="2056" max="2294" width="9.140625" style="2" customWidth="1"/>
    <col min="2295" max="2295" width="4.28515625" style="2" bestFit="1" customWidth="1"/>
    <col min="2296" max="2296" width="6.85546875" style="2" bestFit="1" customWidth="1"/>
    <col min="2297" max="2297" width="11" style="2" customWidth="1"/>
    <col min="2298" max="2298" width="11.140625" style="2" bestFit="1" customWidth="1"/>
    <col min="2299" max="2299" width="10.85546875" style="2" customWidth="1"/>
    <col min="2300" max="2300" width="11.5703125" style="2" customWidth="1"/>
    <col min="2301" max="2301" width="11.140625" style="2" bestFit="1" customWidth="1"/>
    <col min="2302" max="2302" width="11" style="2" customWidth="1"/>
    <col min="2303" max="2303" width="10.42578125" style="2" customWidth="1"/>
    <col min="2304" max="2304" width="11.28515625" style="2" customWidth="1"/>
    <col min="2305" max="2306" width="9.140625" style="2" bestFit="1" customWidth="1"/>
    <col min="2307" max="2308" width="11.140625" style="2" bestFit="1" customWidth="1"/>
    <col min="2309" max="2309" width="11.5703125" style="2" bestFit="1" customWidth="1"/>
    <col min="2310" max="2310" width="9.140625" style="2" bestFit="1" customWidth="1"/>
    <col min="2311" max="2311" width="10.28515625" style="2" customWidth="1"/>
    <col min="2312" max="2550" width="9.140625" style="2" customWidth="1"/>
    <col min="2551" max="2551" width="4.28515625" style="2" bestFit="1" customWidth="1"/>
    <col min="2552" max="2552" width="6.85546875" style="2" bestFit="1" customWidth="1"/>
    <col min="2553" max="2553" width="11" style="2" customWidth="1"/>
    <col min="2554" max="2554" width="11.140625" style="2" bestFit="1" customWidth="1"/>
    <col min="2555" max="2555" width="10.85546875" style="2" customWidth="1"/>
    <col min="2556" max="2556" width="11.5703125" style="2" customWidth="1"/>
    <col min="2557" max="2557" width="11.140625" style="2" bestFit="1" customWidth="1"/>
    <col min="2558" max="2558" width="11" style="2" customWidth="1"/>
    <col min="2559" max="2559" width="10.42578125" style="2" customWidth="1"/>
    <col min="2560" max="2560" width="11.28515625" style="2" customWidth="1"/>
    <col min="2561" max="2562" width="9.140625" style="2" bestFit="1" customWidth="1"/>
    <col min="2563" max="2564" width="11.140625" style="2" bestFit="1" customWidth="1"/>
    <col min="2565" max="2565" width="11.5703125" style="2" bestFit="1" customWidth="1"/>
    <col min="2566" max="2566" width="9.140625" style="2" bestFit="1" customWidth="1"/>
    <col min="2567" max="2567" width="10.28515625" style="2" customWidth="1"/>
    <col min="2568" max="2806" width="9.140625" style="2" customWidth="1"/>
    <col min="2807" max="2807" width="4.28515625" style="2" bestFit="1" customWidth="1"/>
    <col min="2808" max="2808" width="6.85546875" style="2" bestFit="1" customWidth="1"/>
    <col min="2809" max="2809" width="11" style="2" customWidth="1"/>
    <col min="2810" max="2810" width="11.140625" style="2" bestFit="1" customWidth="1"/>
    <col min="2811" max="2811" width="10.85546875" style="2" customWidth="1"/>
    <col min="2812" max="2812" width="11.5703125" style="2" customWidth="1"/>
    <col min="2813" max="2813" width="11.140625" style="2" bestFit="1" customWidth="1"/>
    <col min="2814" max="2814" width="11" style="2" customWidth="1"/>
    <col min="2815" max="2815" width="10.42578125" style="2" customWidth="1"/>
    <col min="2816" max="2816" width="11.28515625" style="2" customWidth="1"/>
    <col min="2817" max="2818" width="9.140625" style="2" bestFit="1" customWidth="1"/>
    <col min="2819" max="2820" width="11.140625" style="2" bestFit="1" customWidth="1"/>
    <col min="2821" max="2821" width="11.5703125" style="2" bestFit="1" customWidth="1"/>
    <col min="2822" max="2822" width="9.140625" style="2" bestFit="1" customWidth="1"/>
    <col min="2823" max="2823" width="10.28515625" style="2" customWidth="1"/>
    <col min="2824" max="3062" width="9.140625" style="2" customWidth="1"/>
    <col min="3063" max="3063" width="4.28515625" style="2" bestFit="1" customWidth="1"/>
    <col min="3064" max="3064" width="6.85546875" style="2" bestFit="1" customWidth="1"/>
    <col min="3065" max="3065" width="11" style="2" customWidth="1"/>
    <col min="3066" max="3066" width="11.140625" style="2" bestFit="1" customWidth="1"/>
    <col min="3067" max="3067" width="10.85546875" style="2" customWidth="1"/>
    <col min="3068" max="3068" width="11.5703125" style="2" customWidth="1"/>
    <col min="3069" max="3069" width="11.140625" style="2" bestFit="1" customWidth="1"/>
    <col min="3070" max="3070" width="11" style="2" customWidth="1"/>
    <col min="3071" max="3071" width="10.42578125" style="2" customWidth="1"/>
    <col min="3072" max="3072" width="11.28515625" style="2" customWidth="1"/>
    <col min="3073" max="3074" width="9.140625" style="2" bestFit="1" customWidth="1"/>
    <col min="3075" max="3076" width="11.140625" style="2" bestFit="1" customWidth="1"/>
    <col min="3077" max="3077" width="11.5703125" style="2" bestFit="1" customWidth="1"/>
    <col min="3078" max="3078" width="9.140625" style="2" bestFit="1" customWidth="1"/>
    <col min="3079" max="3079" width="10.28515625" style="2" customWidth="1"/>
    <col min="3080" max="3318" width="9.140625" style="2" customWidth="1"/>
    <col min="3319" max="3319" width="4.28515625" style="2" bestFit="1" customWidth="1"/>
    <col min="3320" max="3320" width="6.85546875" style="2" bestFit="1" customWidth="1"/>
    <col min="3321" max="3321" width="11" style="2" customWidth="1"/>
    <col min="3322" max="3322" width="11.140625" style="2" bestFit="1" customWidth="1"/>
    <col min="3323" max="3323" width="10.85546875" style="2" customWidth="1"/>
    <col min="3324" max="3324" width="11.5703125" style="2" customWidth="1"/>
    <col min="3325" max="3325" width="11.140625" style="2" bestFit="1" customWidth="1"/>
    <col min="3326" max="3326" width="11" style="2" customWidth="1"/>
    <col min="3327" max="3327" width="10.42578125" style="2" customWidth="1"/>
    <col min="3328" max="3328" width="11.28515625" style="2" customWidth="1"/>
    <col min="3329" max="3330" width="9.140625" style="2" bestFit="1" customWidth="1"/>
    <col min="3331" max="3332" width="11.140625" style="2" bestFit="1" customWidth="1"/>
    <col min="3333" max="3333" width="11.5703125" style="2" bestFit="1" customWidth="1"/>
    <col min="3334" max="3334" width="9.140625" style="2" bestFit="1" customWidth="1"/>
    <col min="3335" max="3335" width="10.28515625" style="2" customWidth="1"/>
    <col min="3336" max="3574" width="9.140625" style="2" customWidth="1"/>
    <col min="3575" max="3575" width="4.28515625" style="2" bestFit="1" customWidth="1"/>
    <col min="3576" max="3576" width="6.85546875" style="2" bestFit="1" customWidth="1"/>
    <col min="3577" max="3577" width="11" style="2" customWidth="1"/>
    <col min="3578" max="3578" width="11.140625" style="2" bestFit="1" customWidth="1"/>
    <col min="3579" max="3579" width="10.85546875" style="2" customWidth="1"/>
    <col min="3580" max="3580" width="11.5703125" style="2" customWidth="1"/>
    <col min="3581" max="3581" width="11.140625" style="2" bestFit="1" customWidth="1"/>
    <col min="3582" max="3582" width="11" style="2" customWidth="1"/>
    <col min="3583" max="3583" width="10.42578125" style="2" customWidth="1"/>
    <col min="3584" max="3584" width="11.28515625" style="2" customWidth="1"/>
    <col min="3585" max="3586" width="9.140625" style="2" bestFit="1" customWidth="1"/>
    <col min="3587" max="3588" width="11.140625" style="2" bestFit="1" customWidth="1"/>
    <col min="3589" max="3589" width="11.5703125" style="2" bestFit="1" customWidth="1"/>
    <col min="3590" max="3590" width="9.140625" style="2" bestFit="1" customWidth="1"/>
    <col min="3591" max="3591" width="10.28515625" style="2" customWidth="1"/>
    <col min="3592" max="3830" width="9.140625" style="2" customWidth="1"/>
    <col min="3831" max="3831" width="4.28515625" style="2" bestFit="1" customWidth="1"/>
    <col min="3832" max="3832" width="6.85546875" style="2" bestFit="1" customWidth="1"/>
    <col min="3833" max="3833" width="11" style="2" customWidth="1"/>
    <col min="3834" max="3834" width="11.140625" style="2" bestFit="1" customWidth="1"/>
    <col min="3835" max="3835" width="10.85546875" style="2" customWidth="1"/>
    <col min="3836" max="3836" width="11.5703125" style="2" customWidth="1"/>
    <col min="3837" max="3837" width="11.140625" style="2" bestFit="1" customWidth="1"/>
    <col min="3838" max="3838" width="11" style="2" customWidth="1"/>
    <col min="3839" max="3839" width="10.42578125" style="2" customWidth="1"/>
    <col min="3840" max="3840" width="11.28515625" style="2" customWidth="1"/>
    <col min="3841" max="3842" width="9.140625" style="2" bestFit="1" customWidth="1"/>
    <col min="3843" max="3844" width="11.140625" style="2" bestFit="1" customWidth="1"/>
    <col min="3845" max="3845" width="11.5703125" style="2" bestFit="1" customWidth="1"/>
    <col min="3846" max="3846" width="9.140625" style="2" bestFit="1" customWidth="1"/>
    <col min="3847" max="3847" width="10.28515625" style="2" customWidth="1"/>
    <col min="3848" max="4086" width="9.140625" style="2" customWidth="1"/>
    <col min="4087" max="4087" width="4.28515625" style="2" bestFit="1" customWidth="1"/>
    <col min="4088" max="4088" width="6.85546875" style="2" bestFit="1" customWidth="1"/>
    <col min="4089" max="4089" width="11" style="2" customWidth="1"/>
    <col min="4090" max="4090" width="11.140625" style="2" bestFit="1" customWidth="1"/>
    <col min="4091" max="4091" width="10.85546875" style="2" customWidth="1"/>
    <col min="4092" max="4092" width="11.5703125" style="2" customWidth="1"/>
    <col min="4093" max="4093" width="11.140625" style="2" bestFit="1" customWidth="1"/>
    <col min="4094" max="4094" width="11" style="2" customWidth="1"/>
    <col min="4095" max="4095" width="10.42578125" style="2" customWidth="1"/>
    <col min="4096" max="4096" width="11.28515625" style="2" customWidth="1"/>
    <col min="4097" max="4098" width="9.140625" style="2" bestFit="1" customWidth="1"/>
    <col min="4099" max="4100" width="11.140625" style="2" bestFit="1" customWidth="1"/>
    <col min="4101" max="4101" width="11.5703125" style="2" bestFit="1" customWidth="1"/>
    <col min="4102" max="4102" width="9.140625" style="2" bestFit="1" customWidth="1"/>
    <col min="4103" max="4103" width="10.28515625" style="2" customWidth="1"/>
    <col min="4104" max="4342" width="9.140625" style="2" customWidth="1"/>
    <col min="4343" max="4343" width="4.28515625" style="2" bestFit="1" customWidth="1"/>
    <col min="4344" max="4344" width="6.85546875" style="2" bestFit="1" customWidth="1"/>
    <col min="4345" max="4345" width="11" style="2" customWidth="1"/>
    <col min="4346" max="4346" width="11.140625" style="2" bestFit="1" customWidth="1"/>
    <col min="4347" max="4347" width="10.85546875" style="2" customWidth="1"/>
    <col min="4348" max="4348" width="11.5703125" style="2" customWidth="1"/>
    <col min="4349" max="4349" width="11.140625" style="2" bestFit="1" customWidth="1"/>
    <col min="4350" max="4350" width="11" style="2" customWidth="1"/>
    <col min="4351" max="4351" width="10.42578125" style="2" customWidth="1"/>
    <col min="4352" max="4352" width="11.28515625" style="2" customWidth="1"/>
    <col min="4353" max="4354" width="9.140625" style="2" bestFit="1" customWidth="1"/>
    <col min="4355" max="4356" width="11.140625" style="2" bestFit="1" customWidth="1"/>
    <col min="4357" max="4357" width="11.5703125" style="2" bestFit="1" customWidth="1"/>
    <col min="4358" max="4358" width="9.140625" style="2" bestFit="1" customWidth="1"/>
    <col min="4359" max="4359" width="10.28515625" style="2" customWidth="1"/>
    <col min="4360" max="4598" width="9.140625" style="2" customWidth="1"/>
    <col min="4599" max="4599" width="4.28515625" style="2" bestFit="1" customWidth="1"/>
    <col min="4600" max="4600" width="6.85546875" style="2" bestFit="1" customWidth="1"/>
    <col min="4601" max="4601" width="11" style="2" customWidth="1"/>
    <col min="4602" max="4602" width="11.140625" style="2" bestFit="1" customWidth="1"/>
    <col min="4603" max="4603" width="10.85546875" style="2" customWidth="1"/>
    <col min="4604" max="4604" width="11.5703125" style="2" customWidth="1"/>
    <col min="4605" max="4605" width="11.140625" style="2" bestFit="1" customWidth="1"/>
    <col min="4606" max="4606" width="11" style="2" customWidth="1"/>
    <col min="4607" max="4607" width="10.42578125" style="2" customWidth="1"/>
    <col min="4608" max="4608" width="11.28515625" style="2" customWidth="1"/>
    <col min="4609" max="4610" width="9.140625" style="2" bestFit="1" customWidth="1"/>
    <col min="4611" max="4612" width="11.140625" style="2" bestFit="1" customWidth="1"/>
    <col min="4613" max="4613" width="11.5703125" style="2" bestFit="1" customWidth="1"/>
    <col min="4614" max="4614" width="9.140625" style="2" bestFit="1" customWidth="1"/>
    <col min="4615" max="4615" width="10.28515625" style="2" customWidth="1"/>
    <col min="4616" max="4854" width="9.140625" style="2" customWidth="1"/>
    <col min="4855" max="4855" width="4.28515625" style="2" bestFit="1" customWidth="1"/>
    <col min="4856" max="4856" width="6.85546875" style="2" bestFit="1" customWidth="1"/>
    <col min="4857" max="4857" width="11" style="2" customWidth="1"/>
    <col min="4858" max="4858" width="11.140625" style="2" bestFit="1" customWidth="1"/>
    <col min="4859" max="4859" width="10.85546875" style="2" customWidth="1"/>
    <col min="4860" max="4860" width="11.5703125" style="2" customWidth="1"/>
    <col min="4861" max="4861" width="11.140625" style="2" bestFit="1" customWidth="1"/>
    <col min="4862" max="4862" width="11" style="2" customWidth="1"/>
    <col min="4863" max="4863" width="10.42578125" style="2" customWidth="1"/>
    <col min="4864" max="4864" width="11.28515625" style="2" customWidth="1"/>
    <col min="4865" max="4866" width="9.140625" style="2" bestFit="1" customWidth="1"/>
    <col min="4867" max="4868" width="11.140625" style="2" bestFit="1" customWidth="1"/>
    <col min="4869" max="4869" width="11.5703125" style="2" bestFit="1" customWidth="1"/>
    <col min="4870" max="4870" width="9.140625" style="2" bestFit="1" customWidth="1"/>
    <col min="4871" max="4871" width="10.28515625" style="2" customWidth="1"/>
    <col min="4872" max="5110" width="9.140625" style="2" customWidth="1"/>
    <col min="5111" max="5111" width="4.28515625" style="2" bestFit="1" customWidth="1"/>
    <col min="5112" max="5112" width="6.85546875" style="2" bestFit="1" customWidth="1"/>
    <col min="5113" max="5113" width="11" style="2" customWidth="1"/>
    <col min="5114" max="5114" width="11.140625" style="2" bestFit="1" customWidth="1"/>
    <col min="5115" max="5115" width="10.85546875" style="2" customWidth="1"/>
    <col min="5116" max="5116" width="11.5703125" style="2" customWidth="1"/>
    <col min="5117" max="5117" width="11.140625" style="2" bestFit="1" customWidth="1"/>
    <col min="5118" max="5118" width="11" style="2" customWidth="1"/>
    <col min="5119" max="5119" width="10.42578125" style="2" customWidth="1"/>
    <col min="5120" max="5120" width="11.28515625" style="2" customWidth="1"/>
    <col min="5121" max="5122" width="9.140625" style="2" bestFit="1" customWidth="1"/>
    <col min="5123" max="5124" width="11.140625" style="2" bestFit="1" customWidth="1"/>
    <col min="5125" max="5125" width="11.5703125" style="2" bestFit="1" customWidth="1"/>
    <col min="5126" max="5126" width="9.140625" style="2" bestFit="1" customWidth="1"/>
    <col min="5127" max="5127" width="10.28515625" style="2" customWidth="1"/>
    <col min="5128" max="5366" width="9.140625" style="2" customWidth="1"/>
    <col min="5367" max="5367" width="4.28515625" style="2" bestFit="1" customWidth="1"/>
    <col min="5368" max="5368" width="6.85546875" style="2" bestFit="1" customWidth="1"/>
    <col min="5369" max="5369" width="11" style="2" customWidth="1"/>
    <col min="5370" max="5370" width="11.140625" style="2" bestFit="1" customWidth="1"/>
    <col min="5371" max="5371" width="10.85546875" style="2" customWidth="1"/>
    <col min="5372" max="5372" width="11.5703125" style="2" customWidth="1"/>
    <col min="5373" max="5373" width="11.140625" style="2" bestFit="1" customWidth="1"/>
    <col min="5374" max="5374" width="11" style="2" customWidth="1"/>
    <col min="5375" max="5375" width="10.42578125" style="2" customWidth="1"/>
    <col min="5376" max="5376" width="11.28515625" style="2" customWidth="1"/>
    <col min="5377" max="5378" width="9.140625" style="2" bestFit="1" customWidth="1"/>
    <col min="5379" max="5380" width="11.140625" style="2" bestFit="1" customWidth="1"/>
    <col min="5381" max="5381" width="11.5703125" style="2" bestFit="1" customWidth="1"/>
    <col min="5382" max="5382" width="9.140625" style="2" bestFit="1" customWidth="1"/>
    <col min="5383" max="5383" width="10.28515625" style="2" customWidth="1"/>
    <col min="5384" max="5622" width="9.140625" style="2" customWidth="1"/>
    <col min="5623" max="5623" width="4.28515625" style="2" bestFit="1" customWidth="1"/>
    <col min="5624" max="5624" width="6.85546875" style="2" bestFit="1" customWidth="1"/>
    <col min="5625" max="5625" width="11" style="2" customWidth="1"/>
    <col min="5626" max="5626" width="11.140625" style="2" bestFit="1" customWidth="1"/>
    <col min="5627" max="5627" width="10.85546875" style="2" customWidth="1"/>
    <col min="5628" max="5628" width="11.5703125" style="2" customWidth="1"/>
    <col min="5629" max="5629" width="11.140625" style="2" bestFit="1" customWidth="1"/>
    <col min="5630" max="5630" width="11" style="2" customWidth="1"/>
    <col min="5631" max="5631" width="10.42578125" style="2" customWidth="1"/>
    <col min="5632" max="5632" width="11.28515625" style="2" customWidth="1"/>
    <col min="5633" max="5634" width="9.140625" style="2" bestFit="1" customWidth="1"/>
    <col min="5635" max="5636" width="11.140625" style="2" bestFit="1" customWidth="1"/>
    <col min="5637" max="5637" width="11.5703125" style="2" bestFit="1" customWidth="1"/>
    <col min="5638" max="5638" width="9.140625" style="2" bestFit="1" customWidth="1"/>
    <col min="5639" max="5639" width="10.28515625" style="2" customWidth="1"/>
    <col min="5640" max="5878" width="9.140625" style="2" customWidth="1"/>
    <col min="5879" max="5879" width="4.28515625" style="2" bestFit="1" customWidth="1"/>
    <col min="5880" max="5880" width="6.85546875" style="2" bestFit="1" customWidth="1"/>
    <col min="5881" max="5881" width="11" style="2" customWidth="1"/>
    <col min="5882" max="5882" width="11.140625" style="2" bestFit="1" customWidth="1"/>
    <col min="5883" max="5883" width="10.85546875" style="2" customWidth="1"/>
    <col min="5884" max="5884" width="11.5703125" style="2" customWidth="1"/>
    <col min="5885" max="5885" width="11.140625" style="2" bestFit="1" customWidth="1"/>
    <col min="5886" max="5886" width="11" style="2" customWidth="1"/>
    <col min="5887" max="5887" width="10.42578125" style="2" customWidth="1"/>
    <col min="5888" max="5888" width="11.28515625" style="2" customWidth="1"/>
    <col min="5889" max="5890" width="9.140625" style="2" bestFit="1" customWidth="1"/>
    <col min="5891" max="5892" width="11.140625" style="2" bestFit="1" customWidth="1"/>
    <col min="5893" max="5893" width="11.5703125" style="2" bestFit="1" customWidth="1"/>
    <col min="5894" max="5894" width="9.140625" style="2" bestFit="1" customWidth="1"/>
    <col min="5895" max="5895" width="10.28515625" style="2" customWidth="1"/>
    <col min="5896" max="6134" width="9.140625" style="2" customWidth="1"/>
    <col min="6135" max="6135" width="4.28515625" style="2" bestFit="1" customWidth="1"/>
    <col min="6136" max="6136" width="6.85546875" style="2" bestFit="1" customWidth="1"/>
    <col min="6137" max="6137" width="11" style="2" customWidth="1"/>
    <col min="6138" max="6138" width="11.140625" style="2" bestFit="1" customWidth="1"/>
    <col min="6139" max="6139" width="10.85546875" style="2" customWidth="1"/>
    <col min="6140" max="6140" width="11.5703125" style="2" customWidth="1"/>
    <col min="6141" max="6141" width="11.140625" style="2" bestFit="1" customWidth="1"/>
    <col min="6142" max="6142" width="11" style="2" customWidth="1"/>
    <col min="6143" max="6143" width="10.42578125" style="2" customWidth="1"/>
    <col min="6144" max="6144" width="11.28515625" style="2" customWidth="1"/>
    <col min="6145" max="6146" width="9.140625" style="2" bestFit="1" customWidth="1"/>
    <col min="6147" max="6148" width="11.140625" style="2" bestFit="1" customWidth="1"/>
    <col min="6149" max="6149" width="11.5703125" style="2" bestFit="1" customWidth="1"/>
    <col min="6150" max="6150" width="9.140625" style="2" bestFit="1" customWidth="1"/>
    <col min="6151" max="6151" width="10.28515625" style="2" customWidth="1"/>
    <col min="6152" max="6390" width="9.140625" style="2" customWidth="1"/>
    <col min="6391" max="6391" width="4.28515625" style="2" bestFit="1" customWidth="1"/>
    <col min="6392" max="6392" width="6.85546875" style="2" bestFit="1" customWidth="1"/>
    <col min="6393" max="6393" width="11" style="2" customWidth="1"/>
    <col min="6394" max="6394" width="11.140625" style="2" bestFit="1" customWidth="1"/>
    <col min="6395" max="6395" width="10.85546875" style="2" customWidth="1"/>
    <col min="6396" max="6396" width="11.5703125" style="2" customWidth="1"/>
    <col min="6397" max="6397" width="11.140625" style="2" bestFit="1" customWidth="1"/>
    <col min="6398" max="6398" width="11" style="2" customWidth="1"/>
    <col min="6399" max="6399" width="10.42578125" style="2" customWidth="1"/>
    <col min="6400" max="6400" width="11.28515625" style="2" customWidth="1"/>
    <col min="6401" max="6402" width="9.140625" style="2" bestFit="1" customWidth="1"/>
    <col min="6403" max="6404" width="11.140625" style="2" bestFit="1" customWidth="1"/>
    <col min="6405" max="6405" width="11.5703125" style="2" bestFit="1" customWidth="1"/>
    <col min="6406" max="6406" width="9.140625" style="2" bestFit="1" customWidth="1"/>
    <col min="6407" max="6407" width="10.28515625" style="2" customWidth="1"/>
    <col min="6408" max="6646" width="9.140625" style="2" customWidth="1"/>
    <col min="6647" max="6647" width="4.28515625" style="2" bestFit="1" customWidth="1"/>
    <col min="6648" max="6648" width="6.85546875" style="2" bestFit="1" customWidth="1"/>
    <col min="6649" max="6649" width="11" style="2" customWidth="1"/>
    <col min="6650" max="6650" width="11.140625" style="2" bestFit="1" customWidth="1"/>
    <col min="6651" max="6651" width="10.85546875" style="2" customWidth="1"/>
    <col min="6652" max="6652" width="11.5703125" style="2" customWidth="1"/>
    <col min="6653" max="6653" width="11.140625" style="2" bestFit="1" customWidth="1"/>
    <col min="6654" max="6654" width="11" style="2" customWidth="1"/>
    <col min="6655" max="6655" width="10.42578125" style="2" customWidth="1"/>
    <col min="6656" max="6656" width="11.28515625" style="2" customWidth="1"/>
    <col min="6657" max="6658" width="9.140625" style="2" bestFit="1" customWidth="1"/>
    <col min="6659" max="6660" width="11.140625" style="2" bestFit="1" customWidth="1"/>
    <col min="6661" max="6661" width="11.5703125" style="2" bestFit="1" customWidth="1"/>
    <col min="6662" max="6662" width="9.140625" style="2" bestFit="1" customWidth="1"/>
    <col min="6663" max="6663" width="10.28515625" style="2" customWidth="1"/>
    <col min="6664" max="6902" width="9.140625" style="2" customWidth="1"/>
    <col min="6903" max="6903" width="4.28515625" style="2" bestFit="1" customWidth="1"/>
    <col min="6904" max="6904" width="6.85546875" style="2" bestFit="1" customWidth="1"/>
    <col min="6905" max="6905" width="11" style="2" customWidth="1"/>
    <col min="6906" max="6906" width="11.140625" style="2" bestFit="1" customWidth="1"/>
    <col min="6907" max="6907" width="10.85546875" style="2" customWidth="1"/>
    <col min="6908" max="6908" width="11.5703125" style="2" customWidth="1"/>
    <col min="6909" max="6909" width="11.140625" style="2" bestFit="1" customWidth="1"/>
    <col min="6910" max="6910" width="11" style="2" customWidth="1"/>
    <col min="6911" max="6911" width="10.42578125" style="2" customWidth="1"/>
    <col min="6912" max="6912" width="11.28515625" style="2" customWidth="1"/>
    <col min="6913" max="6914" width="9.140625" style="2" bestFit="1" customWidth="1"/>
    <col min="6915" max="6916" width="11.140625" style="2" bestFit="1" customWidth="1"/>
    <col min="6917" max="6917" width="11.5703125" style="2" bestFit="1" customWidth="1"/>
    <col min="6918" max="6918" width="9.140625" style="2" bestFit="1" customWidth="1"/>
    <col min="6919" max="6919" width="10.28515625" style="2" customWidth="1"/>
    <col min="6920" max="7158" width="9.140625" style="2" customWidth="1"/>
    <col min="7159" max="7159" width="4.28515625" style="2" bestFit="1" customWidth="1"/>
    <col min="7160" max="7160" width="6.85546875" style="2" bestFit="1" customWidth="1"/>
    <col min="7161" max="7161" width="11" style="2" customWidth="1"/>
    <col min="7162" max="7162" width="11.140625" style="2" bestFit="1" customWidth="1"/>
    <col min="7163" max="7163" width="10.85546875" style="2" customWidth="1"/>
    <col min="7164" max="7164" width="11.5703125" style="2" customWidth="1"/>
    <col min="7165" max="7165" width="11.140625" style="2" bestFit="1" customWidth="1"/>
    <col min="7166" max="7166" width="11" style="2" customWidth="1"/>
    <col min="7167" max="7167" width="10.42578125" style="2" customWidth="1"/>
    <col min="7168" max="7168" width="11.28515625" style="2" customWidth="1"/>
    <col min="7169" max="7170" width="9.140625" style="2" bestFit="1" customWidth="1"/>
    <col min="7171" max="7172" width="11.140625" style="2" bestFit="1" customWidth="1"/>
    <col min="7173" max="7173" width="11.5703125" style="2" bestFit="1" customWidth="1"/>
    <col min="7174" max="7174" width="9.140625" style="2" bestFit="1" customWidth="1"/>
    <col min="7175" max="7175" width="10.28515625" style="2" customWidth="1"/>
    <col min="7176" max="7414" width="9.140625" style="2" customWidth="1"/>
    <col min="7415" max="7415" width="4.28515625" style="2" bestFit="1" customWidth="1"/>
    <col min="7416" max="7416" width="6.85546875" style="2" bestFit="1" customWidth="1"/>
    <col min="7417" max="7417" width="11" style="2" customWidth="1"/>
    <col min="7418" max="7418" width="11.140625" style="2" bestFit="1" customWidth="1"/>
    <col min="7419" max="7419" width="10.85546875" style="2" customWidth="1"/>
    <col min="7420" max="7420" width="11.5703125" style="2" customWidth="1"/>
    <col min="7421" max="7421" width="11.140625" style="2" bestFit="1" customWidth="1"/>
    <col min="7422" max="7422" width="11" style="2" customWidth="1"/>
    <col min="7423" max="7423" width="10.42578125" style="2" customWidth="1"/>
    <col min="7424" max="7424" width="11.28515625" style="2" customWidth="1"/>
    <col min="7425" max="7426" width="9.140625" style="2" bestFit="1" customWidth="1"/>
    <col min="7427" max="7428" width="11.140625" style="2" bestFit="1" customWidth="1"/>
    <col min="7429" max="7429" width="11.5703125" style="2" bestFit="1" customWidth="1"/>
    <col min="7430" max="7430" width="9.140625" style="2" bestFit="1" customWidth="1"/>
    <col min="7431" max="7431" width="10.28515625" style="2" customWidth="1"/>
    <col min="7432" max="7670" width="9.140625" style="2" customWidth="1"/>
    <col min="7671" max="7671" width="4.28515625" style="2" bestFit="1" customWidth="1"/>
    <col min="7672" max="7672" width="6.85546875" style="2" bestFit="1" customWidth="1"/>
    <col min="7673" max="7673" width="11" style="2" customWidth="1"/>
    <col min="7674" max="7674" width="11.140625" style="2" bestFit="1" customWidth="1"/>
    <col min="7675" max="7675" width="10.85546875" style="2" customWidth="1"/>
    <col min="7676" max="7676" width="11.5703125" style="2" customWidth="1"/>
    <col min="7677" max="7677" width="11.140625" style="2" bestFit="1" customWidth="1"/>
    <col min="7678" max="7678" width="11" style="2" customWidth="1"/>
    <col min="7679" max="7679" width="10.42578125" style="2" customWidth="1"/>
    <col min="7680" max="7680" width="11.28515625" style="2" customWidth="1"/>
    <col min="7681" max="7682" width="9.140625" style="2" bestFit="1" customWidth="1"/>
    <col min="7683" max="7684" width="11.140625" style="2" bestFit="1" customWidth="1"/>
    <col min="7685" max="7685" width="11.5703125" style="2" bestFit="1" customWidth="1"/>
    <col min="7686" max="7686" width="9.140625" style="2" bestFit="1" customWidth="1"/>
    <col min="7687" max="7687" width="10.28515625" style="2" customWidth="1"/>
    <col min="7688" max="7926" width="9.140625" style="2" customWidth="1"/>
    <col min="7927" max="7927" width="4.28515625" style="2" bestFit="1" customWidth="1"/>
    <col min="7928" max="7928" width="6.85546875" style="2" bestFit="1" customWidth="1"/>
    <col min="7929" max="7929" width="11" style="2" customWidth="1"/>
    <col min="7930" max="7930" width="11.140625" style="2" bestFit="1" customWidth="1"/>
    <col min="7931" max="7931" width="10.85546875" style="2" customWidth="1"/>
    <col min="7932" max="7932" width="11.5703125" style="2" customWidth="1"/>
    <col min="7933" max="7933" width="11.140625" style="2" bestFit="1" customWidth="1"/>
    <col min="7934" max="7934" width="11" style="2" customWidth="1"/>
    <col min="7935" max="7935" width="10.42578125" style="2" customWidth="1"/>
    <col min="7936" max="7936" width="11.28515625" style="2" customWidth="1"/>
    <col min="7937" max="7938" width="9.140625" style="2" bestFit="1" customWidth="1"/>
    <col min="7939" max="7940" width="11.140625" style="2" bestFit="1" customWidth="1"/>
    <col min="7941" max="7941" width="11.5703125" style="2" bestFit="1" customWidth="1"/>
    <col min="7942" max="7942" width="9.140625" style="2" bestFit="1" customWidth="1"/>
    <col min="7943" max="7943" width="10.28515625" style="2" customWidth="1"/>
    <col min="7944" max="8182" width="9.140625" style="2" customWidth="1"/>
    <col min="8183" max="8183" width="4.28515625" style="2" bestFit="1" customWidth="1"/>
    <col min="8184" max="8184" width="6.85546875" style="2" bestFit="1" customWidth="1"/>
    <col min="8185" max="8185" width="11" style="2" customWidth="1"/>
    <col min="8186" max="8186" width="11.140625" style="2" bestFit="1" customWidth="1"/>
    <col min="8187" max="8187" width="10.85546875" style="2" customWidth="1"/>
    <col min="8188" max="8188" width="11.5703125" style="2" customWidth="1"/>
    <col min="8189" max="8189" width="11.140625" style="2" bestFit="1" customWidth="1"/>
    <col min="8190" max="8190" width="11" style="2" customWidth="1"/>
    <col min="8191" max="8191" width="10.42578125" style="2" customWidth="1"/>
    <col min="8192" max="8192" width="11.28515625" style="2" customWidth="1"/>
    <col min="8193" max="8194" width="9.140625" style="2" bestFit="1" customWidth="1"/>
    <col min="8195" max="8196" width="11.140625" style="2" bestFit="1" customWidth="1"/>
    <col min="8197" max="8197" width="11.5703125" style="2" bestFit="1" customWidth="1"/>
    <col min="8198" max="8198" width="9.140625" style="2" bestFit="1" customWidth="1"/>
    <col min="8199" max="8199" width="10.28515625" style="2" customWidth="1"/>
    <col min="8200" max="8438" width="9.140625" style="2" customWidth="1"/>
    <col min="8439" max="8439" width="4.28515625" style="2" bestFit="1" customWidth="1"/>
    <col min="8440" max="8440" width="6.85546875" style="2" bestFit="1" customWidth="1"/>
    <col min="8441" max="8441" width="11" style="2" customWidth="1"/>
    <col min="8442" max="8442" width="11.140625" style="2" bestFit="1" customWidth="1"/>
    <col min="8443" max="8443" width="10.85546875" style="2" customWidth="1"/>
    <col min="8444" max="8444" width="11.5703125" style="2" customWidth="1"/>
    <col min="8445" max="8445" width="11.140625" style="2" bestFit="1" customWidth="1"/>
    <col min="8446" max="8446" width="11" style="2" customWidth="1"/>
    <col min="8447" max="8447" width="10.42578125" style="2" customWidth="1"/>
    <col min="8448" max="8448" width="11.28515625" style="2" customWidth="1"/>
    <col min="8449" max="8450" width="9.140625" style="2" bestFit="1" customWidth="1"/>
    <col min="8451" max="8452" width="11.140625" style="2" bestFit="1" customWidth="1"/>
    <col min="8453" max="8453" width="11.5703125" style="2" bestFit="1" customWidth="1"/>
    <col min="8454" max="8454" width="9.140625" style="2" bestFit="1" customWidth="1"/>
    <col min="8455" max="8455" width="10.28515625" style="2" customWidth="1"/>
    <col min="8456" max="8694" width="9.140625" style="2" customWidth="1"/>
    <col min="8695" max="8695" width="4.28515625" style="2" bestFit="1" customWidth="1"/>
    <col min="8696" max="8696" width="6.85546875" style="2" bestFit="1" customWidth="1"/>
    <col min="8697" max="8697" width="11" style="2" customWidth="1"/>
    <col min="8698" max="8698" width="11.140625" style="2" bestFit="1" customWidth="1"/>
    <col min="8699" max="8699" width="10.85546875" style="2" customWidth="1"/>
    <col min="8700" max="8700" width="11.5703125" style="2" customWidth="1"/>
    <col min="8701" max="8701" width="11.140625" style="2" bestFit="1" customWidth="1"/>
    <col min="8702" max="8702" width="11" style="2" customWidth="1"/>
    <col min="8703" max="8703" width="10.42578125" style="2" customWidth="1"/>
    <col min="8704" max="8704" width="11.28515625" style="2" customWidth="1"/>
    <col min="8705" max="8706" width="9.140625" style="2" bestFit="1" customWidth="1"/>
    <col min="8707" max="8708" width="11.140625" style="2" bestFit="1" customWidth="1"/>
    <col min="8709" max="8709" width="11.5703125" style="2" bestFit="1" customWidth="1"/>
    <col min="8710" max="8710" width="9.140625" style="2" bestFit="1" customWidth="1"/>
    <col min="8711" max="8711" width="10.28515625" style="2" customWidth="1"/>
    <col min="8712" max="8950" width="9.140625" style="2" customWidth="1"/>
    <col min="8951" max="8951" width="4.28515625" style="2" bestFit="1" customWidth="1"/>
    <col min="8952" max="8952" width="6.85546875" style="2" bestFit="1" customWidth="1"/>
    <col min="8953" max="8953" width="11" style="2" customWidth="1"/>
    <col min="8954" max="8954" width="11.140625" style="2" bestFit="1" customWidth="1"/>
    <col min="8955" max="8955" width="10.85546875" style="2" customWidth="1"/>
    <col min="8956" max="8956" width="11.5703125" style="2" customWidth="1"/>
    <col min="8957" max="8957" width="11.140625" style="2" bestFit="1" customWidth="1"/>
    <col min="8958" max="8958" width="11" style="2" customWidth="1"/>
    <col min="8959" max="8959" width="10.42578125" style="2" customWidth="1"/>
    <col min="8960" max="8960" width="11.28515625" style="2" customWidth="1"/>
    <col min="8961" max="8962" width="9.140625" style="2" bestFit="1" customWidth="1"/>
    <col min="8963" max="8964" width="11.140625" style="2" bestFit="1" customWidth="1"/>
    <col min="8965" max="8965" width="11.5703125" style="2" bestFit="1" customWidth="1"/>
    <col min="8966" max="8966" width="9.140625" style="2" bestFit="1" customWidth="1"/>
    <col min="8967" max="8967" width="10.28515625" style="2" customWidth="1"/>
    <col min="8968" max="9206" width="9.140625" style="2" customWidth="1"/>
    <col min="9207" max="9207" width="4.28515625" style="2" bestFit="1" customWidth="1"/>
    <col min="9208" max="9208" width="6.85546875" style="2" bestFit="1" customWidth="1"/>
    <col min="9209" max="9209" width="11" style="2" customWidth="1"/>
    <col min="9210" max="9210" width="11.140625" style="2" bestFit="1" customWidth="1"/>
    <col min="9211" max="9211" width="10.85546875" style="2" customWidth="1"/>
    <col min="9212" max="9212" width="11.5703125" style="2" customWidth="1"/>
    <col min="9213" max="9213" width="11.140625" style="2" bestFit="1" customWidth="1"/>
    <col min="9214" max="9214" width="11" style="2" customWidth="1"/>
    <col min="9215" max="9215" width="10.42578125" style="2" customWidth="1"/>
    <col min="9216" max="9216" width="11.28515625" style="2" customWidth="1"/>
    <col min="9217" max="9218" width="9.140625" style="2" bestFit="1" customWidth="1"/>
    <col min="9219" max="9220" width="11.140625" style="2" bestFit="1" customWidth="1"/>
    <col min="9221" max="9221" width="11.5703125" style="2" bestFit="1" customWidth="1"/>
    <col min="9222" max="9222" width="9.140625" style="2" bestFit="1" customWidth="1"/>
    <col min="9223" max="9223" width="10.28515625" style="2" customWidth="1"/>
    <col min="9224" max="9462" width="9.140625" style="2" customWidth="1"/>
    <col min="9463" max="9463" width="4.28515625" style="2" bestFit="1" customWidth="1"/>
    <col min="9464" max="9464" width="6.85546875" style="2" bestFit="1" customWidth="1"/>
    <col min="9465" max="9465" width="11" style="2" customWidth="1"/>
    <col min="9466" max="9466" width="11.140625" style="2" bestFit="1" customWidth="1"/>
    <col min="9467" max="9467" width="10.85546875" style="2" customWidth="1"/>
    <col min="9468" max="9468" width="11.5703125" style="2" customWidth="1"/>
    <col min="9469" max="9469" width="11.140625" style="2" bestFit="1" customWidth="1"/>
    <col min="9470" max="9470" width="11" style="2" customWidth="1"/>
    <col min="9471" max="9471" width="10.42578125" style="2" customWidth="1"/>
    <col min="9472" max="9472" width="11.28515625" style="2" customWidth="1"/>
    <col min="9473" max="9474" width="9.140625" style="2" bestFit="1" customWidth="1"/>
    <col min="9475" max="9476" width="11.140625" style="2" bestFit="1" customWidth="1"/>
    <col min="9477" max="9477" width="11.5703125" style="2" bestFit="1" customWidth="1"/>
    <col min="9478" max="9478" width="9.140625" style="2" bestFit="1" customWidth="1"/>
    <col min="9479" max="9479" width="10.28515625" style="2" customWidth="1"/>
    <col min="9480" max="9718" width="9.140625" style="2" customWidth="1"/>
    <col min="9719" max="9719" width="4.28515625" style="2" bestFit="1" customWidth="1"/>
    <col min="9720" max="9720" width="6.85546875" style="2" bestFit="1" customWidth="1"/>
    <col min="9721" max="9721" width="11" style="2" customWidth="1"/>
    <col min="9722" max="9722" width="11.140625" style="2" bestFit="1" customWidth="1"/>
    <col min="9723" max="9723" width="10.85546875" style="2" customWidth="1"/>
    <col min="9724" max="9724" width="11.5703125" style="2" customWidth="1"/>
    <col min="9725" max="9725" width="11.140625" style="2" bestFit="1" customWidth="1"/>
    <col min="9726" max="9726" width="11" style="2" customWidth="1"/>
    <col min="9727" max="9727" width="10.42578125" style="2" customWidth="1"/>
    <col min="9728" max="9728" width="11.28515625" style="2" customWidth="1"/>
    <col min="9729" max="9730" width="9.140625" style="2" bestFit="1" customWidth="1"/>
    <col min="9731" max="9732" width="11.140625" style="2" bestFit="1" customWidth="1"/>
    <col min="9733" max="9733" width="11.5703125" style="2" bestFit="1" customWidth="1"/>
    <col min="9734" max="9734" width="9.140625" style="2" bestFit="1" customWidth="1"/>
    <col min="9735" max="9735" width="10.28515625" style="2" customWidth="1"/>
    <col min="9736" max="9974" width="9.140625" style="2" customWidth="1"/>
    <col min="9975" max="9975" width="4.28515625" style="2" bestFit="1" customWidth="1"/>
    <col min="9976" max="9976" width="6.85546875" style="2" bestFit="1" customWidth="1"/>
    <col min="9977" max="9977" width="11" style="2" customWidth="1"/>
    <col min="9978" max="9978" width="11.140625" style="2" bestFit="1" customWidth="1"/>
    <col min="9979" max="9979" width="10.85546875" style="2" customWidth="1"/>
    <col min="9980" max="9980" width="11.5703125" style="2" customWidth="1"/>
    <col min="9981" max="9981" width="11.140625" style="2" bestFit="1" customWidth="1"/>
    <col min="9982" max="9982" width="11" style="2" customWidth="1"/>
    <col min="9983" max="9983" width="10.42578125" style="2" customWidth="1"/>
    <col min="9984" max="9984" width="11.28515625" style="2" customWidth="1"/>
    <col min="9985" max="9986" width="9.140625" style="2" bestFit="1" customWidth="1"/>
    <col min="9987" max="9988" width="11.140625" style="2" bestFit="1" customWidth="1"/>
    <col min="9989" max="9989" width="11.5703125" style="2" bestFit="1" customWidth="1"/>
    <col min="9990" max="9990" width="9.140625" style="2" bestFit="1" customWidth="1"/>
    <col min="9991" max="9991" width="10.28515625" style="2" customWidth="1"/>
    <col min="9992" max="10230" width="9.140625" style="2" customWidth="1"/>
    <col min="10231" max="10231" width="4.28515625" style="2" bestFit="1" customWidth="1"/>
    <col min="10232" max="10232" width="6.85546875" style="2" bestFit="1" customWidth="1"/>
    <col min="10233" max="10233" width="11" style="2" customWidth="1"/>
    <col min="10234" max="10234" width="11.140625" style="2" bestFit="1" customWidth="1"/>
    <col min="10235" max="10235" width="10.85546875" style="2" customWidth="1"/>
    <col min="10236" max="10236" width="11.5703125" style="2" customWidth="1"/>
    <col min="10237" max="10237" width="11.140625" style="2" bestFit="1" customWidth="1"/>
    <col min="10238" max="10238" width="11" style="2" customWidth="1"/>
    <col min="10239" max="10239" width="10.42578125" style="2" customWidth="1"/>
    <col min="10240" max="10240" width="11.28515625" style="2" customWidth="1"/>
    <col min="10241" max="10242" width="9.140625" style="2" bestFit="1" customWidth="1"/>
    <col min="10243" max="10244" width="11.140625" style="2" bestFit="1" customWidth="1"/>
    <col min="10245" max="10245" width="11.5703125" style="2" bestFit="1" customWidth="1"/>
    <col min="10246" max="10246" width="9.140625" style="2" bestFit="1" customWidth="1"/>
    <col min="10247" max="10247" width="10.28515625" style="2" customWidth="1"/>
    <col min="10248" max="10486" width="9.140625" style="2" customWidth="1"/>
    <col min="10487" max="10487" width="4.28515625" style="2" bestFit="1" customWidth="1"/>
    <col min="10488" max="10488" width="6.85546875" style="2" bestFit="1" customWidth="1"/>
    <col min="10489" max="10489" width="11" style="2" customWidth="1"/>
    <col min="10490" max="10490" width="11.140625" style="2" bestFit="1" customWidth="1"/>
    <col min="10491" max="10491" width="10.85546875" style="2" customWidth="1"/>
    <col min="10492" max="10492" width="11.5703125" style="2" customWidth="1"/>
    <col min="10493" max="10493" width="11.140625" style="2" bestFit="1" customWidth="1"/>
    <col min="10494" max="10494" width="11" style="2" customWidth="1"/>
    <col min="10495" max="10495" width="10.42578125" style="2" customWidth="1"/>
    <col min="10496" max="10496" width="11.28515625" style="2" customWidth="1"/>
    <col min="10497" max="10498" width="9.140625" style="2" bestFit="1" customWidth="1"/>
    <col min="10499" max="10500" width="11.140625" style="2" bestFit="1" customWidth="1"/>
    <col min="10501" max="10501" width="11.5703125" style="2" bestFit="1" customWidth="1"/>
    <col min="10502" max="10502" width="9.140625" style="2" bestFit="1" customWidth="1"/>
    <col min="10503" max="10503" width="10.28515625" style="2" customWidth="1"/>
    <col min="10504" max="10742" width="9.140625" style="2" customWidth="1"/>
    <col min="10743" max="10743" width="4.28515625" style="2" bestFit="1" customWidth="1"/>
    <col min="10744" max="10744" width="6.85546875" style="2" bestFit="1" customWidth="1"/>
    <col min="10745" max="10745" width="11" style="2" customWidth="1"/>
    <col min="10746" max="10746" width="11.140625" style="2" bestFit="1" customWidth="1"/>
    <col min="10747" max="10747" width="10.85546875" style="2" customWidth="1"/>
    <col min="10748" max="10748" width="11.5703125" style="2" customWidth="1"/>
    <col min="10749" max="10749" width="11.140625" style="2" bestFit="1" customWidth="1"/>
    <col min="10750" max="10750" width="11" style="2" customWidth="1"/>
    <col min="10751" max="10751" width="10.42578125" style="2" customWidth="1"/>
    <col min="10752" max="10752" width="11.28515625" style="2" customWidth="1"/>
    <col min="10753" max="10754" width="9.140625" style="2" bestFit="1" customWidth="1"/>
    <col min="10755" max="10756" width="11.140625" style="2" bestFit="1" customWidth="1"/>
    <col min="10757" max="10757" width="11.5703125" style="2" bestFit="1" customWidth="1"/>
    <col min="10758" max="10758" width="9.140625" style="2" bestFit="1" customWidth="1"/>
    <col min="10759" max="10759" width="10.28515625" style="2" customWidth="1"/>
    <col min="10760" max="10998" width="9.140625" style="2" customWidth="1"/>
    <col min="10999" max="10999" width="4.28515625" style="2" bestFit="1" customWidth="1"/>
    <col min="11000" max="11000" width="6.85546875" style="2" bestFit="1" customWidth="1"/>
    <col min="11001" max="11001" width="11" style="2" customWidth="1"/>
    <col min="11002" max="11002" width="11.140625" style="2" bestFit="1" customWidth="1"/>
    <col min="11003" max="11003" width="10.85546875" style="2" customWidth="1"/>
    <col min="11004" max="11004" width="11.5703125" style="2" customWidth="1"/>
    <col min="11005" max="11005" width="11.140625" style="2" bestFit="1" customWidth="1"/>
    <col min="11006" max="11006" width="11" style="2" customWidth="1"/>
    <col min="11007" max="11007" width="10.42578125" style="2" customWidth="1"/>
    <col min="11008" max="11008" width="11.28515625" style="2" customWidth="1"/>
    <col min="11009" max="11010" width="9.140625" style="2" bestFit="1" customWidth="1"/>
    <col min="11011" max="11012" width="11.140625" style="2" bestFit="1" customWidth="1"/>
    <col min="11013" max="11013" width="11.5703125" style="2" bestFit="1" customWidth="1"/>
    <col min="11014" max="11014" width="9.140625" style="2" bestFit="1" customWidth="1"/>
    <col min="11015" max="11015" width="10.28515625" style="2" customWidth="1"/>
    <col min="11016" max="11254" width="9.140625" style="2" customWidth="1"/>
    <col min="11255" max="11255" width="4.28515625" style="2" bestFit="1" customWidth="1"/>
    <col min="11256" max="11256" width="6.85546875" style="2" bestFit="1" customWidth="1"/>
    <col min="11257" max="11257" width="11" style="2" customWidth="1"/>
    <col min="11258" max="11258" width="11.140625" style="2" bestFit="1" customWidth="1"/>
    <col min="11259" max="11259" width="10.85546875" style="2" customWidth="1"/>
    <col min="11260" max="11260" width="11.5703125" style="2" customWidth="1"/>
    <col min="11261" max="11261" width="11.140625" style="2" bestFit="1" customWidth="1"/>
    <col min="11262" max="11262" width="11" style="2" customWidth="1"/>
    <col min="11263" max="11263" width="10.42578125" style="2" customWidth="1"/>
    <col min="11264" max="11264" width="11.28515625" style="2" customWidth="1"/>
    <col min="11265" max="11266" width="9.140625" style="2" bestFit="1" customWidth="1"/>
    <col min="11267" max="11268" width="11.140625" style="2" bestFit="1" customWidth="1"/>
    <col min="11269" max="11269" width="11.5703125" style="2" bestFit="1" customWidth="1"/>
    <col min="11270" max="11270" width="9.140625" style="2" bestFit="1" customWidth="1"/>
    <col min="11271" max="11271" width="10.28515625" style="2" customWidth="1"/>
    <col min="11272" max="11510" width="9.140625" style="2" customWidth="1"/>
    <col min="11511" max="11511" width="4.28515625" style="2" bestFit="1" customWidth="1"/>
    <col min="11512" max="11512" width="6.85546875" style="2" bestFit="1" customWidth="1"/>
    <col min="11513" max="11513" width="11" style="2" customWidth="1"/>
    <col min="11514" max="11514" width="11.140625" style="2" bestFit="1" customWidth="1"/>
    <col min="11515" max="11515" width="10.85546875" style="2" customWidth="1"/>
    <col min="11516" max="11516" width="11.5703125" style="2" customWidth="1"/>
    <col min="11517" max="11517" width="11.140625" style="2" bestFit="1" customWidth="1"/>
    <col min="11518" max="11518" width="11" style="2" customWidth="1"/>
    <col min="11519" max="11519" width="10.42578125" style="2" customWidth="1"/>
    <col min="11520" max="11520" width="11.28515625" style="2" customWidth="1"/>
    <col min="11521" max="11522" width="9.140625" style="2" bestFit="1" customWidth="1"/>
    <col min="11523" max="11524" width="11.140625" style="2" bestFit="1" customWidth="1"/>
    <col min="11525" max="11525" width="11.5703125" style="2" bestFit="1" customWidth="1"/>
    <col min="11526" max="11526" width="9.140625" style="2" bestFit="1" customWidth="1"/>
    <col min="11527" max="11527" width="10.28515625" style="2" customWidth="1"/>
    <col min="11528" max="11766" width="9.140625" style="2" customWidth="1"/>
    <col min="11767" max="11767" width="4.28515625" style="2" bestFit="1" customWidth="1"/>
    <col min="11768" max="11768" width="6.85546875" style="2" bestFit="1" customWidth="1"/>
    <col min="11769" max="11769" width="11" style="2" customWidth="1"/>
    <col min="11770" max="11770" width="11.140625" style="2" bestFit="1" customWidth="1"/>
    <col min="11771" max="11771" width="10.85546875" style="2" customWidth="1"/>
    <col min="11772" max="11772" width="11.5703125" style="2" customWidth="1"/>
    <col min="11773" max="11773" width="11.140625" style="2" bestFit="1" customWidth="1"/>
    <col min="11774" max="11774" width="11" style="2" customWidth="1"/>
    <col min="11775" max="11775" width="10.42578125" style="2" customWidth="1"/>
    <col min="11776" max="11776" width="11.28515625" style="2" customWidth="1"/>
    <col min="11777" max="11778" width="9.140625" style="2" bestFit="1" customWidth="1"/>
    <col min="11779" max="11780" width="11.140625" style="2" bestFit="1" customWidth="1"/>
    <col min="11781" max="11781" width="11.5703125" style="2" bestFit="1" customWidth="1"/>
    <col min="11782" max="11782" width="9.140625" style="2" bestFit="1" customWidth="1"/>
    <col min="11783" max="11783" width="10.28515625" style="2" customWidth="1"/>
    <col min="11784" max="12022" width="9.140625" style="2" customWidth="1"/>
    <col min="12023" max="12023" width="4.28515625" style="2" bestFit="1" customWidth="1"/>
    <col min="12024" max="12024" width="6.85546875" style="2" bestFit="1" customWidth="1"/>
    <col min="12025" max="12025" width="11" style="2" customWidth="1"/>
    <col min="12026" max="12026" width="11.140625" style="2" bestFit="1" customWidth="1"/>
    <col min="12027" max="12027" width="10.85546875" style="2" customWidth="1"/>
    <col min="12028" max="12028" width="11.5703125" style="2" customWidth="1"/>
    <col min="12029" max="12029" width="11.140625" style="2" bestFit="1" customWidth="1"/>
    <col min="12030" max="12030" width="11" style="2" customWidth="1"/>
    <col min="12031" max="12031" width="10.42578125" style="2" customWidth="1"/>
    <col min="12032" max="12032" width="11.28515625" style="2" customWidth="1"/>
    <col min="12033" max="12034" width="9.140625" style="2" bestFit="1" customWidth="1"/>
    <col min="12035" max="12036" width="11.140625" style="2" bestFit="1" customWidth="1"/>
    <col min="12037" max="12037" width="11.5703125" style="2" bestFit="1" customWidth="1"/>
    <col min="12038" max="12038" width="9.140625" style="2" bestFit="1" customWidth="1"/>
    <col min="12039" max="12039" width="10.28515625" style="2" customWidth="1"/>
    <col min="12040" max="12278" width="9.140625" style="2" customWidth="1"/>
    <col min="12279" max="12279" width="4.28515625" style="2" bestFit="1" customWidth="1"/>
    <col min="12280" max="12280" width="6.85546875" style="2" bestFit="1" customWidth="1"/>
    <col min="12281" max="12281" width="11" style="2" customWidth="1"/>
    <col min="12282" max="12282" width="11.140625" style="2" bestFit="1" customWidth="1"/>
    <col min="12283" max="12283" width="10.85546875" style="2" customWidth="1"/>
    <col min="12284" max="12284" width="11.5703125" style="2" customWidth="1"/>
    <col min="12285" max="12285" width="11.140625" style="2" bestFit="1" customWidth="1"/>
    <col min="12286" max="12286" width="11" style="2" customWidth="1"/>
    <col min="12287" max="12287" width="10.42578125" style="2" customWidth="1"/>
    <col min="12288" max="12288" width="11.28515625" style="2" customWidth="1"/>
    <col min="12289" max="12290" width="9.140625" style="2" bestFit="1" customWidth="1"/>
    <col min="12291" max="12292" width="11.140625" style="2" bestFit="1" customWidth="1"/>
    <col min="12293" max="12293" width="11.5703125" style="2" bestFit="1" customWidth="1"/>
    <col min="12294" max="12294" width="9.140625" style="2" bestFit="1" customWidth="1"/>
    <col min="12295" max="12295" width="10.28515625" style="2" customWidth="1"/>
    <col min="12296" max="12534" width="9.140625" style="2" customWidth="1"/>
    <col min="12535" max="12535" width="4.28515625" style="2" bestFit="1" customWidth="1"/>
    <col min="12536" max="12536" width="6.85546875" style="2" bestFit="1" customWidth="1"/>
    <col min="12537" max="12537" width="11" style="2" customWidth="1"/>
    <col min="12538" max="12538" width="11.140625" style="2" bestFit="1" customWidth="1"/>
    <col min="12539" max="12539" width="10.85546875" style="2" customWidth="1"/>
    <col min="12540" max="12540" width="11.5703125" style="2" customWidth="1"/>
    <col min="12541" max="12541" width="11.140625" style="2" bestFit="1" customWidth="1"/>
    <col min="12542" max="12542" width="11" style="2" customWidth="1"/>
    <col min="12543" max="12543" width="10.42578125" style="2" customWidth="1"/>
    <col min="12544" max="12544" width="11.28515625" style="2" customWidth="1"/>
    <col min="12545" max="12546" width="9.140625" style="2" bestFit="1" customWidth="1"/>
    <col min="12547" max="12548" width="11.140625" style="2" bestFit="1" customWidth="1"/>
    <col min="12549" max="12549" width="11.5703125" style="2" bestFit="1" customWidth="1"/>
    <col min="12550" max="12550" width="9.140625" style="2" bestFit="1" customWidth="1"/>
    <col min="12551" max="12551" width="10.28515625" style="2" customWidth="1"/>
    <col min="12552" max="12790" width="9.140625" style="2" customWidth="1"/>
    <col min="12791" max="12791" width="4.28515625" style="2" bestFit="1" customWidth="1"/>
    <col min="12792" max="12792" width="6.85546875" style="2" bestFit="1" customWidth="1"/>
    <col min="12793" max="12793" width="11" style="2" customWidth="1"/>
    <col min="12794" max="12794" width="11.140625" style="2" bestFit="1" customWidth="1"/>
    <col min="12795" max="12795" width="10.85546875" style="2" customWidth="1"/>
    <col min="12796" max="12796" width="11.5703125" style="2" customWidth="1"/>
    <col min="12797" max="12797" width="11.140625" style="2" bestFit="1" customWidth="1"/>
    <col min="12798" max="12798" width="11" style="2" customWidth="1"/>
    <col min="12799" max="12799" width="10.42578125" style="2" customWidth="1"/>
    <col min="12800" max="12800" width="11.28515625" style="2" customWidth="1"/>
    <col min="12801" max="12802" width="9.140625" style="2" bestFit="1" customWidth="1"/>
    <col min="12803" max="12804" width="11.140625" style="2" bestFit="1" customWidth="1"/>
    <col min="12805" max="12805" width="11.5703125" style="2" bestFit="1" customWidth="1"/>
    <col min="12806" max="12806" width="9.140625" style="2" bestFit="1" customWidth="1"/>
    <col min="12807" max="12807" width="10.28515625" style="2" customWidth="1"/>
    <col min="12808" max="13046" width="9.140625" style="2" customWidth="1"/>
    <col min="13047" max="13047" width="4.28515625" style="2" bestFit="1" customWidth="1"/>
    <col min="13048" max="13048" width="6.85546875" style="2" bestFit="1" customWidth="1"/>
    <col min="13049" max="13049" width="11" style="2" customWidth="1"/>
    <col min="13050" max="13050" width="11.140625" style="2" bestFit="1" customWidth="1"/>
    <col min="13051" max="13051" width="10.85546875" style="2" customWidth="1"/>
    <col min="13052" max="13052" width="11.5703125" style="2" customWidth="1"/>
    <col min="13053" max="13053" width="11.140625" style="2" bestFit="1" customWidth="1"/>
    <col min="13054" max="13054" width="11" style="2" customWidth="1"/>
    <col min="13055" max="13055" width="10.42578125" style="2" customWidth="1"/>
    <col min="13056" max="13056" width="11.28515625" style="2" customWidth="1"/>
    <col min="13057" max="13058" width="9.140625" style="2" bestFit="1" customWidth="1"/>
    <col min="13059" max="13060" width="11.140625" style="2" bestFit="1" customWidth="1"/>
    <col min="13061" max="13061" width="11.5703125" style="2" bestFit="1" customWidth="1"/>
    <col min="13062" max="13062" width="9.140625" style="2" bestFit="1" customWidth="1"/>
    <col min="13063" max="13063" width="10.28515625" style="2" customWidth="1"/>
    <col min="13064" max="13302" width="9.140625" style="2" customWidth="1"/>
    <col min="13303" max="13303" width="4.28515625" style="2" bestFit="1" customWidth="1"/>
    <col min="13304" max="13304" width="6.85546875" style="2" bestFit="1" customWidth="1"/>
    <col min="13305" max="13305" width="11" style="2" customWidth="1"/>
    <col min="13306" max="13306" width="11.140625" style="2" bestFit="1" customWidth="1"/>
    <col min="13307" max="13307" width="10.85546875" style="2" customWidth="1"/>
    <col min="13308" max="13308" width="11.5703125" style="2" customWidth="1"/>
    <col min="13309" max="13309" width="11.140625" style="2" bestFit="1" customWidth="1"/>
    <col min="13310" max="13310" width="11" style="2" customWidth="1"/>
    <col min="13311" max="13311" width="10.42578125" style="2" customWidth="1"/>
    <col min="13312" max="13312" width="11.28515625" style="2" customWidth="1"/>
    <col min="13313" max="13314" width="9.140625" style="2" bestFit="1" customWidth="1"/>
    <col min="13315" max="13316" width="11.140625" style="2" bestFit="1" customWidth="1"/>
    <col min="13317" max="13317" width="11.5703125" style="2" bestFit="1" customWidth="1"/>
    <col min="13318" max="13318" width="9.140625" style="2" bestFit="1" customWidth="1"/>
    <col min="13319" max="13319" width="10.28515625" style="2" customWidth="1"/>
    <col min="13320" max="13558" width="9.140625" style="2" customWidth="1"/>
    <col min="13559" max="13559" width="4.28515625" style="2" bestFit="1" customWidth="1"/>
    <col min="13560" max="13560" width="6.85546875" style="2" bestFit="1" customWidth="1"/>
    <col min="13561" max="13561" width="11" style="2" customWidth="1"/>
    <col min="13562" max="13562" width="11.140625" style="2" bestFit="1" customWidth="1"/>
    <col min="13563" max="13563" width="10.85546875" style="2" customWidth="1"/>
    <col min="13564" max="13564" width="11.5703125" style="2" customWidth="1"/>
    <col min="13565" max="13565" width="11.140625" style="2" bestFit="1" customWidth="1"/>
    <col min="13566" max="13566" width="11" style="2" customWidth="1"/>
    <col min="13567" max="13567" width="10.42578125" style="2" customWidth="1"/>
    <col min="13568" max="13568" width="11.28515625" style="2" customWidth="1"/>
    <col min="13569" max="13570" width="9.140625" style="2" bestFit="1" customWidth="1"/>
    <col min="13571" max="13572" width="11.140625" style="2" bestFit="1" customWidth="1"/>
    <col min="13573" max="13573" width="11.5703125" style="2" bestFit="1" customWidth="1"/>
    <col min="13574" max="13574" width="9.140625" style="2" bestFit="1" customWidth="1"/>
    <col min="13575" max="13575" width="10.28515625" style="2" customWidth="1"/>
    <col min="13576" max="13814" width="9.140625" style="2" customWidth="1"/>
    <col min="13815" max="13815" width="4.28515625" style="2" bestFit="1" customWidth="1"/>
    <col min="13816" max="13816" width="6.85546875" style="2" bestFit="1" customWidth="1"/>
    <col min="13817" max="13817" width="11" style="2" customWidth="1"/>
    <col min="13818" max="13818" width="11.140625" style="2" bestFit="1" customWidth="1"/>
    <col min="13819" max="13819" width="10.85546875" style="2" customWidth="1"/>
    <col min="13820" max="13820" width="11.5703125" style="2" customWidth="1"/>
    <col min="13821" max="13821" width="11.140625" style="2" bestFit="1" customWidth="1"/>
    <col min="13822" max="13822" width="11" style="2" customWidth="1"/>
    <col min="13823" max="13823" width="10.42578125" style="2" customWidth="1"/>
    <col min="13824" max="13824" width="11.28515625" style="2" customWidth="1"/>
    <col min="13825" max="13826" width="9.140625" style="2" bestFit="1" customWidth="1"/>
    <col min="13827" max="13828" width="11.140625" style="2" bestFit="1" customWidth="1"/>
    <col min="13829" max="13829" width="11.5703125" style="2" bestFit="1" customWidth="1"/>
    <col min="13830" max="13830" width="9.140625" style="2" bestFit="1" customWidth="1"/>
    <col min="13831" max="13831" width="10.28515625" style="2" customWidth="1"/>
    <col min="13832" max="14070" width="9.140625" style="2" customWidth="1"/>
    <col min="14071" max="14071" width="4.28515625" style="2" bestFit="1" customWidth="1"/>
    <col min="14072" max="14072" width="6.85546875" style="2" bestFit="1" customWidth="1"/>
    <col min="14073" max="14073" width="11" style="2" customWidth="1"/>
    <col min="14074" max="14074" width="11.140625" style="2" bestFit="1" customWidth="1"/>
    <col min="14075" max="14075" width="10.85546875" style="2" customWidth="1"/>
    <col min="14076" max="14076" width="11.5703125" style="2" customWidth="1"/>
    <col min="14077" max="14077" width="11.140625" style="2" bestFit="1" customWidth="1"/>
    <col min="14078" max="14078" width="11" style="2" customWidth="1"/>
    <col min="14079" max="14079" width="10.42578125" style="2" customWidth="1"/>
    <col min="14080" max="14080" width="11.28515625" style="2" customWidth="1"/>
    <col min="14081" max="14082" width="9.140625" style="2" bestFit="1" customWidth="1"/>
    <col min="14083" max="14084" width="11.140625" style="2" bestFit="1" customWidth="1"/>
    <col min="14085" max="14085" width="11.5703125" style="2" bestFit="1" customWidth="1"/>
    <col min="14086" max="14086" width="9.140625" style="2" bestFit="1" customWidth="1"/>
    <col min="14087" max="14087" width="10.28515625" style="2" customWidth="1"/>
    <col min="14088" max="14326" width="9.140625" style="2" customWidth="1"/>
    <col min="14327" max="14327" width="4.28515625" style="2" bestFit="1" customWidth="1"/>
    <col min="14328" max="14328" width="6.85546875" style="2" bestFit="1" customWidth="1"/>
    <col min="14329" max="14329" width="11" style="2" customWidth="1"/>
    <col min="14330" max="14330" width="11.140625" style="2" bestFit="1" customWidth="1"/>
    <col min="14331" max="14331" width="10.85546875" style="2" customWidth="1"/>
    <col min="14332" max="14332" width="11.5703125" style="2" customWidth="1"/>
    <col min="14333" max="14333" width="11.140625" style="2" bestFit="1" customWidth="1"/>
    <col min="14334" max="14334" width="11" style="2" customWidth="1"/>
    <col min="14335" max="14335" width="10.42578125" style="2" customWidth="1"/>
    <col min="14336" max="14336" width="11.28515625" style="2" customWidth="1"/>
    <col min="14337" max="14338" width="9.140625" style="2" bestFit="1" customWidth="1"/>
    <col min="14339" max="14340" width="11.140625" style="2" bestFit="1" customWidth="1"/>
    <col min="14341" max="14341" width="11.5703125" style="2" bestFit="1" customWidth="1"/>
    <col min="14342" max="14342" width="9.140625" style="2" bestFit="1" customWidth="1"/>
    <col min="14343" max="14343" width="10.28515625" style="2" customWidth="1"/>
    <col min="14344" max="14582" width="9.140625" style="2" customWidth="1"/>
    <col min="14583" max="14583" width="4.28515625" style="2" bestFit="1" customWidth="1"/>
    <col min="14584" max="14584" width="6.85546875" style="2" bestFit="1" customWidth="1"/>
    <col min="14585" max="14585" width="11" style="2" customWidth="1"/>
    <col min="14586" max="14586" width="11.140625" style="2" bestFit="1" customWidth="1"/>
    <col min="14587" max="14587" width="10.85546875" style="2" customWidth="1"/>
    <col min="14588" max="14588" width="11.5703125" style="2" customWidth="1"/>
    <col min="14589" max="14589" width="11.140625" style="2" bestFit="1" customWidth="1"/>
    <col min="14590" max="14590" width="11" style="2" customWidth="1"/>
    <col min="14591" max="14591" width="10.42578125" style="2" customWidth="1"/>
    <col min="14592" max="14592" width="11.28515625" style="2" customWidth="1"/>
    <col min="14593" max="14594" width="9.140625" style="2" bestFit="1" customWidth="1"/>
    <col min="14595" max="14596" width="11.140625" style="2" bestFit="1" customWidth="1"/>
    <col min="14597" max="14597" width="11.5703125" style="2" bestFit="1" customWidth="1"/>
    <col min="14598" max="14598" width="9.140625" style="2" bestFit="1" customWidth="1"/>
    <col min="14599" max="14599" width="10.28515625" style="2" customWidth="1"/>
    <col min="14600" max="14838" width="9.140625" style="2" customWidth="1"/>
    <col min="14839" max="14839" width="4.28515625" style="2" bestFit="1" customWidth="1"/>
    <col min="14840" max="14840" width="6.85546875" style="2" bestFit="1" customWidth="1"/>
    <col min="14841" max="14841" width="11" style="2" customWidth="1"/>
    <col min="14842" max="14842" width="11.140625" style="2" bestFit="1" customWidth="1"/>
    <col min="14843" max="14843" width="10.85546875" style="2" customWidth="1"/>
    <col min="14844" max="14844" width="11.5703125" style="2" customWidth="1"/>
    <col min="14845" max="14845" width="11.140625" style="2" bestFit="1" customWidth="1"/>
    <col min="14846" max="14846" width="11" style="2" customWidth="1"/>
    <col min="14847" max="14847" width="10.42578125" style="2" customWidth="1"/>
    <col min="14848" max="14848" width="11.28515625" style="2" customWidth="1"/>
    <col min="14849" max="14850" width="9.140625" style="2" bestFit="1" customWidth="1"/>
    <col min="14851" max="14852" width="11.140625" style="2" bestFit="1" customWidth="1"/>
    <col min="14853" max="14853" width="11.5703125" style="2" bestFit="1" customWidth="1"/>
    <col min="14854" max="14854" width="9.140625" style="2" bestFit="1" customWidth="1"/>
    <col min="14855" max="14855" width="10.28515625" style="2" customWidth="1"/>
    <col min="14856" max="15094" width="9.140625" style="2" customWidth="1"/>
    <col min="15095" max="15095" width="4.28515625" style="2" bestFit="1" customWidth="1"/>
    <col min="15096" max="15096" width="6.85546875" style="2" bestFit="1" customWidth="1"/>
    <col min="15097" max="15097" width="11" style="2" customWidth="1"/>
    <col min="15098" max="15098" width="11.140625" style="2" bestFit="1" customWidth="1"/>
    <col min="15099" max="15099" width="10.85546875" style="2" customWidth="1"/>
    <col min="15100" max="15100" width="11.5703125" style="2" customWidth="1"/>
    <col min="15101" max="15101" width="11.140625" style="2" bestFit="1" customWidth="1"/>
    <col min="15102" max="15102" width="11" style="2" customWidth="1"/>
    <col min="15103" max="15103" width="10.42578125" style="2" customWidth="1"/>
    <col min="15104" max="15104" width="11.28515625" style="2" customWidth="1"/>
    <col min="15105" max="15106" width="9.140625" style="2" bestFit="1" customWidth="1"/>
    <col min="15107" max="15108" width="11.140625" style="2" bestFit="1" customWidth="1"/>
    <col min="15109" max="15109" width="11.5703125" style="2" bestFit="1" customWidth="1"/>
    <col min="15110" max="15110" width="9.140625" style="2" bestFit="1" customWidth="1"/>
    <col min="15111" max="15111" width="10.28515625" style="2" customWidth="1"/>
    <col min="15112" max="15350" width="9.140625" style="2" customWidth="1"/>
    <col min="15351" max="15351" width="4.28515625" style="2" bestFit="1" customWidth="1"/>
    <col min="15352" max="15352" width="6.85546875" style="2" bestFit="1" customWidth="1"/>
    <col min="15353" max="15353" width="11" style="2" customWidth="1"/>
    <col min="15354" max="15354" width="11.140625" style="2" bestFit="1" customWidth="1"/>
    <col min="15355" max="15355" width="10.85546875" style="2" customWidth="1"/>
    <col min="15356" max="15356" width="11.5703125" style="2" customWidth="1"/>
    <col min="15357" max="15357" width="11.140625" style="2" bestFit="1" customWidth="1"/>
    <col min="15358" max="15358" width="11" style="2" customWidth="1"/>
    <col min="15359" max="15359" width="10.42578125" style="2" customWidth="1"/>
    <col min="15360" max="15360" width="11.28515625" style="2" customWidth="1"/>
    <col min="15361" max="15362" width="9.140625" style="2" bestFit="1" customWidth="1"/>
    <col min="15363" max="15364" width="11.140625" style="2" bestFit="1" customWidth="1"/>
    <col min="15365" max="15365" width="11.5703125" style="2" bestFit="1" customWidth="1"/>
    <col min="15366" max="15366" width="9.140625" style="2" bestFit="1" customWidth="1"/>
    <col min="15367" max="15367" width="10.28515625" style="2" customWidth="1"/>
    <col min="15368" max="15606" width="9.140625" style="2" customWidth="1"/>
    <col min="15607" max="15607" width="4.28515625" style="2" bestFit="1" customWidth="1"/>
    <col min="15608" max="15608" width="6.85546875" style="2" bestFit="1" customWidth="1"/>
    <col min="15609" max="15609" width="11" style="2" customWidth="1"/>
    <col min="15610" max="15610" width="11.140625" style="2" bestFit="1" customWidth="1"/>
    <col min="15611" max="15611" width="10.85546875" style="2" customWidth="1"/>
    <col min="15612" max="15612" width="11.5703125" style="2" customWidth="1"/>
    <col min="15613" max="15613" width="11.140625" style="2" bestFit="1" customWidth="1"/>
    <col min="15614" max="15614" width="11" style="2" customWidth="1"/>
    <col min="15615" max="15615" width="10.42578125" style="2" customWidth="1"/>
    <col min="15616" max="15616" width="11.28515625" style="2" customWidth="1"/>
    <col min="15617" max="15618" width="9.140625" style="2" bestFit="1" customWidth="1"/>
    <col min="15619" max="15620" width="11.140625" style="2" bestFit="1" customWidth="1"/>
    <col min="15621" max="15621" width="11.5703125" style="2" bestFit="1" customWidth="1"/>
    <col min="15622" max="15622" width="9.140625" style="2" bestFit="1" customWidth="1"/>
    <col min="15623" max="15623" width="10.28515625" style="2" customWidth="1"/>
    <col min="15624" max="15862" width="9.140625" style="2" customWidth="1"/>
    <col min="15863" max="15863" width="4.28515625" style="2" bestFit="1" customWidth="1"/>
    <col min="15864" max="15864" width="6.85546875" style="2" bestFit="1" customWidth="1"/>
    <col min="15865" max="15865" width="11" style="2" customWidth="1"/>
    <col min="15866" max="15866" width="11.140625" style="2" bestFit="1" customWidth="1"/>
    <col min="15867" max="15867" width="10.85546875" style="2" customWidth="1"/>
    <col min="15868" max="15868" width="11.5703125" style="2" customWidth="1"/>
    <col min="15869" max="15869" width="11.140625" style="2" bestFit="1" customWidth="1"/>
    <col min="15870" max="15870" width="11" style="2" customWidth="1"/>
    <col min="15871" max="15871" width="10.42578125" style="2" customWidth="1"/>
    <col min="15872" max="15872" width="11.28515625" style="2" customWidth="1"/>
    <col min="15873" max="15874" width="9.140625" style="2" bestFit="1" customWidth="1"/>
    <col min="15875" max="15876" width="11.140625" style="2" bestFit="1" customWidth="1"/>
    <col min="15877" max="15877" width="11.5703125" style="2" bestFit="1" customWidth="1"/>
    <col min="15878" max="15878" width="9.140625" style="2" bestFit="1" customWidth="1"/>
    <col min="15879" max="15879" width="10.28515625" style="2" customWidth="1"/>
    <col min="15880" max="16118" width="9.140625" style="2" customWidth="1"/>
    <col min="16119" max="16119" width="4.28515625" style="2" bestFit="1" customWidth="1"/>
    <col min="16120" max="16120" width="6.85546875" style="2" bestFit="1" customWidth="1"/>
    <col min="16121" max="16121" width="11" style="2" customWidth="1"/>
    <col min="16122" max="16122" width="11.140625" style="2" bestFit="1" customWidth="1"/>
    <col min="16123" max="16123" width="10.85546875" style="2" customWidth="1"/>
    <col min="16124" max="16124" width="11.5703125" style="2" customWidth="1"/>
    <col min="16125" max="16125" width="11.140625" style="2" bestFit="1" customWidth="1"/>
    <col min="16126" max="16126" width="11" style="2" customWidth="1"/>
    <col min="16127" max="16127" width="10.42578125" style="2" customWidth="1"/>
    <col min="16128" max="16128" width="11.28515625" style="2" customWidth="1"/>
    <col min="16129" max="16130" width="9.140625" style="2" bestFit="1" customWidth="1"/>
    <col min="16131" max="16132" width="11.140625" style="2" bestFit="1" customWidth="1"/>
    <col min="16133" max="16133" width="11.5703125" style="2" bestFit="1" customWidth="1"/>
    <col min="16134" max="16134" width="9.140625" style="2" bestFit="1" customWidth="1"/>
    <col min="16135" max="16135" width="10.28515625" style="2" customWidth="1"/>
    <col min="16136" max="16384" width="9.140625" style="2" customWidth="1"/>
  </cols>
  <sheetData>
    <row r="1" spans="1:17" s="220" customFormat="1" ht="59.25" customHeight="1">
      <c r="A1" s="2538" t="s">
        <v>600</v>
      </c>
      <c r="B1" s="2538"/>
      <c r="C1" s="2538"/>
      <c r="D1" s="2538"/>
      <c r="E1" s="2538"/>
      <c r="F1" s="2538"/>
      <c r="G1" s="2538"/>
      <c r="H1" s="2538"/>
      <c r="I1" s="2538"/>
      <c r="J1" s="2538"/>
      <c r="K1" s="2538"/>
      <c r="L1" s="2538"/>
      <c r="M1" s="2538"/>
    </row>
    <row r="2" spans="1:17" s="220" customFormat="1" ht="16.5" customHeight="1" thickBot="1">
      <c r="A2" s="1253"/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5" t="s">
        <v>0</v>
      </c>
    </row>
    <row r="3" spans="1:17" s="1125" customFormat="1" ht="90.75" thickBot="1">
      <c r="A3" s="1121" t="s">
        <v>1</v>
      </c>
      <c r="B3" s="1122" t="s">
        <v>2</v>
      </c>
      <c r="C3" s="1121" t="s">
        <v>3</v>
      </c>
      <c r="D3" s="1123" t="s">
        <v>4</v>
      </c>
      <c r="E3" s="1124" t="s">
        <v>557</v>
      </c>
      <c r="F3" s="1124" t="s">
        <v>153</v>
      </c>
      <c r="G3" s="1124"/>
      <c r="H3" s="1124" t="s">
        <v>180</v>
      </c>
      <c r="I3" s="1124" t="s">
        <v>5</v>
      </c>
      <c r="J3" s="1124" t="s">
        <v>178</v>
      </c>
      <c r="K3" s="1124" t="s">
        <v>558</v>
      </c>
      <c r="L3" s="1124" t="s">
        <v>517</v>
      </c>
      <c r="M3" s="1124" t="s">
        <v>358</v>
      </c>
    </row>
    <row r="4" spans="1:17" s="1132" customFormat="1" ht="10.5" thickBot="1">
      <c r="A4" s="1126" t="s">
        <v>6</v>
      </c>
      <c r="B4" s="2127" t="s">
        <v>7</v>
      </c>
      <c r="C4" s="2127"/>
      <c r="D4" s="1127" t="s">
        <v>8</v>
      </c>
      <c r="E4" s="1128" t="s">
        <v>9</v>
      </c>
      <c r="F4" s="1128" t="s">
        <v>10</v>
      </c>
      <c r="G4" s="1128"/>
      <c r="H4" s="1129" t="s">
        <v>10</v>
      </c>
      <c r="I4" s="1128" t="s">
        <v>12</v>
      </c>
      <c r="J4" s="1128" t="s">
        <v>11</v>
      </c>
      <c r="K4" s="1128" t="s">
        <v>11</v>
      </c>
      <c r="L4" s="1130" t="s">
        <v>202</v>
      </c>
      <c r="M4" s="1131" t="s">
        <v>12</v>
      </c>
    </row>
    <row r="5" spans="1:17" s="228" customFormat="1" ht="12" customHeight="1">
      <c r="A5" s="1297" t="s">
        <v>14</v>
      </c>
      <c r="B5" s="1257"/>
      <c r="C5" s="1258" t="s">
        <v>15</v>
      </c>
      <c r="D5" s="1257"/>
      <c r="E5" s="1259">
        <f>SUM(E6)</f>
        <v>494000</v>
      </c>
      <c r="F5" s="1259">
        <f>SUM(F6)</f>
        <v>1500000</v>
      </c>
      <c r="G5" s="1259"/>
      <c r="H5" s="1259">
        <f>SUM(H6)</f>
        <v>1403929</v>
      </c>
      <c r="I5" s="1260">
        <f>H5/E5</f>
        <v>2.8419615384615384</v>
      </c>
      <c r="J5" s="1259">
        <f>SUM(J6)</f>
        <v>0</v>
      </c>
      <c r="K5" s="1259">
        <f>SUM(K6)</f>
        <v>1403929</v>
      </c>
      <c r="L5" s="1261">
        <f>K5/E5</f>
        <v>2.8419615384615384</v>
      </c>
      <c r="M5" s="1298"/>
    </row>
    <row r="6" spans="1:17" s="229" customFormat="1" ht="12" customHeight="1" thickBot="1">
      <c r="A6" s="2548"/>
      <c r="B6" s="2541" t="s">
        <v>16</v>
      </c>
      <c r="C6" s="1263" t="s">
        <v>17</v>
      </c>
      <c r="D6" s="1264"/>
      <c r="E6" s="1265">
        <f>SUM(E7,E29)</f>
        <v>494000</v>
      </c>
      <c r="F6" s="1265">
        <f>SUM(F7,F29)</f>
        <v>1500000</v>
      </c>
      <c r="G6" s="1265">
        <f>SUM(G7,G29)</f>
        <v>0</v>
      </c>
      <c r="H6" s="1299">
        <f>SUM(H7,H29)</f>
        <v>1403929</v>
      </c>
      <c r="I6" s="1300">
        <f t="shared" ref="I6:I34" si="0">H6/E6</f>
        <v>2.8419615384615384</v>
      </c>
      <c r="J6" s="1265">
        <f>SUM(J7,J29)</f>
        <v>0</v>
      </c>
      <c r="K6" s="1265">
        <f>SUM(K7,K29)</f>
        <v>1403929</v>
      </c>
      <c r="L6" s="1267">
        <f t="shared" ref="L6:L34" si="1">K6/E6</f>
        <v>2.8419615384615384</v>
      </c>
      <c r="M6" s="2550" t="s">
        <v>601</v>
      </c>
    </row>
    <row r="7" spans="1:17" s="214" customFormat="1" ht="12" customHeight="1" thickBot="1">
      <c r="A7" s="2548"/>
      <c r="B7" s="2541"/>
      <c r="C7" s="1268" t="s">
        <v>18</v>
      </c>
      <c r="D7" s="1269"/>
      <c r="E7" s="1270">
        <f>SUM(E8,E11,E12,E13,E27,E28)</f>
        <v>494000</v>
      </c>
      <c r="F7" s="1270">
        <f>SUM(F8,F11,F12,F13,F27,F28)</f>
        <v>1500000</v>
      </c>
      <c r="G7" s="1270">
        <f>SUM(G8,G11,G12,G13,G27,G28)</f>
        <v>0</v>
      </c>
      <c r="H7" s="1270">
        <f>SUM(H8,H11,H12,H13,H27,H28)</f>
        <v>1400928</v>
      </c>
      <c r="I7" s="1271">
        <f t="shared" si="0"/>
        <v>2.8358866396761133</v>
      </c>
      <c r="J7" s="1270">
        <f>SUM(J8,J11,J12,J13,J27,J28)</f>
        <v>0</v>
      </c>
      <c r="K7" s="1270">
        <f>SUM(K8,K11,K12,K13,K27,K28)</f>
        <v>1400928</v>
      </c>
      <c r="L7" s="1272">
        <f t="shared" si="1"/>
        <v>2.8358866396761133</v>
      </c>
      <c r="M7" s="2550"/>
    </row>
    <row r="8" spans="1:17" s="214" customFormat="1" ht="12" customHeight="1" thickBot="1">
      <c r="A8" s="2548"/>
      <c r="B8" s="2541"/>
      <c r="C8" s="1273" t="s">
        <v>19</v>
      </c>
      <c r="D8" s="1274"/>
      <c r="E8" s="1275">
        <f>E9+E10</f>
        <v>494000</v>
      </c>
      <c r="F8" s="1275">
        <f>F9+F10</f>
        <v>0</v>
      </c>
      <c r="G8" s="1275">
        <f>G9+G10</f>
        <v>0</v>
      </c>
      <c r="H8" s="1275">
        <f>H9+H10</f>
        <v>0</v>
      </c>
      <c r="I8" s="1271"/>
      <c r="J8" s="1275">
        <f>J9+J10</f>
        <v>0</v>
      </c>
      <c r="K8" s="1275">
        <f>K9+K10</f>
        <v>0</v>
      </c>
      <c r="L8" s="1278">
        <f t="shared" si="1"/>
        <v>0</v>
      </c>
      <c r="M8" s="2550"/>
    </row>
    <row r="9" spans="1:17" s="214" customFormat="1" ht="12" customHeight="1" thickBot="1">
      <c r="A9" s="2548"/>
      <c r="B9" s="2541"/>
      <c r="C9" s="1273" t="s">
        <v>20</v>
      </c>
      <c r="D9" s="1274"/>
      <c r="E9" s="1275">
        <v>200500</v>
      </c>
      <c r="F9" s="1275"/>
      <c r="G9" s="1275"/>
      <c r="H9" s="1275"/>
      <c r="I9" s="1271"/>
      <c r="J9" s="1275"/>
      <c r="K9" s="1275"/>
      <c r="L9" s="1278">
        <f t="shared" si="1"/>
        <v>0</v>
      </c>
      <c r="M9" s="2550"/>
    </row>
    <row r="10" spans="1:17" s="214" customFormat="1" ht="12" customHeight="1" thickBot="1">
      <c r="A10" s="2548"/>
      <c r="B10" s="2541"/>
      <c r="C10" s="1276" t="s">
        <v>21</v>
      </c>
      <c r="D10" s="1274"/>
      <c r="E10" s="1275">
        <v>293500</v>
      </c>
      <c r="F10" s="1275"/>
      <c r="G10" s="1275"/>
      <c r="H10" s="1275"/>
      <c r="I10" s="1271"/>
      <c r="J10" s="1275"/>
      <c r="K10" s="1275"/>
      <c r="L10" s="1278">
        <f t="shared" si="1"/>
        <v>0</v>
      </c>
      <c r="M10" s="2550"/>
    </row>
    <row r="11" spans="1:17" s="214" customFormat="1" ht="12" customHeight="1" thickBot="1">
      <c r="A11" s="2548"/>
      <c r="B11" s="2541"/>
      <c r="C11" s="1273" t="s">
        <v>23</v>
      </c>
      <c r="D11" s="1274"/>
      <c r="E11" s="1275"/>
      <c r="F11" s="1275"/>
      <c r="G11" s="1275"/>
      <c r="H11" s="1275"/>
      <c r="I11" s="1271"/>
      <c r="J11" s="1275"/>
      <c r="K11" s="1275"/>
      <c r="L11" s="1272"/>
      <c r="M11" s="2550"/>
    </row>
    <row r="12" spans="1:17" s="214" customFormat="1" ht="12" customHeight="1" thickBot="1">
      <c r="A12" s="2548"/>
      <c r="B12" s="2541"/>
      <c r="C12" s="1273" t="s">
        <v>24</v>
      </c>
      <c r="D12" s="1274"/>
      <c r="E12" s="1275"/>
      <c r="F12" s="1275"/>
      <c r="G12" s="1275"/>
      <c r="H12" s="1275"/>
      <c r="I12" s="1271"/>
      <c r="J12" s="1275"/>
      <c r="K12" s="1275"/>
      <c r="L12" s="1272"/>
      <c r="M12" s="2550"/>
      <c r="N12" s="1301"/>
      <c r="O12" s="1301"/>
      <c r="P12" s="1301"/>
      <c r="Q12" s="1301"/>
    </row>
    <row r="13" spans="1:17" s="214" customFormat="1" ht="12" customHeight="1" thickBot="1">
      <c r="A13" s="2548"/>
      <c r="B13" s="2541"/>
      <c r="C13" s="2545" t="s">
        <v>25</v>
      </c>
      <c r="D13" s="1274" t="s">
        <v>22</v>
      </c>
      <c r="E13" s="1275">
        <f>SUM(E14:E26)</f>
        <v>0</v>
      </c>
      <c r="F13" s="1275">
        <f>SUM(F14:F26)</f>
        <v>1500000</v>
      </c>
      <c r="G13" s="1275">
        <f>SUM(G14:G26)</f>
        <v>0</v>
      </c>
      <c r="H13" s="1275">
        <f>SUM(H14:H26)</f>
        <v>1400928</v>
      </c>
      <c r="I13" s="1277"/>
      <c r="J13" s="1275">
        <f>SUM(J14:J26)</f>
        <v>0</v>
      </c>
      <c r="K13" s="1275">
        <f>SUM(K14:K26)</f>
        <v>1400928</v>
      </c>
      <c r="L13" s="1272"/>
      <c r="M13" s="2550"/>
      <c r="N13" s="1301"/>
      <c r="O13" s="1301"/>
      <c r="P13" s="1301"/>
      <c r="Q13" s="1301"/>
    </row>
    <row r="14" spans="1:17" s="214" customFormat="1" ht="12" customHeight="1" thickBot="1">
      <c r="A14" s="2548"/>
      <c r="B14" s="2541"/>
      <c r="C14" s="2546"/>
      <c r="D14" s="1522">
        <v>4018</v>
      </c>
      <c r="E14" s="1523"/>
      <c r="F14" s="1523">
        <v>450000</v>
      </c>
      <c r="G14" s="1523"/>
      <c r="H14" s="1523">
        <v>400000</v>
      </c>
      <c r="I14" s="1524"/>
      <c r="J14" s="1523"/>
      <c r="K14" s="1523">
        <f t="shared" ref="K14:K26" si="2">H14+J14</f>
        <v>400000</v>
      </c>
      <c r="L14" s="1272"/>
      <c r="M14" s="2550"/>
      <c r="N14" s="1302"/>
      <c r="O14" s="1301"/>
      <c r="P14" s="1303"/>
      <c r="Q14" s="1301"/>
    </row>
    <row r="15" spans="1:17" s="214" customFormat="1" ht="12" customHeight="1" thickBot="1">
      <c r="A15" s="2548"/>
      <c r="B15" s="2541"/>
      <c r="C15" s="2546"/>
      <c r="D15" s="1522">
        <v>4048</v>
      </c>
      <c r="E15" s="1523"/>
      <c r="F15" s="1523">
        <v>30000</v>
      </c>
      <c r="G15" s="1523"/>
      <c r="H15" s="1523">
        <v>30000</v>
      </c>
      <c r="I15" s="1524"/>
      <c r="J15" s="1523"/>
      <c r="K15" s="1523">
        <f t="shared" si="2"/>
        <v>30000</v>
      </c>
      <c r="L15" s="1272"/>
      <c r="M15" s="2550"/>
      <c r="N15" s="1302"/>
      <c r="O15" s="1301"/>
      <c r="P15" s="1303"/>
      <c r="Q15" s="1301"/>
    </row>
    <row r="16" spans="1:17" s="214" customFormat="1" ht="12" customHeight="1" thickBot="1">
      <c r="A16" s="2548"/>
      <c r="B16" s="2541"/>
      <c r="C16" s="2546"/>
      <c r="D16" s="1522">
        <v>4118</v>
      </c>
      <c r="E16" s="1523"/>
      <c r="F16" s="1523">
        <v>80000</v>
      </c>
      <c r="G16" s="1523"/>
      <c r="H16" s="1523">
        <v>70000</v>
      </c>
      <c r="I16" s="1524"/>
      <c r="J16" s="1523"/>
      <c r="K16" s="1523">
        <f t="shared" si="2"/>
        <v>70000</v>
      </c>
      <c r="L16" s="1272"/>
      <c r="M16" s="2550"/>
      <c r="N16" s="1302"/>
      <c r="O16" s="1301"/>
      <c r="P16" s="1303"/>
      <c r="Q16" s="1301"/>
    </row>
    <row r="17" spans="1:17" s="214" customFormat="1" ht="12" customHeight="1" thickBot="1">
      <c r="A17" s="2548"/>
      <c r="B17" s="2541"/>
      <c r="C17" s="2546"/>
      <c r="D17" s="1522">
        <v>4128</v>
      </c>
      <c r="E17" s="1523"/>
      <c r="F17" s="1523">
        <v>12000</v>
      </c>
      <c r="G17" s="1523"/>
      <c r="H17" s="1523">
        <v>10000</v>
      </c>
      <c r="I17" s="1524"/>
      <c r="J17" s="1523"/>
      <c r="K17" s="1523">
        <f t="shared" si="2"/>
        <v>10000</v>
      </c>
      <c r="L17" s="1272"/>
      <c r="M17" s="2550"/>
      <c r="N17" s="1302"/>
      <c r="O17" s="1301"/>
      <c r="P17" s="1303"/>
      <c r="Q17" s="1301"/>
    </row>
    <row r="18" spans="1:17" s="214" customFormat="1" ht="12" customHeight="1" thickBot="1">
      <c r="A18" s="2548"/>
      <c r="B18" s="2541"/>
      <c r="C18" s="2546"/>
      <c r="D18" s="1522">
        <v>4218</v>
      </c>
      <c r="E18" s="1523"/>
      <c r="F18" s="1523">
        <v>150000</v>
      </c>
      <c r="G18" s="1523"/>
      <c r="H18" s="1523">
        <v>150000</v>
      </c>
      <c r="I18" s="1524"/>
      <c r="J18" s="1523"/>
      <c r="K18" s="1523">
        <f t="shared" si="2"/>
        <v>150000</v>
      </c>
      <c r="L18" s="1272"/>
      <c r="M18" s="2550"/>
      <c r="N18" s="1302"/>
      <c r="O18" s="1301"/>
      <c r="P18" s="1303"/>
      <c r="Q18" s="1301"/>
    </row>
    <row r="19" spans="1:17" s="214" customFormat="1" ht="12" customHeight="1" thickBot="1">
      <c r="A19" s="2548"/>
      <c r="B19" s="2541"/>
      <c r="C19" s="2546"/>
      <c r="D19" s="1522">
        <v>4228</v>
      </c>
      <c r="E19" s="1523"/>
      <c r="F19" s="1523">
        <v>5000</v>
      </c>
      <c r="G19" s="1523"/>
      <c r="H19" s="1523">
        <v>4000</v>
      </c>
      <c r="I19" s="1524"/>
      <c r="J19" s="1523"/>
      <c r="K19" s="1523">
        <f t="shared" si="2"/>
        <v>4000</v>
      </c>
      <c r="L19" s="1272"/>
      <c r="M19" s="2550"/>
      <c r="N19" s="1302"/>
      <c r="O19" s="1301"/>
      <c r="P19" s="1303"/>
      <c r="Q19" s="1301"/>
    </row>
    <row r="20" spans="1:17" s="214" customFormat="1" ht="12" customHeight="1" thickBot="1">
      <c r="A20" s="2548"/>
      <c r="B20" s="2541"/>
      <c r="C20" s="2546"/>
      <c r="D20" s="1522">
        <v>4308</v>
      </c>
      <c r="E20" s="1523"/>
      <c r="F20" s="1523">
        <v>710000</v>
      </c>
      <c r="G20" s="1523"/>
      <c r="H20" s="1523">
        <v>675000</v>
      </c>
      <c r="I20" s="1524"/>
      <c r="J20" s="1523"/>
      <c r="K20" s="1523">
        <f t="shared" si="2"/>
        <v>675000</v>
      </c>
      <c r="L20" s="1272"/>
      <c r="M20" s="2550"/>
      <c r="N20" s="1302"/>
      <c r="O20" s="1301"/>
      <c r="P20" s="1303"/>
      <c r="Q20" s="1301"/>
    </row>
    <row r="21" spans="1:17" s="214" customFormat="1" ht="12" customHeight="1" thickBot="1">
      <c r="A21" s="2548"/>
      <c r="B21" s="2541"/>
      <c r="C21" s="2546"/>
      <c r="D21" s="1522">
        <v>4368</v>
      </c>
      <c r="E21" s="1523"/>
      <c r="F21" s="1523">
        <v>8000</v>
      </c>
      <c r="G21" s="1523"/>
      <c r="H21" s="1523">
        <v>5000</v>
      </c>
      <c r="I21" s="1524"/>
      <c r="J21" s="1523"/>
      <c r="K21" s="1523">
        <f t="shared" si="2"/>
        <v>5000</v>
      </c>
      <c r="L21" s="1272"/>
      <c r="M21" s="2550"/>
      <c r="N21" s="1302"/>
      <c r="O21" s="1301"/>
      <c r="P21" s="1303"/>
      <c r="Q21" s="1301"/>
    </row>
    <row r="22" spans="1:17" s="214" customFormat="1" ht="12" customHeight="1" thickBot="1">
      <c r="A22" s="2548"/>
      <c r="B22" s="2541"/>
      <c r="C22" s="2546"/>
      <c r="D22" s="1522">
        <v>4388</v>
      </c>
      <c r="E22" s="1523"/>
      <c r="F22" s="1523">
        <v>20000</v>
      </c>
      <c r="G22" s="1523"/>
      <c r="H22" s="1523">
        <v>20000</v>
      </c>
      <c r="I22" s="1524"/>
      <c r="J22" s="1523"/>
      <c r="K22" s="1523">
        <f t="shared" si="2"/>
        <v>20000</v>
      </c>
      <c r="L22" s="1272"/>
      <c r="M22" s="2550"/>
      <c r="N22" s="1302"/>
      <c r="O22" s="1301"/>
      <c r="P22" s="1303"/>
      <c r="Q22" s="1301"/>
    </row>
    <row r="23" spans="1:17" s="214" customFormat="1" ht="12" customHeight="1" thickBot="1">
      <c r="A23" s="2548"/>
      <c r="B23" s="2541"/>
      <c r="C23" s="2546"/>
      <c r="D23" s="1522">
        <v>4418</v>
      </c>
      <c r="E23" s="1523"/>
      <c r="F23" s="1523">
        <v>10000</v>
      </c>
      <c r="G23" s="1523"/>
      <c r="H23" s="1523">
        <v>11000</v>
      </c>
      <c r="I23" s="1524"/>
      <c r="J23" s="1523"/>
      <c r="K23" s="1523">
        <f t="shared" si="2"/>
        <v>11000</v>
      </c>
      <c r="L23" s="1272"/>
      <c r="M23" s="2550"/>
      <c r="N23" s="1302"/>
      <c r="O23" s="1301"/>
      <c r="P23" s="1303"/>
      <c r="Q23" s="1301"/>
    </row>
    <row r="24" spans="1:17" s="214" customFormat="1" ht="12" customHeight="1" thickBot="1">
      <c r="A24" s="2548"/>
      <c r="B24" s="2541"/>
      <c r="C24" s="2546"/>
      <c r="D24" s="1522">
        <v>4428</v>
      </c>
      <c r="E24" s="1523"/>
      <c r="F24" s="1523">
        <v>10000</v>
      </c>
      <c r="G24" s="1523"/>
      <c r="H24" s="1523">
        <v>11000</v>
      </c>
      <c r="I24" s="1524"/>
      <c r="J24" s="1523"/>
      <c r="K24" s="1523">
        <f t="shared" si="2"/>
        <v>11000</v>
      </c>
      <c r="L24" s="1272"/>
      <c r="M24" s="2550"/>
      <c r="N24" s="1302"/>
      <c r="O24" s="1301"/>
      <c r="P24" s="1303"/>
      <c r="Q24" s="1301"/>
    </row>
    <row r="25" spans="1:17" s="214" customFormat="1" ht="12" customHeight="1" thickBot="1">
      <c r="A25" s="2548"/>
      <c r="B25" s="2541"/>
      <c r="C25" s="2546"/>
      <c r="D25" s="1522">
        <v>4708</v>
      </c>
      <c r="E25" s="1523"/>
      <c r="F25" s="1523">
        <v>10000</v>
      </c>
      <c r="G25" s="1523"/>
      <c r="H25" s="1523">
        <v>10928</v>
      </c>
      <c r="I25" s="1524"/>
      <c r="J25" s="1523"/>
      <c r="K25" s="1523">
        <f t="shared" si="2"/>
        <v>10928</v>
      </c>
      <c r="L25" s="1272"/>
      <c r="M25" s="2550"/>
      <c r="N25" s="1302"/>
      <c r="O25" s="1301"/>
      <c r="P25" s="1303"/>
      <c r="Q25" s="1301"/>
    </row>
    <row r="26" spans="1:17" s="214" customFormat="1" ht="12" customHeight="1" thickBot="1">
      <c r="A26" s="2548"/>
      <c r="B26" s="2541"/>
      <c r="C26" s="2546"/>
      <c r="D26" s="1522">
        <v>4718</v>
      </c>
      <c r="E26" s="1523"/>
      <c r="F26" s="1523">
        <v>5000</v>
      </c>
      <c r="G26" s="1523"/>
      <c r="H26" s="1523">
        <v>4000</v>
      </c>
      <c r="I26" s="1524"/>
      <c r="J26" s="1523"/>
      <c r="K26" s="1523">
        <f t="shared" si="2"/>
        <v>4000</v>
      </c>
      <c r="L26" s="1272"/>
      <c r="M26" s="2550"/>
      <c r="N26" s="1302"/>
      <c r="O26" s="1301"/>
      <c r="P26" s="1303"/>
      <c r="Q26" s="1301"/>
    </row>
    <row r="27" spans="1:17" s="229" customFormat="1" ht="12" customHeight="1" thickBot="1">
      <c r="A27" s="2548"/>
      <c r="B27" s="2541"/>
      <c r="C27" s="1273" t="s">
        <v>26</v>
      </c>
      <c r="D27" s="1274"/>
      <c r="E27" s="1275"/>
      <c r="F27" s="1275"/>
      <c r="G27" s="1275"/>
      <c r="H27" s="1275"/>
      <c r="I27" s="1277"/>
      <c r="J27" s="1275"/>
      <c r="K27" s="1275"/>
      <c r="L27" s="1272"/>
      <c r="M27" s="2550"/>
      <c r="N27" s="1304"/>
      <c r="O27" s="1304"/>
      <c r="P27" s="1303"/>
      <c r="Q27" s="1304"/>
    </row>
    <row r="28" spans="1:17" s="214" customFormat="1" ht="12" customHeight="1" thickBot="1">
      <c r="A28" s="2548"/>
      <c r="B28" s="2541"/>
      <c r="C28" s="1273" t="s">
        <v>27</v>
      </c>
      <c r="D28" s="1274"/>
      <c r="E28" s="1275"/>
      <c r="F28" s="1275"/>
      <c r="G28" s="1275"/>
      <c r="H28" s="1275"/>
      <c r="I28" s="1277"/>
      <c r="J28" s="1275"/>
      <c r="K28" s="1275"/>
      <c r="L28" s="1272"/>
      <c r="M28" s="2550"/>
      <c r="N28" s="1301"/>
      <c r="O28" s="1301"/>
      <c r="P28" s="1301"/>
      <c r="Q28" s="1301"/>
    </row>
    <row r="29" spans="1:17" s="229" customFormat="1" ht="12" customHeight="1" thickBot="1">
      <c r="A29" s="2548"/>
      <c r="B29" s="2541"/>
      <c r="C29" s="1280" t="s">
        <v>28</v>
      </c>
      <c r="D29" s="1281"/>
      <c r="E29" s="1270">
        <f>SUM(E30,E32,E33)</f>
        <v>0</v>
      </c>
      <c r="F29" s="1270">
        <f>SUM(F30,F32,F33)</f>
        <v>0</v>
      </c>
      <c r="G29" s="1270"/>
      <c r="H29" s="1270">
        <f>SUM(H30,H32,H33)</f>
        <v>3001</v>
      </c>
      <c r="I29" s="1271"/>
      <c r="J29" s="1270">
        <f>SUM(J30,J32,J33)</f>
        <v>0</v>
      </c>
      <c r="K29" s="1270">
        <f>SUM(K30,K32,K33)</f>
        <v>3001</v>
      </c>
      <c r="L29" s="1272"/>
      <c r="M29" s="2550"/>
      <c r="N29" s="1304"/>
      <c r="O29" s="1304"/>
      <c r="P29" s="1304"/>
      <c r="Q29" s="1304"/>
    </row>
    <row r="30" spans="1:17" s="229" customFormat="1" ht="12" customHeight="1" thickBot="1">
      <c r="A30" s="2548"/>
      <c r="B30" s="2541"/>
      <c r="C30" s="1282" t="s">
        <v>29</v>
      </c>
      <c r="D30" s="1274">
        <v>6698</v>
      </c>
      <c r="E30" s="1275">
        <v>0</v>
      </c>
      <c r="F30" s="1275">
        <v>0</v>
      </c>
      <c r="G30" s="1275"/>
      <c r="H30" s="1275">
        <v>3001</v>
      </c>
      <c r="I30" s="1277"/>
      <c r="J30" s="1275"/>
      <c r="K30" s="1275">
        <f>H30+J30</f>
        <v>3001</v>
      </c>
      <c r="L30" s="1272"/>
      <c r="M30" s="2550"/>
    </row>
    <row r="31" spans="1:17" s="214" customFormat="1" ht="23.25" thickBot="1">
      <c r="A31" s="2548"/>
      <c r="B31" s="2541"/>
      <c r="C31" s="1283" t="s">
        <v>30</v>
      </c>
      <c r="D31" s="1279">
        <v>6698</v>
      </c>
      <c r="E31" s="1275">
        <v>0</v>
      </c>
      <c r="F31" s="1275">
        <v>0</v>
      </c>
      <c r="G31" s="1275"/>
      <c r="H31" s="1275">
        <v>3001</v>
      </c>
      <c r="I31" s="1277"/>
      <c r="J31" s="1275"/>
      <c r="K31" s="1275">
        <f>H31+J31</f>
        <v>3001</v>
      </c>
      <c r="L31" s="1272"/>
      <c r="M31" s="2550"/>
    </row>
    <row r="32" spans="1:17" s="214" customFormat="1" ht="12" customHeight="1" thickBot="1">
      <c r="A32" s="2548"/>
      <c r="B32" s="2541"/>
      <c r="C32" s="1273" t="s">
        <v>31</v>
      </c>
      <c r="D32" s="1274"/>
      <c r="E32" s="1275"/>
      <c r="F32" s="1275"/>
      <c r="G32" s="1275"/>
      <c r="H32" s="1275"/>
      <c r="I32" s="1271"/>
      <c r="J32" s="1275"/>
      <c r="K32" s="1275"/>
      <c r="L32" s="1272"/>
      <c r="M32" s="2550"/>
    </row>
    <row r="33" spans="1:13" s="214" customFormat="1" ht="12" customHeight="1" thickBot="1">
      <c r="A33" s="2549"/>
      <c r="B33" s="2542"/>
      <c r="C33" s="1284" t="s">
        <v>32</v>
      </c>
      <c r="D33" s="1285"/>
      <c r="E33" s="1286"/>
      <c r="F33" s="1286"/>
      <c r="G33" s="1286"/>
      <c r="H33" s="1286"/>
      <c r="I33" s="1305"/>
      <c r="J33" s="1286"/>
      <c r="K33" s="1288"/>
      <c r="L33" s="1289"/>
      <c r="M33" s="2551"/>
    </row>
    <row r="34" spans="1:13" s="1295" customFormat="1" ht="21" customHeight="1" thickBot="1">
      <c r="A34" s="2536" t="s">
        <v>33</v>
      </c>
      <c r="B34" s="2537"/>
      <c r="C34" s="2537"/>
      <c r="D34" s="1290"/>
      <c r="E34" s="1291">
        <f>E5</f>
        <v>494000</v>
      </c>
      <c r="F34" s="1291">
        <f>F5</f>
        <v>1500000</v>
      </c>
      <c r="G34" s="1291"/>
      <c r="H34" s="1291">
        <f>H5</f>
        <v>1403929</v>
      </c>
      <c r="I34" s="1306">
        <f t="shared" si="0"/>
        <v>2.8419615384615384</v>
      </c>
      <c r="J34" s="1291">
        <f>J5</f>
        <v>0</v>
      </c>
      <c r="K34" s="1291">
        <f>K5</f>
        <v>1403929</v>
      </c>
      <c r="L34" s="1293">
        <f t="shared" si="1"/>
        <v>2.8419615384615384</v>
      </c>
      <c r="M34" s="1307"/>
    </row>
    <row r="35" spans="1:13">
      <c r="F35" s="220"/>
      <c r="H35" s="220"/>
      <c r="I35" s="220"/>
      <c r="J35" s="220"/>
      <c r="K35" s="220"/>
      <c r="L35" s="220"/>
      <c r="M35" s="220"/>
    </row>
    <row r="36" spans="1:13">
      <c r="E36" s="230"/>
      <c r="F36" s="230"/>
      <c r="G36" s="230"/>
      <c r="H36" s="230"/>
      <c r="I36" s="230"/>
      <c r="J36" s="230"/>
      <c r="K36" s="230"/>
      <c r="L36" s="230"/>
      <c r="M36" s="220"/>
    </row>
    <row r="37" spans="1:13">
      <c r="E37" s="230"/>
      <c r="F37" s="220"/>
      <c r="H37" s="220"/>
      <c r="I37" s="220"/>
      <c r="J37" s="220"/>
      <c r="K37" s="220"/>
      <c r="L37" s="220"/>
      <c r="M37" s="220"/>
    </row>
    <row r="38" spans="1:13">
      <c r="F38" s="220"/>
      <c r="H38" s="220"/>
      <c r="I38" s="220"/>
      <c r="J38" s="220"/>
      <c r="K38" s="220"/>
      <c r="L38" s="220"/>
      <c r="M38" s="220"/>
    </row>
  </sheetData>
  <mergeCells count="7">
    <mergeCell ref="A34:C34"/>
    <mergeCell ref="A1:M1"/>
    <mergeCell ref="B4:C4"/>
    <mergeCell ref="A6:A33"/>
    <mergeCell ref="B6:B33"/>
    <mergeCell ref="M6:M33"/>
    <mergeCell ref="C13:C26"/>
  </mergeCells>
  <printOptions horizontalCentered="1"/>
  <pageMargins left="0.19685039370078741" right="0.19685039370078741" top="0.39370078740157483" bottom="0.19685039370078741" header="0.39370078740157483" footer="0.19685039370078741"/>
  <pageSetup paperSize="9" scale="80" fitToWidth="0" fitToHeight="0" orientation="landscape" r:id="rId1"/>
  <headerFooter alignWithMargins="0"/>
  <colBreaks count="1" manualBreakCount="1">
    <brk id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:M179"/>
  <sheetViews>
    <sheetView view="pageBreakPreview" zoomScale="90" zoomScaleNormal="85" zoomScaleSheetLayoutView="90" workbookViewId="0">
      <selection activeCell="D48" sqref="D48"/>
    </sheetView>
  </sheetViews>
  <sheetFormatPr defaultColWidth="9.140625" defaultRowHeight="14.25"/>
  <cols>
    <col min="1" max="2" width="5.140625" style="381" customWidth="1"/>
    <col min="3" max="3" width="42.28515625" style="381" customWidth="1"/>
    <col min="4" max="4" width="6.42578125" style="381" customWidth="1"/>
    <col min="5" max="5" width="11.28515625" style="381" customWidth="1"/>
    <col min="6" max="6" width="11.140625" style="381" customWidth="1"/>
    <col min="7" max="9" width="10.7109375" style="381" hidden="1" customWidth="1"/>
    <col min="10" max="10" width="14" style="381" hidden="1" customWidth="1"/>
    <col min="11" max="11" width="11.5703125" style="381" customWidth="1"/>
    <col min="12" max="12" width="10.140625" style="900" hidden="1" customWidth="1"/>
    <col min="13" max="13" width="99.7109375" style="381" customWidth="1"/>
    <col min="14" max="14" width="10.85546875" style="381" customWidth="1"/>
    <col min="15" max="16384" width="9.140625" style="381"/>
  </cols>
  <sheetData>
    <row r="1" spans="1:13" ht="63.75" customHeight="1">
      <c r="A1" s="1983" t="s">
        <v>472</v>
      </c>
      <c r="B1" s="1984"/>
      <c r="C1" s="1984"/>
      <c r="D1" s="1984"/>
      <c r="E1" s="1984"/>
      <c r="F1" s="1984"/>
      <c r="G1" s="1984"/>
      <c r="H1" s="1984"/>
      <c r="I1" s="1984"/>
      <c r="J1" s="1984"/>
      <c r="K1" s="1984"/>
      <c r="L1" s="1984"/>
      <c r="M1" s="1984"/>
    </row>
    <row r="2" spans="1:13" ht="20.25" customHeight="1" thickBot="1">
      <c r="A2" s="795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796"/>
      <c r="M2" s="797" t="s">
        <v>0</v>
      </c>
    </row>
    <row r="3" spans="1:13" s="798" customFormat="1" ht="33" customHeight="1">
      <c r="A3" s="1985" t="s">
        <v>37</v>
      </c>
      <c r="B3" s="1987" t="s">
        <v>3</v>
      </c>
      <c r="C3" s="1987"/>
      <c r="D3" s="1989" t="s">
        <v>4</v>
      </c>
      <c r="E3" s="1991" t="s">
        <v>355</v>
      </c>
      <c r="F3" s="1993" t="s">
        <v>149</v>
      </c>
      <c r="G3" s="1993" t="s">
        <v>473</v>
      </c>
      <c r="H3" s="1993" t="s">
        <v>180</v>
      </c>
      <c r="I3" s="1993" t="s">
        <v>39</v>
      </c>
      <c r="J3" s="1996" t="s">
        <v>190</v>
      </c>
      <c r="K3" s="1993" t="s">
        <v>605</v>
      </c>
      <c r="L3" s="1998" t="s">
        <v>474</v>
      </c>
      <c r="M3" s="1993" t="s">
        <v>358</v>
      </c>
    </row>
    <row r="4" spans="1:13" s="798" customFormat="1" ht="36.75" customHeight="1" thickBot="1">
      <c r="A4" s="1986"/>
      <c r="B4" s="1988"/>
      <c r="C4" s="1988"/>
      <c r="D4" s="1990"/>
      <c r="E4" s="1992"/>
      <c r="F4" s="1994"/>
      <c r="G4" s="1995"/>
      <c r="H4" s="1994"/>
      <c r="I4" s="1995"/>
      <c r="J4" s="1997"/>
      <c r="K4" s="1995"/>
      <c r="L4" s="1999"/>
      <c r="M4" s="1995"/>
    </row>
    <row r="5" spans="1:13" ht="13.5" customHeight="1" thickBot="1">
      <c r="A5" s="386" t="s">
        <v>6</v>
      </c>
      <c r="B5" s="1928" t="s">
        <v>7</v>
      </c>
      <c r="C5" s="1928"/>
      <c r="D5" s="386" t="s">
        <v>8</v>
      </c>
      <c r="E5" s="386" t="s">
        <v>9</v>
      </c>
      <c r="F5" s="386" t="s">
        <v>10</v>
      </c>
      <c r="G5" s="435" t="s">
        <v>11</v>
      </c>
      <c r="H5" s="435" t="s">
        <v>10</v>
      </c>
      <c r="I5" s="435" t="s">
        <v>12</v>
      </c>
      <c r="J5" s="435" t="s">
        <v>11</v>
      </c>
      <c r="K5" s="435" t="s">
        <v>11</v>
      </c>
      <c r="L5" s="435" t="s">
        <v>12</v>
      </c>
      <c r="M5" s="435" t="s">
        <v>12</v>
      </c>
    </row>
    <row r="6" spans="1:13" ht="14.25" hidden="1" customHeight="1">
      <c r="A6" s="799" t="s">
        <v>57</v>
      </c>
      <c r="B6" s="764"/>
      <c r="C6" s="800" t="s">
        <v>58</v>
      </c>
      <c r="D6" s="764"/>
      <c r="E6" s="591">
        <f>SUM(E7)</f>
        <v>0</v>
      </c>
      <c r="F6" s="591">
        <f>SUM(F7)</f>
        <v>0</v>
      </c>
      <c r="G6" s="591"/>
      <c r="H6" s="591">
        <f>SUM(H7)</f>
        <v>0</v>
      </c>
      <c r="I6" s="801"/>
      <c r="J6" s="591">
        <f>SUM(J7)</f>
        <v>0</v>
      </c>
      <c r="K6" s="591">
        <f>SUM(K7)</f>
        <v>0</v>
      </c>
      <c r="L6" s="802"/>
      <c r="M6" s="1977" t="s">
        <v>475</v>
      </c>
    </row>
    <row r="7" spans="1:13" ht="15" hidden="1" thickBot="1">
      <c r="A7" s="1929"/>
      <c r="B7" s="1932" t="s">
        <v>476</v>
      </c>
      <c r="C7" s="660"/>
      <c r="D7" s="661"/>
      <c r="E7" s="525">
        <f>SUM(E8,E17)</f>
        <v>0</v>
      </c>
      <c r="F7" s="525">
        <f>SUM(F8,F17)</f>
        <v>0</v>
      </c>
      <c r="G7" s="525"/>
      <c r="H7" s="525">
        <f>SUM(H8,H17)</f>
        <v>0</v>
      </c>
      <c r="I7" s="803"/>
      <c r="J7" s="525">
        <f>SUM(J8,J17)</f>
        <v>0</v>
      </c>
      <c r="K7" s="525">
        <f>SUM(K8,K17)</f>
        <v>0</v>
      </c>
      <c r="L7" s="804"/>
      <c r="M7" s="1978"/>
    </row>
    <row r="8" spans="1:13" ht="15" hidden="1" thickBot="1">
      <c r="A8" s="1930"/>
      <c r="B8" s="1932"/>
      <c r="C8" s="664" t="s">
        <v>18</v>
      </c>
      <c r="D8" s="665"/>
      <c r="E8" s="528">
        <f>SUM(E9,E12,E13,E14,E15,E16)</f>
        <v>0</v>
      </c>
      <c r="F8" s="528">
        <f>SUM(F9,F12,F13,F14,F15,F16)</f>
        <v>0</v>
      </c>
      <c r="G8" s="528">
        <f>SUM(G9,G12,G13,G14,G15,G16)</f>
        <v>0</v>
      </c>
      <c r="H8" s="528">
        <f>SUM(H9,H12,H13,H14,H15,H16)</f>
        <v>0</v>
      </c>
      <c r="I8" s="805"/>
      <c r="J8" s="528">
        <f>SUM(J9,J12,J13,J14,J15,J16)</f>
        <v>0</v>
      </c>
      <c r="K8" s="528">
        <f>SUM(K9,K12,K13,K14,K15,K16)</f>
        <v>0</v>
      </c>
      <c r="L8" s="806"/>
      <c r="M8" s="1978"/>
    </row>
    <row r="9" spans="1:13" ht="15" hidden="1" thickBot="1">
      <c r="A9" s="1930"/>
      <c r="B9" s="1932"/>
      <c r="C9" s="668" t="s">
        <v>19</v>
      </c>
      <c r="D9" s="669"/>
      <c r="E9" s="513">
        <f>SUM(E10:E11)</f>
        <v>0</v>
      </c>
      <c r="F9" s="513">
        <f>SUM(F10:F11)</f>
        <v>0</v>
      </c>
      <c r="G9" s="513"/>
      <c r="H9" s="513">
        <f>SUM(H10:H11)</f>
        <v>0</v>
      </c>
      <c r="I9" s="805"/>
      <c r="J9" s="513">
        <f>SUM(J10:J11)</f>
        <v>0</v>
      </c>
      <c r="K9" s="513">
        <f>SUM(K10:K11)</f>
        <v>0</v>
      </c>
      <c r="L9" s="807"/>
      <c r="M9" s="1978"/>
    </row>
    <row r="10" spans="1:13" ht="15" hidden="1" thickBot="1">
      <c r="A10" s="1930"/>
      <c r="B10" s="1932"/>
      <c r="C10" s="668" t="s">
        <v>20</v>
      </c>
      <c r="D10" s="669"/>
      <c r="E10" s="513"/>
      <c r="F10" s="513"/>
      <c r="G10" s="513"/>
      <c r="H10" s="513"/>
      <c r="I10" s="805"/>
      <c r="J10" s="513"/>
      <c r="K10" s="513">
        <f t="shared" ref="K10:K16" si="0">H10+J10</f>
        <v>0</v>
      </c>
      <c r="L10" s="807"/>
      <c r="M10" s="1978"/>
    </row>
    <row r="11" spans="1:13" ht="26.25" hidden="1" customHeight="1">
      <c r="A11" s="1930"/>
      <c r="B11" s="1932"/>
      <c r="C11" s="672" t="s">
        <v>21</v>
      </c>
      <c r="D11" s="673"/>
      <c r="E11" s="513"/>
      <c r="F11" s="513"/>
      <c r="G11" s="513"/>
      <c r="H11" s="513"/>
      <c r="I11" s="805"/>
      <c r="J11" s="513"/>
      <c r="K11" s="513">
        <f t="shared" si="0"/>
        <v>0</v>
      </c>
      <c r="L11" s="807"/>
      <c r="M11" s="1978"/>
    </row>
    <row r="12" spans="1:13" ht="15" hidden="1" thickBot="1">
      <c r="A12" s="1930"/>
      <c r="B12" s="1932"/>
      <c r="C12" s="404" t="s">
        <v>23</v>
      </c>
      <c r="D12" s="669">
        <v>2360</v>
      </c>
      <c r="E12" s="513">
        <v>0</v>
      </c>
      <c r="F12" s="513"/>
      <c r="G12" s="513"/>
      <c r="H12" s="513">
        <v>0</v>
      </c>
      <c r="I12" s="805"/>
      <c r="J12" s="513"/>
      <c r="K12" s="513">
        <f t="shared" si="0"/>
        <v>0</v>
      </c>
      <c r="L12" s="807"/>
      <c r="M12" s="1978"/>
    </row>
    <row r="13" spans="1:13" ht="15" hidden="1" thickBot="1">
      <c r="A13" s="1930"/>
      <c r="B13" s="1932"/>
      <c r="C13" s="668" t="s">
        <v>24</v>
      </c>
      <c r="D13" s="669"/>
      <c r="E13" s="513"/>
      <c r="F13" s="513"/>
      <c r="G13" s="513"/>
      <c r="H13" s="513"/>
      <c r="I13" s="808"/>
      <c r="J13" s="513"/>
      <c r="K13" s="513">
        <f t="shared" si="0"/>
        <v>0</v>
      </c>
      <c r="L13" s="807"/>
      <c r="M13" s="1978"/>
    </row>
    <row r="14" spans="1:13" ht="23.25" hidden="1" thickBot="1">
      <c r="A14" s="1930"/>
      <c r="B14" s="1932"/>
      <c r="C14" s="174" t="s">
        <v>25</v>
      </c>
      <c r="D14" s="669"/>
      <c r="E14" s="513"/>
      <c r="F14" s="513"/>
      <c r="G14" s="513"/>
      <c r="H14" s="513"/>
      <c r="I14" s="808"/>
      <c r="J14" s="513"/>
      <c r="K14" s="513">
        <f t="shared" si="0"/>
        <v>0</v>
      </c>
      <c r="L14" s="807"/>
      <c r="M14" s="1978"/>
    </row>
    <row r="15" spans="1:13" ht="15" hidden="1" thickBot="1">
      <c r="A15" s="1930"/>
      <c r="B15" s="1932"/>
      <c r="C15" s="668" t="s">
        <v>26</v>
      </c>
      <c r="D15" s="669"/>
      <c r="E15" s="513"/>
      <c r="F15" s="513"/>
      <c r="G15" s="513"/>
      <c r="H15" s="513"/>
      <c r="I15" s="808"/>
      <c r="J15" s="513"/>
      <c r="K15" s="513">
        <f t="shared" si="0"/>
        <v>0</v>
      </c>
      <c r="L15" s="807"/>
      <c r="M15" s="1978"/>
    </row>
    <row r="16" spans="1:13" ht="15" hidden="1" thickBot="1">
      <c r="A16" s="1930"/>
      <c r="B16" s="1932"/>
      <c r="C16" s="668" t="s">
        <v>27</v>
      </c>
      <c r="D16" s="669"/>
      <c r="E16" s="513"/>
      <c r="F16" s="513"/>
      <c r="G16" s="513"/>
      <c r="H16" s="513"/>
      <c r="I16" s="808"/>
      <c r="J16" s="513"/>
      <c r="K16" s="513">
        <f t="shared" si="0"/>
        <v>0</v>
      </c>
      <c r="L16" s="807"/>
      <c r="M16" s="1978"/>
    </row>
    <row r="17" spans="1:13" ht="15" hidden="1" thickBot="1">
      <c r="A17" s="1930"/>
      <c r="B17" s="1932"/>
      <c r="C17" s="676" t="s">
        <v>28</v>
      </c>
      <c r="D17" s="677"/>
      <c r="E17" s="528">
        <f>SUM(E18,E20,E21)</f>
        <v>0</v>
      </c>
      <c r="F17" s="528">
        <f>SUM(F18,F20,F21)</f>
        <v>0</v>
      </c>
      <c r="G17" s="528">
        <f>SUM(G18,G20,G21)</f>
        <v>0</v>
      </c>
      <c r="H17" s="528">
        <f>SUM(H18,H20,H21)</f>
        <v>0</v>
      </c>
      <c r="I17" s="808"/>
      <c r="J17" s="528">
        <f>SUM(J18,J20,J21)</f>
        <v>0</v>
      </c>
      <c r="K17" s="528">
        <f>SUM(K18,K20,K21)</f>
        <v>0</v>
      </c>
      <c r="L17" s="806"/>
      <c r="M17" s="1978"/>
    </row>
    <row r="18" spans="1:13" ht="15" hidden="1" thickBot="1">
      <c r="A18" s="1930"/>
      <c r="B18" s="1932"/>
      <c r="C18" s="404" t="s">
        <v>29</v>
      </c>
      <c r="D18" s="669"/>
      <c r="E18" s="513"/>
      <c r="F18" s="513"/>
      <c r="G18" s="513"/>
      <c r="H18" s="513"/>
      <c r="I18" s="809"/>
      <c r="J18" s="513"/>
      <c r="K18" s="513">
        <f>J18+H18</f>
        <v>0</v>
      </c>
      <c r="L18" s="807"/>
      <c r="M18" s="1978"/>
    </row>
    <row r="19" spans="1:13" ht="23.25" hidden="1" thickBot="1">
      <c r="A19" s="1930"/>
      <c r="B19" s="1932"/>
      <c r="C19" s="174" t="s">
        <v>30</v>
      </c>
      <c r="D19" s="673"/>
      <c r="E19" s="513"/>
      <c r="F19" s="513"/>
      <c r="G19" s="513"/>
      <c r="H19" s="513"/>
      <c r="I19" s="808"/>
      <c r="J19" s="513"/>
      <c r="K19" s="513">
        <f>H19+J19</f>
        <v>0</v>
      </c>
      <c r="L19" s="807"/>
      <c r="M19" s="1978"/>
    </row>
    <row r="20" spans="1:13" ht="15" hidden="1" thickBot="1">
      <c r="A20" s="1930"/>
      <c r="B20" s="1932"/>
      <c r="C20" s="668" t="s">
        <v>31</v>
      </c>
      <c r="D20" s="669"/>
      <c r="E20" s="513"/>
      <c r="F20" s="513"/>
      <c r="G20" s="513"/>
      <c r="H20" s="513"/>
      <c r="I20" s="808"/>
      <c r="J20" s="513"/>
      <c r="K20" s="513">
        <f>H20+J20</f>
        <v>0</v>
      </c>
      <c r="L20" s="807"/>
      <c r="M20" s="1978"/>
    </row>
    <row r="21" spans="1:13" ht="15" hidden="1" thickBot="1">
      <c r="A21" s="1930"/>
      <c r="B21" s="1972"/>
      <c r="C21" s="169" t="s">
        <v>32</v>
      </c>
      <c r="D21" s="810"/>
      <c r="E21" s="172"/>
      <c r="F21" s="172"/>
      <c r="G21" s="172"/>
      <c r="H21" s="172"/>
      <c r="I21" s="811"/>
      <c r="J21" s="172"/>
      <c r="K21" s="579">
        <f>H21+J21</f>
        <v>0</v>
      </c>
      <c r="L21" s="807"/>
      <c r="M21" s="1978"/>
    </row>
    <row r="22" spans="1:13">
      <c r="A22" s="392" t="s">
        <v>14</v>
      </c>
      <c r="B22" s="393"/>
      <c r="C22" s="812" t="s">
        <v>363</v>
      </c>
      <c r="D22" s="813"/>
      <c r="E22" s="814">
        <f>SUM(E23,E40,E105,E62,E80)</f>
        <v>1337829</v>
      </c>
      <c r="F22" s="814">
        <f>SUM(F23,F40,F105,F62,F80)</f>
        <v>1397829</v>
      </c>
      <c r="G22" s="814" t="e">
        <f>SUM(G23,G40,G105,G62,G80)</f>
        <v>#REF!</v>
      </c>
      <c r="H22" s="814">
        <f>SUM(H23,H40,H105,H62,H80)</f>
        <v>1492763</v>
      </c>
      <c r="I22" s="815">
        <f>H22/E22</f>
        <v>1.1158100175732475</v>
      </c>
      <c r="J22" s="814">
        <f>SUM(J23,J40,J105,J62,J80)</f>
        <v>-780</v>
      </c>
      <c r="K22" s="814">
        <f>SUM(K23,K40,K105,K62,K80)</f>
        <v>1491983</v>
      </c>
      <c r="L22" s="816">
        <f>K22/E22</f>
        <v>1.1152269834186581</v>
      </c>
      <c r="M22" s="817"/>
    </row>
    <row r="23" spans="1:13">
      <c r="A23" s="1966"/>
      <c r="B23" s="1932" t="s">
        <v>114</v>
      </c>
      <c r="C23" s="660" t="s">
        <v>477</v>
      </c>
      <c r="D23" s="818"/>
      <c r="E23" s="819">
        <f>SUM(E24,E35)</f>
        <v>90000</v>
      </c>
      <c r="F23" s="819">
        <f>SUM(F24,F35)</f>
        <v>110000</v>
      </c>
      <c r="G23" s="819">
        <f>SUM(G24,G35)</f>
        <v>0</v>
      </c>
      <c r="H23" s="819">
        <f>SUM(H24,H35)</f>
        <v>110000</v>
      </c>
      <c r="I23" s="820">
        <f>H23/E23</f>
        <v>1.2222222222222223</v>
      </c>
      <c r="J23" s="819">
        <f>SUM(J24,J35)</f>
        <v>0</v>
      </c>
      <c r="K23" s="819">
        <f>SUM(K24,K35)</f>
        <v>110000</v>
      </c>
      <c r="L23" s="821">
        <f>K23/E23</f>
        <v>1.2222222222222223</v>
      </c>
      <c r="M23" s="1969" t="s">
        <v>478</v>
      </c>
    </row>
    <row r="24" spans="1:13">
      <c r="A24" s="1967"/>
      <c r="B24" s="1932"/>
      <c r="C24" s="664" t="s">
        <v>18</v>
      </c>
      <c r="D24" s="822"/>
      <c r="E24" s="823">
        <f>SUM(E25,E30,E31,E32,E33,E34)</f>
        <v>90000</v>
      </c>
      <c r="F24" s="823">
        <f>SUM(F25,F30,F31,F32,F33,F34)</f>
        <v>110000</v>
      </c>
      <c r="G24" s="823">
        <f>SUM(G25,G30,G31,G32,G33,G34)</f>
        <v>0</v>
      </c>
      <c r="H24" s="823">
        <f>SUM(H25,H30,H31,H32,H33,H34)</f>
        <v>110000</v>
      </c>
      <c r="I24" s="824">
        <f>H24/E24</f>
        <v>1.2222222222222223</v>
      </c>
      <c r="J24" s="823">
        <f>SUM(J25,J30,J31,J32,J33,J34)</f>
        <v>0</v>
      </c>
      <c r="K24" s="823">
        <f>SUM(K25,K30,K31,K32,K33,K34)</f>
        <v>110000</v>
      </c>
      <c r="L24" s="825">
        <f>K24/E24</f>
        <v>1.2222222222222223</v>
      </c>
      <c r="M24" s="1970"/>
    </row>
    <row r="25" spans="1:13">
      <c r="A25" s="1967"/>
      <c r="B25" s="1932"/>
      <c r="C25" s="668" t="s">
        <v>19</v>
      </c>
      <c r="D25" s="826"/>
      <c r="E25" s="827">
        <f>SUM(E26:E27)</f>
        <v>90000</v>
      </c>
      <c r="F25" s="827">
        <f>SUM(F26:F27)</f>
        <v>110000</v>
      </c>
      <c r="G25" s="827">
        <f>SUM(G26:G27)</f>
        <v>0</v>
      </c>
      <c r="H25" s="827">
        <f>SUM(H26:H27)</f>
        <v>110000</v>
      </c>
      <c r="I25" s="828">
        <f>H25/E25</f>
        <v>1.2222222222222223</v>
      </c>
      <c r="J25" s="827">
        <f>SUM(J26:J27)</f>
        <v>0</v>
      </c>
      <c r="K25" s="827">
        <f>SUM(K26:K27)</f>
        <v>110000</v>
      </c>
      <c r="L25" s="829">
        <f t="shared" ref="L25:L29" si="1">K25/E25</f>
        <v>1.2222222222222223</v>
      </c>
      <c r="M25" s="1970"/>
    </row>
    <row r="26" spans="1:13">
      <c r="A26" s="1967"/>
      <c r="B26" s="1932"/>
      <c r="C26" s="668" t="s">
        <v>20</v>
      </c>
      <c r="D26" s="826"/>
      <c r="E26" s="827"/>
      <c r="F26" s="827"/>
      <c r="G26" s="830"/>
      <c r="H26" s="830"/>
      <c r="I26" s="828"/>
      <c r="J26" s="830"/>
      <c r="K26" s="830"/>
      <c r="L26" s="829"/>
      <c r="M26" s="1970"/>
    </row>
    <row r="27" spans="1:13">
      <c r="A27" s="1967"/>
      <c r="B27" s="1932"/>
      <c r="C27" s="1971" t="s">
        <v>21</v>
      </c>
      <c r="D27" s="831" t="s">
        <v>22</v>
      </c>
      <c r="E27" s="832">
        <f>SUM(E28:E29)</f>
        <v>90000</v>
      </c>
      <c r="F27" s="832">
        <f>SUM(F28:F29)</f>
        <v>110000</v>
      </c>
      <c r="G27" s="832"/>
      <c r="H27" s="832">
        <f>SUM(H28:H29)</f>
        <v>110000</v>
      </c>
      <c r="I27" s="828">
        <f>H27/E27</f>
        <v>1.2222222222222223</v>
      </c>
      <c r="J27" s="832">
        <f>SUM(J28:J29)</f>
        <v>0</v>
      </c>
      <c r="K27" s="832">
        <f>SUM(K28:K29)</f>
        <v>110000</v>
      </c>
      <c r="L27" s="829">
        <f t="shared" si="1"/>
        <v>1.2222222222222223</v>
      </c>
      <c r="M27" s="1970"/>
    </row>
    <row r="28" spans="1:13">
      <c r="A28" s="1967"/>
      <c r="B28" s="1932"/>
      <c r="C28" s="1971"/>
      <c r="D28" s="833">
        <v>4210</v>
      </c>
      <c r="E28" s="834">
        <v>45000</v>
      </c>
      <c r="F28" s="835">
        <v>65000</v>
      </c>
      <c r="G28" s="836"/>
      <c r="H28" s="836">
        <v>65000</v>
      </c>
      <c r="I28" s="837">
        <f>H28/E28</f>
        <v>1.4444444444444444</v>
      </c>
      <c r="J28" s="836"/>
      <c r="K28" s="836">
        <f>H28+J28</f>
        <v>65000</v>
      </c>
      <c r="L28" s="838">
        <f t="shared" si="1"/>
        <v>1.4444444444444444</v>
      </c>
      <c r="M28" s="1970"/>
    </row>
    <row r="29" spans="1:13">
      <c r="A29" s="1967"/>
      <c r="B29" s="1932"/>
      <c r="C29" s="1971"/>
      <c r="D29" s="833">
        <v>4300</v>
      </c>
      <c r="E29" s="834">
        <v>45000</v>
      </c>
      <c r="F29" s="834">
        <v>45000</v>
      </c>
      <c r="G29" s="836"/>
      <c r="H29" s="836">
        <v>45000</v>
      </c>
      <c r="I29" s="837">
        <f>H29/E29</f>
        <v>1</v>
      </c>
      <c r="J29" s="836"/>
      <c r="K29" s="836">
        <f>H29+J29</f>
        <v>45000</v>
      </c>
      <c r="L29" s="838">
        <f t="shared" si="1"/>
        <v>1</v>
      </c>
      <c r="M29" s="1970"/>
    </row>
    <row r="30" spans="1:13">
      <c r="A30" s="1967"/>
      <c r="B30" s="1932"/>
      <c r="C30" s="668" t="s">
        <v>23</v>
      </c>
      <c r="D30" s="826"/>
      <c r="E30" s="827"/>
      <c r="F30" s="827"/>
      <c r="G30" s="830">
        <f>E30*0.9</f>
        <v>0</v>
      </c>
      <c r="H30" s="830"/>
      <c r="I30" s="828"/>
      <c r="J30" s="830"/>
      <c r="K30" s="830"/>
      <c r="L30" s="829"/>
      <c r="M30" s="1970"/>
    </row>
    <row r="31" spans="1:13">
      <c r="A31" s="1967"/>
      <c r="B31" s="1932"/>
      <c r="C31" s="668" t="s">
        <v>24</v>
      </c>
      <c r="D31" s="826"/>
      <c r="E31" s="827"/>
      <c r="F31" s="827"/>
      <c r="G31" s="830"/>
      <c r="H31" s="830"/>
      <c r="I31" s="828"/>
      <c r="J31" s="830"/>
      <c r="K31" s="830"/>
      <c r="L31" s="829"/>
      <c r="M31" s="1970"/>
    </row>
    <row r="32" spans="1:13" ht="24" customHeight="1">
      <c r="A32" s="1967"/>
      <c r="B32" s="1932"/>
      <c r="C32" s="672" t="s">
        <v>25</v>
      </c>
      <c r="D32" s="831"/>
      <c r="E32" s="832"/>
      <c r="F32" s="832"/>
      <c r="G32" s="830"/>
      <c r="H32" s="830"/>
      <c r="I32" s="828"/>
      <c r="J32" s="830"/>
      <c r="K32" s="830"/>
      <c r="L32" s="829"/>
      <c r="M32" s="1970"/>
    </row>
    <row r="33" spans="1:13">
      <c r="A33" s="1967"/>
      <c r="B33" s="1932"/>
      <c r="C33" s="668" t="s">
        <v>26</v>
      </c>
      <c r="D33" s="826"/>
      <c r="E33" s="827"/>
      <c r="F33" s="827"/>
      <c r="G33" s="830"/>
      <c r="H33" s="830"/>
      <c r="I33" s="824"/>
      <c r="J33" s="830"/>
      <c r="K33" s="830"/>
      <c r="L33" s="829"/>
      <c r="M33" s="1970"/>
    </row>
    <row r="34" spans="1:13">
      <c r="A34" s="1967"/>
      <c r="B34" s="1932"/>
      <c r="C34" s="668" t="s">
        <v>27</v>
      </c>
      <c r="D34" s="826"/>
      <c r="E34" s="827"/>
      <c r="F34" s="827"/>
      <c r="G34" s="830"/>
      <c r="H34" s="830"/>
      <c r="I34" s="824"/>
      <c r="J34" s="830"/>
      <c r="K34" s="830"/>
      <c r="L34" s="829"/>
      <c r="M34" s="1970"/>
    </row>
    <row r="35" spans="1:13" ht="20.25" customHeight="1">
      <c r="A35" s="1967"/>
      <c r="B35" s="1932"/>
      <c r="C35" s="676" t="s">
        <v>28</v>
      </c>
      <c r="D35" s="822"/>
      <c r="E35" s="839">
        <f>SUM(E36,E38,E39)</f>
        <v>0</v>
      </c>
      <c r="F35" s="839">
        <f>SUM(F36,F38,F39)</f>
        <v>0</v>
      </c>
      <c r="G35" s="839">
        <f>SUM(G36,G38,G39)</f>
        <v>0</v>
      </c>
      <c r="H35" s="839">
        <f>SUM(H36,H38,H39)</f>
        <v>0</v>
      </c>
      <c r="I35" s="824"/>
      <c r="J35" s="839">
        <f>SUM(J36,J38,J39)</f>
        <v>0</v>
      </c>
      <c r="K35" s="839">
        <f>SUM(K36,K38,K39)</f>
        <v>0</v>
      </c>
      <c r="L35" s="840"/>
      <c r="M35" s="1970"/>
    </row>
    <row r="36" spans="1:13">
      <c r="A36" s="1967"/>
      <c r="B36" s="1932"/>
      <c r="C36" s="668" t="s">
        <v>29</v>
      </c>
      <c r="D36" s="826"/>
      <c r="E36" s="827"/>
      <c r="F36" s="827"/>
      <c r="G36" s="830"/>
      <c r="H36" s="830"/>
      <c r="I36" s="824"/>
      <c r="J36" s="830"/>
      <c r="K36" s="830"/>
      <c r="L36" s="829"/>
      <c r="M36" s="1970"/>
    </row>
    <row r="37" spans="1:13" ht="22.5">
      <c r="A37" s="1967"/>
      <c r="B37" s="1932"/>
      <c r="C37" s="672" t="s">
        <v>479</v>
      </c>
      <c r="D37" s="831"/>
      <c r="E37" s="832"/>
      <c r="F37" s="832"/>
      <c r="G37" s="830"/>
      <c r="H37" s="830"/>
      <c r="I37" s="824"/>
      <c r="J37" s="830"/>
      <c r="K37" s="830"/>
      <c r="L37" s="829"/>
      <c r="M37" s="1970"/>
    </row>
    <row r="38" spans="1:13">
      <c r="A38" s="1967"/>
      <c r="B38" s="1932"/>
      <c r="C38" s="668" t="s">
        <v>31</v>
      </c>
      <c r="D38" s="826"/>
      <c r="E38" s="827"/>
      <c r="F38" s="827"/>
      <c r="G38" s="830"/>
      <c r="H38" s="830"/>
      <c r="I38" s="824"/>
      <c r="J38" s="830"/>
      <c r="K38" s="830"/>
      <c r="L38" s="829"/>
      <c r="M38" s="1970"/>
    </row>
    <row r="39" spans="1:13">
      <c r="A39" s="1967"/>
      <c r="B39" s="1932"/>
      <c r="C39" s="668" t="s">
        <v>32</v>
      </c>
      <c r="D39" s="826"/>
      <c r="E39" s="827"/>
      <c r="F39" s="827"/>
      <c r="G39" s="830"/>
      <c r="H39" s="830"/>
      <c r="I39" s="824"/>
      <c r="J39" s="823"/>
      <c r="K39" s="823"/>
      <c r="L39" s="825"/>
      <c r="M39" s="1970"/>
    </row>
    <row r="40" spans="1:13" ht="24.75" customHeight="1">
      <c r="A40" s="1967"/>
      <c r="B40" s="1972" t="s">
        <v>67</v>
      </c>
      <c r="C40" s="660" t="s">
        <v>68</v>
      </c>
      <c r="D40" s="818"/>
      <c r="E40" s="819">
        <f>SUM(E41,E57)</f>
        <v>968536</v>
      </c>
      <c r="F40" s="819">
        <f>SUM(F41,F57)</f>
        <v>948536</v>
      </c>
      <c r="G40" s="819">
        <f>SUM(G41,G57)</f>
        <v>0</v>
      </c>
      <c r="H40" s="819">
        <f>SUM(H41,H57)</f>
        <v>1091563</v>
      </c>
      <c r="I40" s="820">
        <f t="shared" ref="I40:I52" si="2">H40/E40</f>
        <v>1.1270236728423104</v>
      </c>
      <c r="J40" s="819">
        <f>SUM(J41,J57)</f>
        <v>-29780</v>
      </c>
      <c r="K40" s="819">
        <f>SUM(K41,K57)</f>
        <v>1061783</v>
      </c>
      <c r="L40" s="821">
        <f>K40/E40</f>
        <v>1.0962762354729199</v>
      </c>
      <c r="M40" s="1953" t="s">
        <v>480</v>
      </c>
    </row>
    <row r="41" spans="1:13" ht="23.25" customHeight="1">
      <c r="A41" s="1967"/>
      <c r="B41" s="1944"/>
      <c r="C41" s="664" t="s">
        <v>18</v>
      </c>
      <c r="D41" s="822"/>
      <c r="E41" s="823">
        <f>SUM(E42,E52,E53,E54,E55,E56)</f>
        <v>968536</v>
      </c>
      <c r="F41" s="823">
        <f>SUM(F42,F52,F53,F54,F55,F56)</f>
        <v>948536</v>
      </c>
      <c r="G41" s="823">
        <f>SUM(G42,G52,G53,G54,G55,G56)</f>
        <v>0</v>
      </c>
      <c r="H41" s="823">
        <f>SUM(H42,H52,H53,H54,H55,H56)</f>
        <v>1091563</v>
      </c>
      <c r="I41" s="824">
        <f t="shared" si="2"/>
        <v>1.1270236728423104</v>
      </c>
      <c r="J41" s="823">
        <f>SUM(J42,J52,J53,J54,J55,J56)</f>
        <v>-29780</v>
      </c>
      <c r="K41" s="823">
        <f>SUM(K42,K52,K53,K54,K55,K56)</f>
        <v>1061783</v>
      </c>
      <c r="L41" s="841">
        <f t="shared" ref="L41:L52" si="3">K41/E41</f>
        <v>1.0962762354729199</v>
      </c>
      <c r="M41" s="1974"/>
    </row>
    <row r="42" spans="1:13" ht="23.25" customHeight="1">
      <c r="A42" s="1967"/>
      <c r="B42" s="1944"/>
      <c r="C42" s="668" t="s">
        <v>19</v>
      </c>
      <c r="D42" s="826"/>
      <c r="E42" s="827">
        <f>SUM(E43,E47)</f>
        <v>668736</v>
      </c>
      <c r="F42" s="827">
        <f t="shared" ref="F42:H42" si="4">SUM(F43,F47)</f>
        <v>648736</v>
      </c>
      <c r="G42" s="827">
        <f t="shared" si="4"/>
        <v>0</v>
      </c>
      <c r="H42" s="827">
        <f t="shared" si="4"/>
        <v>761783</v>
      </c>
      <c r="I42" s="828">
        <f t="shared" si="2"/>
        <v>1.139138613742942</v>
      </c>
      <c r="J42" s="827">
        <f t="shared" ref="J42:K42" si="5">SUM(J43,J47)</f>
        <v>0</v>
      </c>
      <c r="K42" s="827">
        <f t="shared" si="5"/>
        <v>761783</v>
      </c>
      <c r="L42" s="842">
        <f t="shared" si="3"/>
        <v>1.139138613742942</v>
      </c>
      <c r="M42" s="1974"/>
    </row>
    <row r="43" spans="1:13" ht="23.25" customHeight="1">
      <c r="A43" s="1967"/>
      <c r="B43" s="1944"/>
      <c r="C43" s="1976" t="s">
        <v>20</v>
      </c>
      <c r="D43" s="826" t="s">
        <v>366</v>
      </c>
      <c r="E43" s="827">
        <f>SUM(E44:E46)</f>
        <v>16400</v>
      </c>
      <c r="F43" s="827">
        <f t="shared" ref="F43:G43" si="6">SUM(F44:F46)</f>
        <v>16400</v>
      </c>
      <c r="G43" s="827">
        <f t="shared" si="6"/>
        <v>0</v>
      </c>
      <c r="H43" s="827">
        <f>SUM(H44:H46)</f>
        <v>18860</v>
      </c>
      <c r="I43" s="828">
        <f t="shared" si="2"/>
        <v>1.1499999999999999</v>
      </c>
      <c r="J43" s="827">
        <f t="shared" ref="J43:K43" si="7">SUM(J44:J46)</f>
        <v>0</v>
      </c>
      <c r="K43" s="827">
        <f t="shared" si="7"/>
        <v>18860</v>
      </c>
      <c r="L43" s="842">
        <f t="shared" si="3"/>
        <v>1.1499999999999999</v>
      </c>
      <c r="M43" s="1974"/>
    </row>
    <row r="44" spans="1:13" s="846" customFormat="1" ht="23.25" customHeight="1">
      <c r="A44" s="1967"/>
      <c r="B44" s="1944"/>
      <c r="C44" s="1976"/>
      <c r="D44" s="843">
        <v>4110</v>
      </c>
      <c r="E44" s="844">
        <v>600</v>
      </c>
      <c r="F44" s="844">
        <v>600</v>
      </c>
      <c r="G44" s="836"/>
      <c r="H44" s="836">
        <v>600</v>
      </c>
      <c r="I44" s="837">
        <f t="shared" si="2"/>
        <v>1</v>
      </c>
      <c r="J44" s="836"/>
      <c r="K44" s="836">
        <f>H44+J44</f>
        <v>600</v>
      </c>
      <c r="L44" s="845">
        <f t="shared" si="3"/>
        <v>1</v>
      </c>
      <c r="M44" s="1974"/>
    </row>
    <row r="45" spans="1:13" s="846" customFormat="1" ht="23.25" customHeight="1">
      <c r="A45" s="1967"/>
      <c r="B45" s="1944"/>
      <c r="C45" s="1976"/>
      <c r="D45" s="843">
        <v>4120</v>
      </c>
      <c r="E45" s="844">
        <v>300</v>
      </c>
      <c r="F45" s="844">
        <v>300</v>
      </c>
      <c r="G45" s="836"/>
      <c r="H45" s="836">
        <v>300</v>
      </c>
      <c r="I45" s="837">
        <f t="shared" si="2"/>
        <v>1</v>
      </c>
      <c r="J45" s="836"/>
      <c r="K45" s="836">
        <f>H45+J45</f>
        <v>300</v>
      </c>
      <c r="L45" s="845">
        <f t="shared" si="3"/>
        <v>1</v>
      </c>
      <c r="M45" s="1974"/>
    </row>
    <row r="46" spans="1:13" s="846" customFormat="1" ht="23.25" customHeight="1">
      <c r="A46" s="1967"/>
      <c r="B46" s="1944"/>
      <c r="C46" s="1976"/>
      <c r="D46" s="843">
        <v>4170</v>
      </c>
      <c r="E46" s="844">
        <v>15500</v>
      </c>
      <c r="F46" s="844">
        <v>15500</v>
      </c>
      <c r="G46" s="836"/>
      <c r="H46" s="836">
        <v>17960</v>
      </c>
      <c r="I46" s="837">
        <f t="shared" si="2"/>
        <v>1.1587096774193548</v>
      </c>
      <c r="J46" s="836"/>
      <c r="K46" s="836">
        <f>H46+J46</f>
        <v>17960</v>
      </c>
      <c r="L46" s="845">
        <f t="shared" si="3"/>
        <v>1.1587096774193548</v>
      </c>
      <c r="M46" s="1974"/>
    </row>
    <row r="47" spans="1:13" ht="23.25" customHeight="1">
      <c r="A47" s="1967"/>
      <c r="B47" s="1944"/>
      <c r="C47" s="1971" t="s">
        <v>21</v>
      </c>
      <c r="D47" s="831" t="s">
        <v>22</v>
      </c>
      <c r="E47" s="832">
        <f>SUM(E48:E51)</f>
        <v>652336</v>
      </c>
      <c r="F47" s="832">
        <f>SUM(F48:F51)</f>
        <v>632336</v>
      </c>
      <c r="G47" s="832">
        <f>SUM(G48:G51)</f>
        <v>0</v>
      </c>
      <c r="H47" s="832">
        <f>SUM(H48:H51)</f>
        <v>742923</v>
      </c>
      <c r="I47" s="828">
        <f t="shared" si="2"/>
        <v>1.1388655539476589</v>
      </c>
      <c r="J47" s="832">
        <f>SUM(J49:J51)</f>
        <v>0</v>
      </c>
      <c r="K47" s="832">
        <f>SUM(K48:K51)</f>
        <v>742923</v>
      </c>
      <c r="L47" s="842">
        <f t="shared" si="3"/>
        <v>1.1388655539476589</v>
      </c>
      <c r="M47" s="1974"/>
    </row>
    <row r="48" spans="1:13" ht="23.25" customHeight="1">
      <c r="A48" s="1967"/>
      <c r="B48" s="1944"/>
      <c r="C48" s="1971"/>
      <c r="D48" s="833">
        <v>4190</v>
      </c>
      <c r="E48" s="834">
        <v>30000</v>
      </c>
      <c r="F48" s="834">
        <v>30000</v>
      </c>
      <c r="G48" s="832"/>
      <c r="H48" s="832">
        <v>30000</v>
      </c>
      <c r="I48" s="828">
        <f t="shared" si="2"/>
        <v>1</v>
      </c>
      <c r="J48" s="832"/>
      <c r="K48" s="830">
        <f t="shared" ref="K48:K53" si="8">H48+J48</f>
        <v>30000</v>
      </c>
      <c r="L48" s="845">
        <f t="shared" si="3"/>
        <v>1</v>
      </c>
      <c r="M48" s="1974"/>
    </row>
    <row r="49" spans="1:13" ht="23.25" customHeight="1">
      <c r="A49" s="1967"/>
      <c r="B49" s="1944"/>
      <c r="C49" s="1971"/>
      <c r="D49" s="833">
        <v>4210</v>
      </c>
      <c r="E49" s="834">
        <v>102000</v>
      </c>
      <c r="F49" s="835">
        <v>162000</v>
      </c>
      <c r="G49" s="836"/>
      <c r="H49" s="836">
        <v>122000</v>
      </c>
      <c r="I49" s="837">
        <f t="shared" si="2"/>
        <v>1.196078431372549</v>
      </c>
      <c r="J49" s="836"/>
      <c r="K49" s="830">
        <f t="shared" si="8"/>
        <v>122000</v>
      </c>
      <c r="L49" s="845">
        <f t="shared" si="3"/>
        <v>1.196078431372549</v>
      </c>
      <c r="M49" s="1974"/>
    </row>
    <row r="50" spans="1:13" ht="23.25" customHeight="1">
      <c r="A50" s="1967"/>
      <c r="B50" s="1973"/>
      <c r="C50" s="1971"/>
      <c r="D50" s="833">
        <v>4300</v>
      </c>
      <c r="E50" s="834">
        <v>495336</v>
      </c>
      <c r="F50" s="835">
        <v>415336</v>
      </c>
      <c r="G50" s="836"/>
      <c r="H50" s="836">
        <v>560923</v>
      </c>
      <c r="I50" s="837">
        <f t="shared" si="2"/>
        <v>1.1324091121985884</v>
      </c>
      <c r="J50" s="836"/>
      <c r="K50" s="830">
        <f t="shared" si="8"/>
        <v>560923</v>
      </c>
      <c r="L50" s="845">
        <f t="shared" si="3"/>
        <v>1.1324091121985884</v>
      </c>
      <c r="M50" s="1974"/>
    </row>
    <row r="51" spans="1:13" ht="23.25" customHeight="1">
      <c r="A51" s="1967"/>
      <c r="B51" s="1972" t="s">
        <v>67</v>
      </c>
      <c r="C51" s="1971"/>
      <c r="D51" s="833">
        <v>4380</v>
      </c>
      <c r="E51" s="834">
        <v>25000</v>
      </c>
      <c r="F51" s="835">
        <v>25000</v>
      </c>
      <c r="G51" s="836"/>
      <c r="H51" s="836">
        <v>30000</v>
      </c>
      <c r="I51" s="837">
        <f t="shared" si="2"/>
        <v>1.2</v>
      </c>
      <c r="J51" s="836"/>
      <c r="K51" s="830">
        <f t="shared" si="8"/>
        <v>30000</v>
      </c>
      <c r="L51" s="845">
        <f t="shared" si="3"/>
        <v>1.2</v>
      </c>
      <c r="M51" s="1974"/>
    </row>
    <row r="52" spans="1:13" ht="23.25" customHeight="1">
      <c r="A52" s="1967"/>
      <c r="B52" s="1944"/>
      <c r="C52" s="668" t="s">
        <v>23</v>
      </c>
      <c r="D52" s="826">
        <v>2330</v>
      </c>
      <c r="E52" s="827">
        <v>299800</v>
      </c>
      <c r="F52" s="827">
        <v>299800</v>
      </c>
      <c r="G52" s="830"/>
      <c r="H52" s="830">
        <v>329780</v>
      </c>
      <c r="I52" s="828">
        <f t="shared" si="2"/>
        <v>1.1000000000000001</v>
      </c>
      <c r="J52" s="830">
        <v>-29780</v>
      </c>
      <c r="K52" s="830">
        <f t="shared" si="8"/>
        <v>300000</v>
      </c>
      <c r="L52" s="842">
        <f t="shared" si="3"/>
        <v>1.0006671114076051</v>
      </c>
      <c r="M52" s="1974"/>
    </row>
    <row r="53" spans="1:13">
      <c r="A53" s="1967"/>
      <c r="B53" s="1944"/>
      <c r="C53" s="668" t="s">
        <v>24</v>
      </c>
      <c r="D53" s="826"/>
      <c r="E53" s="827"/>
      <c r="F53" s="827"/>
      <c r="G53" s="830"/>
      <c r="H53" s="830"/>
      <c r="I53" s="828"/>
      <c r="J53" s="830"/>
      <c r="K53" s="830">
        <f t="shared" si="8"/>
        <v>0</v>
      </c>
      <c r="L53" s="829"/>
      <c r="M53" s="1974"/>
    </row>
    <row r="54" spans="1:13" ht="22.5">
      <c r="A54" s="1967"/>
      <c r="B54" s="1944"/>
      <c r="C54" s="672" t="s">
        <v>25</v>
      </c>
      <c r="D54" s="831"/>
      <c r="E54" s="832"/>
      <c r="F54" s="832"/>
      <c r="G54" s="830"/>
      <c r="H54" s="830"/>
      <c r="I54" s="828"/>
      <c r="J54" s="830"/>
      <c r="K54" s="830"/>
      <c r="L54" s="829"/>
      <c r="M54" s="1974"/>
    </row>
    <row r="55" spans="1:13">
      <c r="A55" s="1967"/>
      <c r="B55" s="1944"/>
      <c r="C55" s="668" t="s">
        <v>26</v>
      </c>
      <c r="D55" s="826"/>
      <c r="E55" s="827"/>
      <c r="F55" s="827"/>
      <c r="G55" s="830"/>
      <c r="H55" s="830"/>
      <c r="I55" s="824"/>
      <c r="J55" s="830"/>
      <c r="K55" s="830"/>
      <c r="L55" s="829"/>
      <c r="M55" s="1974"/>
    </row>
    <row r="56" spans="1:13">
      <c r="A56" s="1967"/>
      <c r="B56" s="1944"/>
      <c r="C56" s="668" t="s">
        <v>27</v>
      </c>
      <c r="D56" s="826"/>
      <c r="E56" s="827"/>
      <c r="F56" s="827"/>
      <c r="G56" s="830"/>
      <c r="H56" s="830"/>
      <c r="I56" s="824"/>
      <c r="J56" s="830"/>
      <c r="K56" s="830"/>
      <c r="L56" s="829"/>
      <c r="M56" s="1974"/>
    </row>
    <row r="57" spans="1:13">
      <c r="A57" s="1967"/>
      <c r="B57" s="1944"/>
      <c r="C57" s="676" t="s">
        <v>28</v>
      </c>
      <c r="D57" s="822"/>
      <c r="E57" s="839">
        <f>SUM(E58,E60,E61)</f>
        <v>0</v>
      </c>
      <c r="F57" s="839">
        <f>SUM(F58,F60,F61)</f>
        <v>0</v>
      </c>
      <c r="G57" s="839">
        <f>SUM(G58,G60,G61)</f>
        <v>0</v>
      </c>
      <c r="H57" s="839">
        <f>SUM(H58,H60,H61)</f>
        <v>0</v>
      </c>
      <c r="I57" s="824"/>
      <c r="J57" s="839">
        <f>SUM(J58,J60,J61)</f>
        <v>0</v>
      </c>
      <c r="K57" s="839">
        <f>SUM(K58,K60,K61)</f>
        <v>0</v>
      </c>
      <c r="L57" s="840"/>
      <c r="M57" s="1974"/>
    </row>
    <row r="58" spans="1:13" ht="14.25" customHeight="1">
      <c r="A58" s="1967"/>
      <c r="B58" s="1944"/>
      <c r="C58" s="668" t="s">
        <v>29</v>
      </c>
      <c r="D58" s="826"/>
      <c r="E58" s="827"/>
      <c r="F58" s="827"/>
      <c r="G58" s="830"/>
      <c r="H58" s="830"/>
      <c r="I58" s="824"/>
      <c r="J58" s="830"/>
      <c r="K58" s="830"/>
      <c r="L58" s="829"/>
      <c r="M58" s="1974"/>
    </row>
    <row r="59" spans="1:13" ht="22.5">
      <c r="A59" s="1967"/>
      <c r="B59" s="1944"/>
      <c r="C59" s="672" t="s">
        <v>479</v>
      </c>
      <c r="D59" s="831"/>
      <c r="E59" s="832"/>
      <c r="F59" s="832"/>
      <c r="G59" s="830"/>
      <c r="H59" s="830"/>
      <c r="I59" s="824"/>
      <c r="J59" s="830"/>
      <c r="K59" s="830"/>
      <c r="L59" s="829"/>
      <c r="M59" s="1974"/>
    </row>
    <row r="60" spans="1:13" ht="18" customHeight="1">
      <c r="A60" s="1967"/>
      <c r="B60" s="1944"/>
      <c r="C60" s="668" t="s">
        <v>31</v>
      </c>
      <c r="D60" s="826"/>
      <c r="E60" s="827"/>
      <c r="F60" s="827"/>
      <c r="G60" s="830"/>
      <c r="H60" s="830"/>
      <c r="I60" s="824"/>
      <c r="J60" s="830"/>
      <c r="K60" s="830"/>
      <c r="L60" s="829"/>
      <c r="M60" s="1974"/>
    </row>
    <row r="61" spans="1:13" ht="23.25" customHeight="1">
      <c r="A61" s="1967"/>
      <c r="B61" s="1973"/>
      <c r="C61" s="668" t="s">
        <v>32</v>
      </c>
      <c r="D61" s="826"/>
      <c r="E61" s="827"/>
      <c r="F61" s="827"/>
      <c r="G61" s="830"/>
      <c r="H61" s="830"/>
      <c r="I61" s="824"/>
      <c r="J61" s="823"/>
      <c r="K61" s="823"/>
      <c r="L61" s="825"/>
      <c r="M61" s="1975"/>
    </row>
    <row r="62" spans="1:13" s="178" customFormat="1" ht="12.75" hidden="1">
      <c r="A62" s="1967"/>
      <c r="B62" s="1932" t="s">
        <v>481</v>
      </c>
      <c r="C62" s="660" t="s">
        <v>333</v>
      </c>
      <c r="D62" s="847"/>
      <c r="E62" s="848">
        <f>SUM(E63+E75)</f>
        <v>0</v>
      </c>
      <c r="F62" s="848">
        <f>SUM(F63+F75)</f>
        <v>60000</v>
      </c>
      <c r="G62" s="848" t="e">
        <f>SUM(G63+G75)</f>
        <v>#REF!</v>
      </c>
      <c r="H62" s="848">
        <f>SUM(H63+H75)</f>
        <v>0</v>
      </c>
      <c r="I62" s="849"/>
      <c r="J62" s="848">
        <f>SUM(J63+J75)</f>
        <v>0</v>
      </c>
      <c r="K62" s="848">
        <f>SUM(K63+K75)</f>
        <v>0</v>
      </c>
      <c r="L62" s="850"/>
      <c r="M62" s="1979" t="s">
        <v>482</v>
      </c>
    </row>
    <row r="63" spans="1:13" s="178" customFormat="1" ht="12.75" hidden="1">
      <c r="A63" s="1967"/>
      <c r="B63" s="1932"/>
      <c r="C63" s="664" t="s">
        <v>18</v>
      </c>
      <c r="D63" s="851"/>
      <c r="E63" s="852">
        <f>SUM(E64+E70+E71+E72+E73+E74)</f>
        <v>0</v>
      </c>
      <c r="F63" s="852">
        <f>SUM(F64+F70+F71+F72+F73+F74)</f>
        <v>60000</v>
      </c>
      <c r="G63" s="852" t="e">
        <f>SUM(G64+G70+G71+G72+G73+G74)</f>
        <v>#REF!</v>
      </c>
      <c r="H63" s="852">
        <f>SUM(H64+H70+H71+H72+H73+H74)</f>
        <v>0</v>
      </c>
      <c r="I63" s="853"/>
      <c r="J63" s="852">
        <f>SUM(J64+J70+J71+J72+J73+J74)</f>
        <v>0</v>
      </c>
      <c r="K63" s="852">
        <f>SUM(K64+K70+K71+K72+K73+K74)</f>
        <v>0</v>
      </c>
      <c r="L63" s="854"/>
      <c r="M63" s="1979"/>
    </row>
    <row r="64" spans="1:13" s="178" customFormat="1" ht="12.75" hidden="1">
      <c r="A64" s="1967"/>
      <c r="B64" s="1932"/>
      <c r="C64" s="855" t="s">
        <v>19</v>
      </c>
      <c r="D64" s="856"/>
      <c r="E64" s="857">
        <f>SUM(E65+E66)</f>
        <v>0</v>
      </c>
      <c r="F64" s="857">
        <f>SUM(F65+F66)</f>
        <v>60000</v>
      </c>
      <c r="G64" s="857" t="e">
        <f>SUM(G65+G66)</f>
        <v>#REF!</v>
      </c>
      <c r="H64" s="857">
        <f>SUM(H65+H66)</f>
        <v>0</v>
      </c>
      <c r="I64" s="853"/>
      <c r="J64" s="857">
        <f>SUM(J65+J66)</f>
        <v>0</v>
      </c>
      <c r="K64" s="857">
        <f>SUM(K65+K66)</f>
        <v>0</v>
      </c>
      <c r="L64" s="858"/>
      <c r="M64" s="1979"/>
    </row>
    <row r="65" spans="1:13" s="178" customFormat="1" ht="12.75" hidden="1">
      <c r="A65" s="1967"/>
      <c r="B65" s="1932"/>
      <c r="C65" s="855" t="s">
        <v>20</v>
      </c>
      <c r="D65" s="856"/>
      <c r="E65" s="857"/>
      <c r="F65" s="857"/>
      <c r="G65" s="857" t="e">
        <f>SUM(#REF!)</f>
        <v>#REF!</v>
      </c>
      <c r="H65" s="857"/>
      <c r="I65" s="857"/>
      <c r="J65" s="857"/>
      <c r="K65" s="857"/>
      <c r="L65" s="858"/>
      <c r="M65" s="1979"/>
    </row>
    <row r="66" spans="1:13" s="178" customFormat="1" ht="12.75" hidden="1">
      <c r="A66" s="1967"/>
      <c r="B66" s="1932"/>
      <c r="C66" s="1980" t="s">
        <v>21</v>
      </c>
      <c r="D66" s="856" t="s">
        <v>366</v>
      </c>
      <c r="E66" s="857">
        <f>SUM(E67:E69)</f>
        <v>0</v>
      </c>
      <c r="F66" s="857">
        <f>SUM(F67:F69)</f>
        <v>60000</v>
      </c>
      <c r="G66" s="857">
        <f>SUM(G67:G69)</f>
        <v>0</v>
      </c>
      <c r="H66" s="857">
        <f>SUM(H67:H69)</f>
        <v>0</v>
      </c>
      <c r="I66" s="857"/>
      <c r="J66" s="857"/>
      <c r="K66" s="857"/>
      <c r="L66" s="858"/>
      <c r="M66" s="1979"/>
    </row>
    <row r="67" spans="1:13" s="178" customFormat="1" ht="12.75" hidden="1" customHeight="1">
      <c r="A67" s="1967"/>
      <c r="B67" s="1932"/>
      <c r="C67" s="1980"/>
      <c r="D67" s="859" t="s">
        <v>232</v>
      </c>
      <c r="E67" s="860"/>
      <c r="F67" s="860"/>
      <c r="G67" s="860"/>
      <c r="H67" s="860"/>
      <c r="I67" s="860"/>
      <c r="J67" s="860"/>
      <c r="K67" s="860"/>
      <c r="L67" s="861"/>
      <c r="M67" s="1979"/>
    </row>
    <row r="68" spans="1:13" s="178" customFormat="1" ht="12.75" hidden="1">
      <c r="A68" s="1967"/>
      <c r="B68" s="1932"/>
      <c r="C68" s="1980"/>
      <c r="D68" s="859" t="s">
        <v>222</v>
      </c>
      <c r="E68" s="860"/>
      <c r="F68" s="860">
        <v>34754</v>
      </c>
      <c r="G68" s="860"/>
      <c r="H68" s="860"/>
      <c r="I68" s="860"/>
      <c r="J68" s="860"/>
      <c r="K68" s="860"/>
      <c r="L68" s="861"/>
      <c r="M68" s="1979"/>
    </row>
    <row r="69" spans="1:13" s="178" customFormat="1" ht="12.75" hidden="1">
      <c r="A69" s="1967"/>
      <c r="B69" s="1932"/>
      <c r="C69" s="1980"/>
      <c r="D69" s="859" t="s">
        <v>248</v>
      </c>
      <c r="E69" s="860"/>
      <c r="F69" s="860">
        <v>25246</v>
      </c>
      <c r="G69" s="860"/>
      <c r="H69" s="860"/>
      <c r="I69" s="860"/>
      <c r="J69" s="860"/>
      <c r="K69" s="860"/>
      <c r="L69" s="861"/>
      <c r="M69" s="1979"/>
    </row>
    <row r="70" spans="1:13" s="178" customFormat="1" ht="12.75" hidden="1">
      <c r="A70" s="1967"/>
      <c r="B70" s="1932"/>
      <c r="C70" s="855" t="s">
        <v>23</v>
      </c>
      <c r="D70" s="859"/>
      <c r="E70" s="860"/>
      <c r="F70" s="860"/>
      <c r="G70" s="860"/>
      <c r="H70" s="860"/>
      <c r="I70" s="862"/>
      <c r="J70" s="860"/>
      <c r="K70" s="860"/>
      <c r="L70" s="861"/>
      <c r="M70" s="1979"/>
    </row>
    <row r="71" spans="1:13" s="178" customFormat="1" ht="12.75" hidden="1">
      <c r="A71" s="1967"/>
      <c r="B71" s="1932"/>
      <c r="C71" s="855" t="s">
        <v>24</v>
      </c>
      <c r="D71" s="856"/>
      <c r="E71" s="857"/>
      <c r="F71" s="857"/>
      <c r="G71" s="857"/>
      <c r="H71" s="857"/>
      <c r="I71" s="853"/>
      <c r="J71" s="857"/>
      <c r="K71" s="857"/>
      <c r="L71" s="858"/>
      <c r="M71" s="1979"/>
    </row>
    <row r="72" spans="1:13" s="178" customFormat="1" ht="22.5" hidden="1">
      <c r="A72" s="1967"/>
      <c r="B72" s="1932"/>
      <c r="C72" s="863" t="s">
        <v>90</v>
      </c>
      <c r="D72" s="856"/>
      <c r="E72" s="857"/>
      <c r="F72" s="857"/>
      <c r="G72" s="857"/>
      <c r="H72" s="857"/>
      <c r="I72" s="864"/>
      <c r="J72" s="857"/>
      <c r="K72" s="857"/>
      <c r="L72" s="858"/>
      <c r="M72" s="1979"/>
    </row>
    <row r="73" spans="1:13" s="178" customFormat="1" ht="12.75" hidden="1">
      <c r="A73" s="1967"/>
      <c r="B73" s="1932"/>
      <c r="C73" s="855" t="s">
        <v>26</v>
      </c>
      <c r="D73" s="856"/>
      <c r="E73" s="857"/>
      <c r="F73" s="857"/>
      <c r="G73" s="857"/>
      <c r="H73" s="857"/>
      <c r="I73" s="864"/>
      <c r="J73" s="857"/>
      <c r="K73" s="857"/>
      <c r="L73" s="858"/>
      <c r="M73" s="1979"/>
    </row>
    <row r="74" spans="1:13" s="178" customFormat="1" ht="12.75" hidden="1">
      <c r="A74" s="1967"/>
      <c r="B74" s="1932"/>
      <c r="C74" s="855" t="s">
        <v>27</v>
      </c>
      <c r="D74" s="856"/>
      <c r="E74" s="857"/>
      <c r="F74" s="857"/>
      <c r="G74" s="857"/>
      <c r="H74" s="857"/>
      <c r="I74" s="864"/>
      <c r="J74" s="857"/>
      <c r="K74" s="857"/>
      <c r="L74" s="858"/>
      <c r="M74" s="1979"/>
    </row>
    <row r="75" spans="1:13" s="178" customFormat="1" ht="12.75" hidden="1">
      <c r="A75" s="1967"/>
      <c r="B75" s="1932"/>
      <c r="C75" s="865" t="s">
        <v>28</v>
      </c>
      <c r="D75" s="851"/>
      <c r="E75" s="852">
        <f>SUM(E76+E78+E79)</f>
        <v>0</v>
      </c>
      <c r="F75" s="852">
        <f>SUM(F76+F78+F79)</f>
        <v>0</v>
      </c>
      <c r="G75" s="852">
        <f>SUM(G76+G78+G79)</f>
        <v>0</v>
      </c>
      <c r="H75" s="852">
        <f>SUM(H76+H78+H79)</f>
        <v>0</v>
      </c>
      <c r="I75" s="866"/>
      <c r="J75" s="852">
        <f>SUM(J76+J78+J79)</f>
        <v>0</v>
      </c>
      <c r="K75" s="852">
        <f>SUM(K76+K78+K79)</f>
        <v>0</v>
      </c>
      <c r="L75" s="854"/>
      <c r="M75" s="1979"/>
    </row>
    <row r="76" spans="1:13" s="178" customFormat="1" ht="12.75" hidden="1">
      <c r="A76" s="1967"/>
      <c r="B76" s="1932"/>
      <c r="C76" s="855" t="s">
        <v>29</v>
      </c>
      <c r="D76" s="856"/>
      <c r="E76" s="857"/>
      <c r="F76" s="857"/>
      <c r="G76" s="857"/>
      <c r="H76" s="857"/>
      <c r="I76" s="866"/>
      <c r="J76" s="857"/>
      <c r="K76" s="857"/>
      <c r="L76" s="858"/>
      <c r="M76" s="1979"/>
    </row>
    <row r="77" spans="1:13" s="178" customFormat="1" ht="22.5" hidden="1">
      <c r="A77" s="1967"/>
      <c r="B77" s="1932"/>
      <c r="C77" s="863" t="s">
        <v>89</v>
      </c>
      <c r="D77" s="856"/>
      <c r="E77" s="857"/>
      <c r="F77" s="857"/>
      <c r="G77" s="857"/>
      <c r="H77" s="857"/>
      <c r="I77" s="864"/>
      <c r="J77" s="857"/>
      <c r="K77" s="857"/>
      <c r="L77" s="858"/>
      <c r="M77" s="1979"/>
    </row>
    <row r="78" spans="1:13" s="178" customFormat="1" ht="12.75" hidden="1">
      <c r="A78" s="1967"/>
      <c r="B78" s="1932"/>
      <c r="C78" s="855" t="s">
        <v>31</v>
      </c>
      <c r="D78" s="856"/>
      <c r="E78" s="857"/>
      <c r="F78" s="857"/>
      <c r="G78" s="857"/>
      <c r="H78" s="857"/>
      <c r="I78" s="864"/>
      <c r="J78" s="857"/>
      <c r="K78" s="857"/>
      <c r="L78" s="858"/>
      <c r="M78" s="1979"/>
    </row>
    <row r="79" spans="1:13" s="178" customFormat="1" ht="12.75" hidden="1">
      <c r="A79" s="1967"/>
      <c r="B79" s="1932"/>
      <c r="C79" s="855" t="s">
        <v>32</v>
      </c>
      <c r="D79" s="856"/>
      <c r="E79" s="857"/>
      <c r="F79" s="857"/>
      <c r="G79" s="857"/>
      <c r="H79" s="857"/>
      <c r="I79" s="864"/>
      <c r="J79" s="857"/>
      <c r="K79" s="857"/>
      <c r="L79" s="858"/>
      <c r="M79" s="1979"/>
    </row>
    <row r="80" spans="1:13">
      <c r="A80" s="1967"/>
      <c r="B80" s="1932" t="s">
        <v>483</v>
      </c>
      <c r="C80" s="660" t="s">
        <v>484</v>
      </c>
      <c r="D80" s="818"/>
      <c r="E80" s="819">
        <f>SUM(E81,E100)</f>
        <v>225000</v>
      </c>
      <c r="F80" s="819">
        <f>SUM(F81,F100)</f>
        <v>225000</v>
      </c>
      <c r="G80" s="819">
        <f>SUM(G81,G100)</f>
        <v>0</v>
      </c>
      <c r="H80" s="819">
        <f>SUM(H81,H100)</f>
        <v>225000</v>
      </c>
      <c r="I80" s="820">
        <f t="shared" ref="I80:I90" si="9">H80/E80</f>
        <v>1</v>
      </c>
      <c r="J80" s="819">
        <f>SUM(J81,J100)</f>
        <v>29000</v>
      </c>
      <c r="K80" s="819">
        <f>SUM(K81,K100)</f>
        <v>254000</v>
      </c>
      <c r="L80" s="821">
        <f>K80/E80</f>
        <v>1.1288888888888888</v>
      </c>
      <c r="M80" s="1981" t="s">
        <v>485</v>
      </c>
    </row>
    <row r="81" spans="1:13">
      <c r="A81" s="1967"/>
      <c r="B81" s="1932"/>
      <c r="C81" s="664" t="s">
        <v>18</v>
      </c>
      <c r="D81" s="822"/>
      <c r="E81" s="823">
        <f>SUM(E82,E95,E96,E97,E98,E99)</f>
        <v>225000</v>
      </c>
      <c r="F81" s="823">
        <f>SUM(F82,F95,F96,F97,F98,F99)</f>
        <v>225000</v>
      </c>
      <c r="G81" s="823">
        <f>SUM(G82,G95,G96,G97,G98,G99)</f>
        <v>0</v>
      </c>
      <c r="H81" s="823">
        <f>SUM(H82,H95,H96,H97,H98,H99)</f>
        <v>225000</v>
      </c>
      <c r="I81" s="824">
        <f t="shared" si="9"/>
        <v>1</v>
      </c>
      <c r="J81" s="823">
        <f>SUM(J82,J95,J96,J97,J98,J99)</f>
        <v>29000</v>
      </c>
      <c r="K81" s="823">
        <f>SUM(K82,K95,K96,K97,K98,K99)</f>
        <v>254000</v>
      </c>
      <c r="L81" s="825">
        <f>K81/E81</f>
        <v>1.1288888888888888</v>
      </c>
      <c r="M81" s="1982"/>
    </row>
    <row r="82" spans="1:13">
      <c r="A82" s="1967"/>
      <c r="B82" s="1932"/>
      <c r="C82" s="668" t="s">
        <v>19</v>
      </c>
      <c r="D82" s="826"/>
      <c r="E82" s="827">
        <f>SUM(E83,E88)</f>
        <v>218000</v>
      </c>
      <c r="F82" s="827">
        <f>SUM(F83,F88)</f>
        <v>218000</v>
      </c>
      <c r="G82" s="827">
        <f>SUM(G83,G88)</f>
        <v>0</v>
      </c>
      <c r="H82" s="827">
        <f>SUM(H83,H88)</f>
        <v>218000</v>
      </c>
      <c r="I82" s="828">
        <f t="shared" si="9"/>
        <v>1</v>
      </c>
      <c r="J82" s="827">
        <f>SUM(J83,J88)</f>
        <v>29000</v>
      </c>
      <c r="K82" s="827">
        <f>SUM(K83,K88)</f>
        <v>247000</v>
      </c>
      <c r="L82" s="867">
        <f>K82/E82</f>
        <v>1.1330275229357798</v>
      </c>
      <c r="M82" s="1982"/>
    </row>
    <row r="83" spans="1:13">
      <c r="A83" s="1967"/>
      <c r="B83" s="1932"/>
      <c r="C83" s="1976" t="s">
        <v>20</v>
      </c>
      <c r="D83" s="826" t="s">
        <v>22</v>
      </c>
      <c r="E83" s="827">
        <f>SUM(E84:E87)</f>
        <v>160000</v>
      </c>
      <c r="F83" s="827">
        <f>SUM(F84:F87)</f>
        <v>160000</v>
      </c>
      <c r="G83" s="827">
        <f>SUM(G84:G87)</f>
        <v>0</v>
      </c>
      <c r="H83" s="868">
        <f>SUM(H84:H87)</f>
        <v>160000</v>
      </c>
      <c r="I83" s="828">
        <f t="shared" si="9"/>
        <v>1</v>
      </c>
      <c r="J83" s="827">
        <f>SUM(J84:J87)</f>
        <v>20000</v>
      </c>
      <c r="K83" s="827">
        <f>SUM(K84:K87)</f>
        <v>180000</v>
      </c>
      <c r="L83" s="867">
        <f t="shared" ref="L83:L96" si="10">K83/E83</f>
        <v>1.125</v>
      </c>
      <c r="M83" s="1982"/>
    </row>
    <row r="84" spans="1:13">
      <c r="A84" s="1967"/>
      <c r="B84" s="1932"/>
      <c r="C84" s="1976"/>
      <c r="D84" s="843">
        <v>4010</v>
      </c>
      <c r="E84" s="844">
        <v>132063</v>
      </c>
      <c r="F84" s="844">
        <v>132063</v>
      </c>
      <c r="G84" s="836"/>
      <c r="H84" s="860">
        <v>132063</v>
      </c>
      <c r="I84" s="837">
        <f t="shared" si="9"/>
        <v>1</v>
      </c>
      <c r="J84" s="836">
        <v>16717</v>
      </c>
      <c r="K84" s="836">
        <f>H84+J84</f>
        <v>148780</v>
      </c>
      <c r="L84" s="869">
        <f t="shared" si="10"/>
        <v>1.1265835245299591</v>
      </c>
      <c r="M84" s="1982"/>
    </row>
    <row r="85" spans="1:13">
      <c r="A85" s="1967"/>
      <c r="B85" s="1932"/>
      <c r="C85" s="1976"/>
      <c r="D85" s="843">
        <v>4110</v>
      </c>
      <c r="E85" s="844">
        <v>22701</v>
      </c>
      <c r="F85" s="844">
        <v>22701</v>
      </c>
      <c r="G85" s="836"/>
      <c r="H85" s="860">
        <v>22701</v>
      </c>
      <c r="I85" s="837">
        <f t="shared" si="9"/>
        <v>1</v>
      </c>
      <c r="J85" s="836">
        <v>2874</v>
      </c>
      <c r="K85" s="836">
        <f>H85+J85</f>
        <v>25575</v>
      </c>
      <c r="L85" s="869">
        <f t="shared" si="10"/>
        <v>1.1266023523192812</v>
      </c>
      <c r="M85" s="1982"/>
    </row>
    <row r="86" spans="1:13">
      <c r="A86" s="1967"/>
      <c r="B86" s="1932"/>
      <c r="C86" s="1976"/>
      <c r="D86" s="843">
        <v>4120</v>
      </c>
      <c r="E86" s="844">
        <v>3236</v>
      </c>
      <c r="F86" s="844">
        <v>3236</v>
      </c>
      <c r="G86" s="836"/>
      <c r="H86" s="860">
        <v>3236</v>
      </c>
      <c r="I86" s="837">
        <f t="shared" si="9"/>
        <v>1</v>
      </c>
      <c r="J86" s="836">
        <v>409</v>
      </c>
      <c r="K86" s="836">
        <f>H86+J86</f>
        <v>3645</v>
      </c>
      <c r="L86" s="869">
        <f t="shared" si="10"/>
        <v>1.1263906056860322</v>
      </c>
      <c r="M86" s="1982"/>
    </row>
    <row r="87" spans="1:13">
      <c r="A87" s="1967"/>
      <c r="B87" s="1932"/>
      <c r="C87" s="1976"/>
      <c r="D87" s="843">
        <v>4170</v>
      </c>
      <c r="E87" s="844">
        <v>2000</v>
      </c>
      <c r="F87" s="844">
        <v>2000</v>
      </c>
      <c r="G87" s="836"/>
      <c r="H87" s="860">
        <v>2000</v>
      </c>
      <c r="I87" s="837">
        <f t="shared" si="9"/>
        <v>1</v>
      </c>
      <c r="J87" s="836"/>
      <c r="K87" s="836">
        <f>H87+J87</f>
        <v>2000</v>
      </c>
      <c r="L87" s="869">
        <f t="shared" si="10"/>
        <v>1</v>
      </c>
      <c r="M87" s="1982"/>
    </row>
    <row r="88" spans="1:13" ht="13.5" customHeight="1">
      <c r="A88" s="1967"/>
      <c r="B88" s="1932"/>
      <c r="C88" s="1971" t="s">
        <v>21</v>
      </c>
      <c r="D88" s="831" t="s">
        <v>22</v>
      </c>
      <c r="E88" s="832">
        <f>SUM(E89:E94)</f>
        <v>58000</v>
      </c>
      <c r="F88" s="832">
        <f>SUM(F89:F94)</f>
        <v>58000</v>
      </c>
      <c r="G88" s="832">
        <f>SUM(G89:G94)</f>
        <v>0</v>
      </c>
      <c r="H88" s="832">
        <f>SUM(H89:H94)</f>
        <v>58000</v>
      </c>
      <c r="I88" s="828">
        <f t="shared" si="9"/>
        <v>1</v>
      </c>
      <c r="J88" s="832">
        <f>SUM(J89:J94)</f>
        <v>9000</v>
      </c>
      <c r="K88" s="832">
        <f>SUM(K89:K94)</f>
        <v>67000</v>
      </c>
      <c r="L88" s="867">
        <f t="shared" si="10"/>
        <v>1.1551724137931034</v>
      </c>
      <c r="M88" s="1982"/>
    </row>
    <row r="89" spans="1:13" ht="13.5" customHeight="1">
      <c r="A89" s="1967"/>
      <c r="B89" s="1932"/>
      <c r="C89" s="1971"/>
      <c r="D89" s="833">
        <v>4210</v>
      </c>
      <c r="E89" s="834">
        <v>27000</v>
      </c>
      <c r="F89" s="834">
        <v>27000</v>
      </c>
      <c r="G89" s="834"/>
      <c r="H89" s="834">
        <v>27000</v>
      </c>
      <c r="I89" s="837">
        <f t="shared" si="9"/>
        <v>1</v>
      </c>
      <c r="J89" s="834">
        <v>3000</v>
      </c>
      <c r="K89" s="836">
        <f t="shared" ref="K89:K94" si="11">H89+J89</f>
        <v>30000</v>
      </c>
      <c r="L89" s="869">
        <f t="shared" si="10"/>
        <v>1.1111111111111112</v>
      </c>
      <c r="M89" s="1982"/>
    </row>
    <row r="90" spans="1:13" ht="13.5" customHeight="1">
      <c r="A90" s="1967"/>
      <c r="B90" s="1932"/>
      <c r="C90" s="1971"/>
      <c r="D90" s="833">
        <v>4220</v>
      </c>
      <c r="E90" s="834">
        <v>1000</v>
      </c>
      <c r="F90" s="834">
        <v>1000</v>
      </c>
      <c r="G90" s="834"/>
      <c r="H90" s="834">
        <v>1000</v>
      </c>
      <c r="I90" s="837">
        <f t="shared" si="9"/>
        <v>1</v>
      </c>
      <c r="J90" s="834"/>
      <c r="K90" s="836">
        <f t="shared" si="11"/>
        <v>1000</v>
      </c>
      <c r="L90" s="869">
        <f t="shared" si="10"/>
        <v>1</v>
      </c>
      <c r="M90" s="1982"/>
    </row>
    <row r="91" spans="1:13">
      <c r="A91" s="1967"/>
      <c r="B91" s="1932"/>
      <c r="C91" s="1971"/>
      <c r="D91" s="833">
        <v>4300</v>
      </c>
      <c r="E91" s="834">
        <v>24000</v>
      </c>
      <c r="F91" s="835">
        <v>24000</v>
      </c>
      <c r="G91" s="836"/>
      <c r="H91" s="836">
        <v>24000</v>
      </c>
      <c r="I91" s="837">
        <f>H91/E91</f>
        <v>1</v>
      </c>
      <c r="J91" s="836">
        <v>6000</v>
      </c>
      <c r="K91" s="836">
        <f t="shared" si="11"/>
        <v>30000</v>
      </c>
      <c r="L91" s="869">
        <f t="shared" si="10"/>
        <v>1.25</v>
      </c>
      <c r="M91" s="1982"/>
    </row>
    <row r="92" spans="1:13">
      <c r="A92" s="1967"/>
      <c r="B92" s="1932"/>
      <c r="C92" s="1971"/>
      <c r="D92" s="833">
        <v>4390</v>
      </c>
      <c r="E92" s="834">
        <v>2000</v>
      </c>
      <c r="F92" s="835">
        <v>2000</v>
      </c>
      <c r="G92" s="836"/>
      <c r="H92" s="836">
        <v>2000</v>
      </c>
      <c r="I92" s="837">
        <f>H92/E92</f>
        <v>1</v>
      </c>
      <c r="J92" s="836"/>
      <c r="K92" s="836">
        <f t="shared" si="11"/>
        <v>2000</v>
      </c>
      <c r="L92" s="869">
        <f t="shared" si="10"/>
        <v>1</v>
      </c>
      <c r="M92" s="1982"/>
    </row>
    <row r="93" spans="1:13">
      <c r="A93" s="1967"/>
      <c r="B93" s="1932"/>
      <c r="C93" s="1971"/>
      <c r="D93" s="833">
        <v>4410</v>
      </c>
      <c r="E93" s="834">
        <v>2000</v>
      </c>
      <c r="F93" s="835">
        <v>2000</v>
      </c>
      <c r="G93" s="836"/>
      <c r="H93" s="836">
        <v>2000</v>
      </c>
      <c r="I93" s="837">
        <f>H93/E93</f>
        <v>1</v>
      </c>
      <c r="J93" s="836"/>
      <c r="K93" s="836">
        <f t="shared" si="11"/>
        <v>2000</v>
      </c>
      <c r="L93" s="869">
        <f t="shared" si="10"/>
        <v>1</v>
      </c>
      <c r="M93" s="1982"/>
    </row>
    <row r="94" spans="1:13">
      <c r="A94" s="1967"/>
      <c r="B94" s="1932"/>
      <c r="C94" s="1971"/>
      <c r="D94" s="833">
        <v>4700</v>
      </c>
      <c r="E94" s="834">
        <v>2000</v>
      </c>
      <c r="F94" s="834">
        <v>2000</v>
      </c>
      <c r="G94" s="836"/>
      <c r="H94" s="836">
        <v>2000</v>
      </c>
      <c r="I94" s="837">
        <f>H94/E94</f>
        <v>1</v>
      </c>
      <c r="J94" s="836"/>
      <c r="K94" s="836">
        <f t="shared" si="11"/>
        <v>2000</v>
      </c>
      <c r="L94" s="869">
        <f t="shared" si="10"/>
        <v>1</v>
      </c>
      <c r="M94" s="1982"/>
    </row>
    <row r="95" spans="1:13">
      <c r="A95" s="1967"/>
      <c r="B95" s="1932"/>
      <c r="C95" s="668" t="s">
        <v>23</v>
      </c>
      <c r="D95" s="826"/>
      <c r="E95" s="827"/>
      <c r="F95" s="827"/>
      <c r="G95" s="830"/>
      <c r="H95" s="830"/>
      <c r="I95" s="837"/>
      <c r="J95" s="830"/>
      <c r="K95" s="830"/>
      <c r="L95" s="867"/>
      <c r="M95" s="1982"/>
    </row>
    <row r="96" spans="1:13">
      <c r="A96" s="1967"/>
      <c r="B96" s="1932"/>
      <c r="C96" s="668" t="s">
        <v>24</v>
      </c>
      <c r="D96" s="826">
        <v>3030</v>
      </c>
      <c r="E96" s="827">
        <v>7000</v>
      </c>
      <c r="F96" s="827">
        <v>7000</v>
      </c>
      <c r="G96" s="830"/>
      <c r="H96" s="830">
        <v>7000</v>
      </c>
      <c r="I96" s="837">
        <f t="shared" ref="I96" si="12">H96/E96</f>
        <v>1</v>
      </c>
      <c r="J96" s="830"/>
      <c r="K96" s="830">
        <f>H96+J96</f>
        <v>7000</v>
      </c>
      <c r="L96" s="867">
        <f t="shared" si="10"/>
        <v>1</v>
      </c>
      <c r="M96" s="1982"/>
    </row>
    <row r="97" spans="1:13" ht="22.5" customHeight="1">
      <c r="A97" s="1967"/>
      <c r="B97" s="1932"/>
      <c r="C97" s="672" t="s">
        <v>25</v>
      </c>
      <c r="D97" s="831"/>
      <c r="E97" s="832"/>
      <c r="F97" s="832"/>
      <c r="G97" s="830"/>
      <c r="H97" s="830"/>
      <c r="I97" s="828"/>
      <c r="J97" s="830"/>
      <c r="K97" s="830"/>
      <c r="L97" s="829"/>
      <c r="M97" s="1982"/>
    </row>
    <row r="98" spans="1:13">
      <c r="A98" s="1967"/>
      <c r="B98" s="1932"/>
      <c r="C98" s="668" t="s">
        <v>26</v>
      </c>
      <c r="D98" s="826"/>
      <c r="E98" s="827"/>
      <c r="F98" s="827"/>
      <c r="G98" s="830"/>
      <c r="H98" s="830"/>
      <c r="I98" s="824"/>
      <c r="J98" s="830"/>
      <c r="K98" s="830"/>
      <c r="L98" s="829"/>
      <c r="M98" s="1982"/>
    </row>
    <row r="99" spans="1:13">
      <c r="A99" s="1967"/>
      <c r="B99" s="1932"/>
      <c r="C99" s="668" t="s">
        <v>27</v>
      </c>
      <c r="D99" s="826"/>
      <c r="E99" s="827"/>
      <c r="F99" s="827"/>
      <c r="G99" s="830"/>
      <c r="H99" s="830"/>
      <c r="I99" s="824"/>
      <c r="J99" s="830"/>
      <c r="K99" s="830"/>
      <c r="L99" s="829"/>
      <c r="M99" s="1982"/>
    </row>
    <row r="100" spans="1:13">
      <c r="A100" s="1967"/>
      <c r="B100" s="1932"/>
      <c r="C100" s="676" t="s">
        <v>28</v>
      </c>
      <c r="D100" s="822"/>
      <c r="E100" s="839">
        <f>SUM(E101,E103,E104)</f>
        <v>0</v>
      </c>
      <c r="F100" s="839">
        <f>SUM(F101,F103,F104)</f>
        <v>0</v>
      </c>
      <c r="G100" s="839">
        <f>SUM(G101,G103,G104)</f>
        <v>0</v>
      </c>
      <c r="H100" s="839">
        <f>SUM(H101,H103,H104)</f>
        <v>0</v>
      </c>
      <c r="I100" s="824"/>
      <c r="J100" s="839">
        <f>SUM(J101,J103,J104)</f>
        <v>0</v>
      </c>
      <c r="K100" s="839">
        <f>SUM(K101,K103,K104)</f>
        <v>0</v>
      </c>
      <c r="L100" s="840"/>
      <c r="M100" s="1982"/>
    </row>
    <row r="101" spans="1:13">
      <c r="A101" s="1967"/>
      <c r="B101" s="1932"/>
      <c r="C101" s="668" t="s">
        <v>29</v>
      </c>
      <c r="D101" s="826"/>
      <c r="E101" s="827"/>
      <c r="F101" s="827"/>
      <c r="G101" s="830"/>
      <c r="H101" s="830"/>
      <c r="I101" s="824"/>
      <c r="J101" s="830"/>
      <c r="K101" s="830"/>
      <c r="L101" s="829"/>
      <c r="M101" s="1982"/>
    </row>
    <row r="102" spans="1:13" ht="22.5">
      <c r="A102" s="1967"/>
      <c r="B102" s="1932"/>
      <c r="C102" s="672" t="s">
        <v>479</v>
      </c>
      <c r="D102" s="831"/>
      <c r="E102" s="832"/>
      <c r="F102" s="832"/>
      <c r="G102" s="830"/>
      <c r="H102" s="830"/>
      <c r="I102" s="824"/>
      <c r="J102" s="830"/>
      <c r="K102" s="830"/>
      <c r="L102" s="829"/>
      <c r="M102" s="1982"/>
    </row>
    <row r="103" spans="1:13">
      <c r="A103" s="1967"/>
      <c r="B103" s="1932"/>
      <c r="C103" s="668" t="s">
        <v>31</v>
      </c>
      <c r="D103" s="826"/>
      <c r="E103" s="827"/>
      <c r="F103" s="827"/>
      <c r="G103" s="830"/>
      <c r="H103" s="830"/>
      <c r="I103" s="824"/>
      <c r="J103" s="830"/>
      <c r="K103" s="830"/>
      <c r="L103" s="829"/>
      <c r="M103" s="1982"/>
    </row>
    <row r="104" spans="1:13">
      <c r="A104" s="1967"/>
      <c r="B104" s="1932"/>
      <c r="C104" s="668" t="s">
        <v>32</v>
      </c>
      <c r="D104" s="826"/>
      <c r="E104" s="827"/>
      <c r="F104" s="827"/>
      <c r="G104" s="830"/>
      <c r="H104" s="830"/>
      <c r="I104" s="824"/>
      <c r="J104" s="823"/>
      <c r="K104" s="823"/>
      <c r="L104" s="825"/>
      <c r="M104" s="1982"/>
    </row>
    <row r="105" spans="1:13" ht="14.25" customHeight="1">
      <c r="A105" s="1967"/>
      <c r="B105" s="1959" t="s">
        <v>16</v>
      </c>
      <c r="C105" s="530" t="s">
        <v>17</v>
      </c>
      <c r="D105" s="818"/>
      <c r="E105" s="848">
        <f>SUM(E106,E120)</f>
        <v>54293</v>
      </c>
      <c r="F105" s="819">
        <f>SUM(F106,F120)</f>
        <v>54293</v>
      </c>
      <c r="G105" s="819">
        <f>SUM(G106,G120)</f>
        <v>0</v>
      </c>
      <c r="H105" s="819">
        <f>SUM(H106,H120)</f>
        <v>66200</v>
      </c>
      <c r="I105" s="820">
        <f>H105/E105</f>
        <v>1.2193100399683201</v>
      </c>
      <c r="J105" s="819">
        <f>SUM(J106,J120)</f>
        <v>0</v>
      </c>
      <c r="K105" s="819">
        <f>SUM(K106,K120)</f>
        <v>66200</v>
      </c>
      <c r="L105" s="821">
        <f>K105/E105</f>
        <v>1.2193100399683201</v>
      </c>
      <c r="M105" s="1962" t="s">
        <v>486</v>
      </c>
    </row>
    <row r="106" spans="1:13">
      <c r="A106" s="1967"/>
      <c r="B106" s="1960"/>
      <c r="C106" s="526" t="s">
        <v>18</v>
      </c>
      <c r="D106" s="822"/>
      <c r="E106" s="852">
        <f>SUM(E107,E115,E116,E117,E118,E119)</f>
        <v>54293</v>
      </c>
      <c r="F106" s="852">
        <f>SUM(F107,F115,F116,F117,F118,F119)</f>
        <v>54293</v>
      </c>
      <c r="G106" s="852">
        <f>SUM(G107,G115,G116,G117,G118,G119)</f>
        <v>0</v>
      </c>
      <c r="H106" s="852">
        <f>SUM(H107,H115,H116,H117,H118,H119)</f>
        <v>66200</v>
      </c>
      <c r="I106" s="870">
        <f>H106/E106</f>
        <v>1.2193100399683201</v>
      </c>
      <c r="J106" s="852">
        <f>SUM(J107,J115,J116,J117,J118,J119)</f>
        <v>0</v>
      </c>
      <c r="K106" s="823">
        <f>SUM(K107,K115,K116,K117,K118,K119)</f>
        <v>66200</v>
      </c>
      <c r="L106" s="825">
        <f>K106/E106</f>
        <v>1.2193100399683201</v>
      </c>
      <c r="M106" s="1963"/>
    </row>
    <row r="107" spans="1:13">
      <c r="A107" s="1967"/>
      <c r="B107" s="1960"/>
      <c r="C107" s="642" t="s">
        <v>19</v>
      </c>
      <c r="D107" s="826"/>
      <c r="E107" s="868">
        <f>SUM(E108:E109)</f>
        <v>49140</v>
      </c>
      <c r="F107" s="868">
        <f>SUM(F108:F109)</f>
        <v>49140</v>
      </c>
      <c r="G107" s="868">
        <f>SUM(G108:G109)</f>
        <v>0</v>
      </c>
      <c r="H107" s="868">
        <f>SUM(H108:H109)</f>
        <v>61000</v>
      </c>
      <c r="I107" s="853">
        <f>H107/E107</f>
        <v>1.2413512413512413</v>
      </c>
      <c r="J107" s="868">
        <f>SUM(J108:J109)</f>
        <v>0</v>
      </c>
      <c r="K107" s="827">
        <f>SUM(K108:K109)</f>
        <v>61000</v>
      </c>
      <c r="L107" s="867">
        <f>K107/E107</f>
        <v>1.2413512413512413</v>
      </c>
      <c r="M107" s="1963"/>
    </row>
    <row r="108" spans="1:13">
      <c r="A108" s="1967"/>
      <c r="B108" s="1960"/>
      <c r="C108" s="642" t="s">
        <v>20</v>
      </c>
      <c r="D108" s="826"/>
      <c r="E108" s="868"/>
      <c r="F108" s="868"/>
      <c r="G108" s="857"/>
      <c r="H108" s="857"/>
      <c r="I108" s="853"/>
      <c r="J108" s="857"/>
      <c r="K108" s="830"/>
      <c r="L108" s="829"/>
      <c r="M108" s="1963"/>
    </row>
    <row r="109" spans="1:13" ht="13.5" customHeight="1">
      <c r="A109" s="1967"/>
      <c r="B109" s="1960"/>
      <c r="C109" s="1965" t="s">
        <v>21</v>
      </c>
      <c r="D109" s="831" t="s">
        <v>22</v>
      </c>
      <c r="E109" s="871">
        <f>SUM(E110:E114)</f>
        <v>49140</v>
      </c>
      <c r="F109" s="871">
        <f t="shared" ref="F109:G109" si="13">SUM(F110:F114)</f>
        <v>49140</v>
      </c>
      <c r="G109" s="871">
        <f t="shared" si="13"/>
        <v>0</v>
      </c>
      <c r="H109" s="871">
        <f>SUM(H110:H114)</f>
        <v>61000</v>
      </c>
      <c r="I109" s="853">
        <f t="shared" ref="I109:I114" si="14">H109/E109</f>
        <v>1.2413512413512413</v>
      </c>
      <c r="J109" s="871">
        <f>SUM(J110:J113)</f>
        <v>0</v>
      </c>
      <c r="K109" s="832">
        <f>SUM(K110:K114)</f>
        <v>61000</v>
      </c>
      <c r="L109" s="872">
        <f>K109/E109</f>
        <v>1.2413512413512413</v>
      </c>
      <c r="M109" s="1963"/>
    </row>
    <row r="110" spans="1:13" ht="13.5" customHeight="1">
      <c r="A110" s="1967"/>
      <c r="B110" s="1960"/>
      <c r="C110" s="1965"/>
      <c r="D110" s="833">
        <v>4210</v>
      </c>
      <c r="E110" s="873">
        <v>10000</v>
      </c>
      <c r="F110" s="873">
        <v>10000</v>
      </c>
      <c r="G110" s="873"/>
      <c r="H110" s="873">
        <v>15000</v>
      </c>
      <c r="I110" s="853">
        <f t="shared" si="14"/>
        <v>1.5</v>
      </c>
      <c r="J110" s="873"/>
      <c r="K110" s="834">
        <f>H110+J110</f>
        <v>15000</v>
      </c>
      <c r="L110" s="874">
        <f t="shared" ref="L110:L116" si="15">K110/E110</f>
        <v>1.5</v>
      </c>
      <c r="M110" s="1963"/>
    </row>
    <row r="111" spans="1:13">
      <c r="A111" s="1967"/>
      <c r="B111" s="1960"/>
      <c r="C111" s="1965"/>
      <c r="D111" s="833">
        <v>4300</v>
      </c>
      <c r="E111" s="873">
        <v>20000</v>
      </c>
      <c r="F111" s="875">
        <v>20000</v>
      </c>
      <c r="G111" s="860"/>
      <c r="H111" s="860">
        <v>26000</v>
      </c>
      <c r="I111" s="853">
        <f t="shared" si="14"/>
        <v>1.3</v>
      </c>
      <c r="J111" s="860"/>
      <c r="K111" s="834">
        <f>H111+J111</f>
        <v>26000</v>
      </c>
      <c r="L111" s="874">
        <f t="shared" si="15"/>
        <v>1.3</v>
      </c>
      <c r="M111" s="1963"/>
    </row>
    <row r="112" spans="1:13">
      <c r="A112" s="1967"/>
      <c r="B112" s="1960"/>
      <c r="C112" s="1965"/>
      <c r="D112" s="833">
        <v>4380</v>
      </c>
      <c r="E112" s="873">
        <v>3640</v>
      </c>
      <c r="F112" s="875">
        <v>3640</v>
      </c>
      <c r="G112" s="860"/>
      <c r="H112" s="860">
        <v>4000</v>
      </c>
      <c r="I112" s="853">
        <f t="shared" si="14"/>
        <v>1.098901098901099</v>
      </c>
      <c r="J112" s="860"/>
      <c r="K112" s="834">
        <f>H112+J112</f>
        <v>4000</v>
      </c>
      <c r="L112" s="874">
        <f t="shared" si="15"/>
        <v>1.098901098901099</v>
      </c>
      <c r="M112" s="1963"/>
    </row>
    <row r="113" spans="1:13">
      <c r="A113" s="1967"/>
      <c r="B113" s="1960"/>
      <c r="C113" s="1965"/>
      <c r="D113" s="833">
        <v>4390</v>
      </c>
      <c r="E113" s="873">
        <v>500</v>
      </c>
      <c r="F113" s="875">
        <v>500</v>
      </c>
      <c r="G113" s="860"/>
      <c r="H113" s="860">
        <v>1000</v>
      </c>
      <c r="I113" s="853">
        <f t="shared" si="14"/>
        <v>2</v>
      </c>
      <c r="J113" s="860"/>
      <c r="K113" s="834">
        <f>H113+J113</f>
        <v>1000</v>
      </c>
      <c r="L113" s="874">
        <f t="shared" si="15"/>
        <v>2</v>
      </c>
      <c r="M113" s="1963"/>
    </row>
    <row r="114" spans="1:13">
      <c r="A114" s="1967"/>
      <c r="B114" s="1960"/>
      <c r="C114" s="1965"/>
      <c r="D114" s="833">
        <v>4540</v>
      </c>
      <c r="E114" s="873">
        <v>15000</v>
      </c>
      <c r="F114" s="875">
        <v>15000</v>
      </c>
      <c r="G114" s="860"/>
      <c r="H114" s="860">
        <v>15000</v>
      </c>
      <c r="I114" s="853">
        <f t="shared" si="14"/>
        <v>1</v>
      </c>
      <c r="J114" s="860"/>
      <c r="K114" s="834">
        <f>H114+J114</f>
        <v>15000</v>
      </c>
      <c r="L114" s="874">
        <f t="shared" si="15"/>
        <v>1</v>
      </c>
      <c r="M114" s="1963"/>
    </row>
    <row r="115" spans="1:13">
      <c r="A115" s="1967"/>
      <c r="B115" s="1960"/>
      <c r="C115" s="642" t="s">
        <v>23</v>
      </c>
      <c r="D115" s="826"/>
      <c r="E115" s="868"/>
      <c r="F115" s="868"/>
      <c r="G115" s="857"/>
      <c r="H115" s="857"/>
      <c r="I115" s="853"/>
      <c r="J115" s="857"/>
      <c r="K115" s="830"/>
      <c r="L115" s="872"/>
      <c r="M115" s="1963"/>
    </row>
    <row r="116" spans="1:13" ht="14.25" customHeight="1">
      <c r="A116" s="1967"/>
      <c r="B116" s="1960"/>
      <c r="C116" s="642" t="s">
        <v>24</v>
      </c>
      <c r="D116" s="826">
        <v>3030</v>
      </c>
      <c r="E116" s="868">
        <v>5153</v>
      </c>
      <c r="F116" s="868">
        <v>5153</v>
      </c>
      <c r="G116" s="857"/>
      <c r="H116" s="857">
        <v>5200</v>
      </c>
      <c r="I116" s="853">
        <f>H116/E116</f>
        <v>1.009120900446342</v>
      </c>
      <c r="J116" s="857"/>
      <c r="K116" s="832">
        <f>H116+J116</f>
        <v>5200</v>
      </c>
      <c r="L116" s="872">
        <f t="shared" si="15"/>
        <v>1.009120900446342</v>
      </c>
      <c r="M116" s="1963"/>
    </row>
    <row r="117" spans="1:13" ht="24.75" customHeight="1">
      <c r="A117" s="1967"/>
      <c r="B117" s="1960"/>
      <c r="C117" s="643" t="s">
        <v>25</v>
      </c>
      <c r="D117" s="831"/>
      <c r="E117" s="871"/>
      <c r="F117" s="871"/>
      <c r="G117" s="857"/>
      <c r="H117" s="857"/>
      <c r="I117" s="853"/>
      <c r="J117" s="857"/>
      <c r="K117" s="830"/>
      <c r="L117" s="829"/>
      <c r="M117" s="1963"/>
    </row>
    <row r="118" spans="1:13">
      <c r="A118" s="1967"/>
      <c r="B118" s="1960"/>
      <c r="C118" s="642" t="s">
        <v>26</v>
      </c>
      <c r="D118" s="826"/>
      <c r="E118" s="868"/>
      <c r="F118" s="868"/>
      <c r="G118" s="857"/>
      <c r="H118" s="857"/>
      <c r="I118" s="870"/>
      <c r="J118" s="857"/>
      <c r="K118" s="830"/>
      <c r="L118" s="829"/>
      <c r="M118" s="1963"/>
    </row>
    <row r="119" spans="1:13" ht="19.5" customHeight="1">
      <c r="A119" s="1967"/>
      <c r="B119" s="1960"/>
      <c r="C119" s="642" t="s">
        <v>27</v>
      </c>
      <c r="D119" s="826"/>
      <c r="E119" s="868"/>
      <c r="F119" s="868"/>
      <c r="G119" s="857"/>
      <c r="H119" s="857"/>
      <c r="I119" s="870"/>
      <c r="J119" s="857"/>
      <c r="K119" s="830"/>
      <c r="L119" s="829"/>
      <c r="M119" s="1963"/>
    </row>
    <row r="120" spans="1:13">
      <c r="A120" s="1967"/>
      <c r="B120" s="1960"/>
      <c r="C120" s="644" t="s">
        <v>28</v>
      </c>
      <c r="D120" s="822"/>
      <c r="E120" s="876">
        <f>SUM(E121,E123,E124)</f>
        <v>0</v>
      </c>
      <c r="F120" s="876">
        <f>SUM(F121,F123,F124)</f>
        <v>0</v>
      </c>
      <c r="G120" s="876">
        <f>SUM(G121,G123,G124)</f>
        <v>0</v>
      </c>
      <c r="H120" s="876">
        <f>SUM(H121,H123,H124)</f>
        <v>0</v>
      </c>
      <c r="I120" s="870"/>
      <c r="J120" s="876">
        <f>SUM(J121,J123,J124)</f>
        <v>0</v>
      </c>
      <c r="K120" s="839">
        <f>SUM(K121,K123,K124)</f>
        <v>0</v>
      </c>
      <c r="L120" s="840"/>
      <c r="M120" s="1963"/>
    </row>
    <row r="121" spans="1:13">
      <c r="A121" s="1967"/>
      <c r="B121" s="1960"/>
      <c r="C121" s="642" t="s">
        <v>29</v>
      </c>
      <c r="D121" s="826"/>
      <c r="E121" s="868"/>
      <c r="F121" s="868"/>
      <c r="G121" s="857"/>
      <c r="H121" s="857"/>
      <c r="I121" s="853"/>
      <c r="J121" s="857"/>
      <c r="K121" s="830"/>
      <c r="L121" s="829"/>
      <c r="M121" s="1963"/>
    </row>
    <row r="122" spans="1:13" ht="22.5">
      <c r="A122" s="1967"/>
      <c r="B122" s="1960"/>
      <c r="C122" s="643" t="s">
        <v>479</v>
      </c>
      <c r="D122" s="831"/>
      <c r="E122" s="871"/>
      <c r="F122" s="871"/>
      <c r="G122" s="857"/>
      <c r="H122" s="857"/>
      <c r="I122" s="870"/>
      <c r="J122" s="857"/>
      <c r="K122" s="830"/>
      <c r="L122" s="829"/>
      <c r="M122" s="1963"/>
    </row>
    <row r="123" spans="1:13">
      <c r="A123" s="1967"/>
      <c r="B123" s="1960"/>
      <c r="C123" s="642" t="s">
        <v>31</v>
      </c>
      <c r="D123" s="826"/>
      <c r="E123" s="868"/>
      <c r="F123" s="868"/>
      <c r="G123" s="857"/>
      <c r="H123" s="857"/>
      <c r="I123" s="870"/>
      <c r="J123" s="857"/>
      <c r="K123" s="830"/>
      <c r="L123" s="829"/>
      <c r="M123" s="1963"/>
    </row>
    <row r="124" spans="1:13" ht="15" thickBot="1">
      <c r="A124" s="1968"/>
      <c r="B124" s="1961"/>
      <c r="C124" s="642" t="s">
        <v>32</v>
      </c>
      <c r="D124" s="826"/>
      <c r="E124" s="868"/>
      <c r="F124" s="868"/>
      <c r="G124" s="857"/>
      <c r="H124" s="857"/>
      <c r="I124" s="870"/>
      <c r="J124" s="852"/>
      <c r="K124" s="823"/>
      <c r="L124" s="825"/>
      <c r="M124" s="1964"/>
    </row>
    <row r="125" spans="1:13" ht="9" hidden="1" customHeight="1" thickBot="1">
      <c r="A125" s="877" t="s">
        <v>115</v>
      </c>
      <c r="B125" s="878"/>
      <c r="C125" s="879" t="s">
        <v>116</v>
      </c>
      <c r="D125" s="880"/>
      <c r="E125" s="881">
        <f>SUM(E126)</f>
        <v>0</v>
      </c>
      <c r="F125" s="881">
        <f>SUM(F126)</f>
        <v>30000</v>
      </c>
      <c r="G125" s="881">
        <f>SUM(G126)</f>
        <v>0</v>
      </c>
      <c r="H125" s="881">
        <f>SUM(H126)</f>
        <v>0</v>
      </c>
      <c r="I125" s="882"/>
      <c r="J125" s="881">
        <f>SUM(J126)</f>
        <v>0</v>
      </c>
      <c r="K125" s="881">
        <f>SUM(K126)</f>
        <v>0</v>
      </c>
      <c r="L125" s="816"/>
      <c r="M125" s="883"/>
    </row>
    <row r="126" spans="1:13" ht="15" hidden="1" thickBot="1">
      <c r="A126" s="1936"/>
      <c r="B126" s="1932" t="s">
        <v>139</v>
      </c>
      <c r="C126" s="660" t="s">
        <v>17</v>
      </c>
      <c r="D126" s="818"/>
      <c r="E126" s="819">
        <f>SUM(E127,E136)</f>
        <v>0</v>
      </c>
      <c r="F126" s="819">
        <f>SUM(F127,F136)</f>
        <v>30000</v>
      </c>
      <c r="G126" s="819">
        <f>SUM(G127,G136)</f>
        <v>0</v>
      </c>
      <c r="H126" s="819">
        <f>SUM(H127,H136)</f>
        <v>0</v>
      </c>
      <c r="I126" s="820"/>
      <c r="J126" s="819">
        <f>SUM(J127,J136)</f>
        <v>0</v>
      </c>
      <c r="K126" s="819">
        <f>SUM(K127,K136)</f>
        <v>0</v>
      </c>
      <c r="L126" s="821"/>
      <c r="M126" s="1950" t="s">
        <v>487</v>
      </c>
    </row>
    <row r="127" spans="1:13" ht="15" hidden="1" thickBot="1">
      <c r="A127" s="1936"/>
      <c r="B127" s="1932"/>
      <c r="C127" s="664" t="s">
        <v>18</v>
      </c>
      <c r="D127" s="822"/>
      <c r="E127" s="823">
        <f>SUM(E128,E131,E132,E133,E134,E135)</f>
        <v>0</v>
      </c>
      <c r="F127" s="823">
        <f>SUM(F128,F131,F132,F133,F134,F135)</f>
        <v>30000</v>
      </c>
      <c r="G127" s="823">
        <f>SUM(G128,G131,G132,G133,G134,G135)</f>
        <v>0</v>
      </c>
      <c r="H127" s="823">
        <f>SUM(H128,H131,H132,H133,H134,H135)</f>
        <v>0</v>
      </c>
      <c r="I127" s="824"/>
      <c r="J127" s="823">
        <f>SUM(J128,J131,J132,J133,J134,J135)</f>
        <v>0</v>
      </c>
      <c r="K127" s="823">
        <f>SUM(K128,K131,K132,K133,K134,K135)</f>
        <v>0</v>
      </c>
      <c r="L127" s="825"/>
      <c r="M127" s="1951"/>
    </row>
    <row r="128" spans="1:13" ht="15" hidden="1" thickBot="1">
      <c r="A128" s="1936"/>
      <c r="B128" s="1932"/>
      <c r="C128" s="668" t="s">
        <v>19</v>
      </c>
      <c r="D128" s="826"/>
      <c r="E128" s="827"/>
      <c r="F128" s="827"/>
      <c r="G128" s="827"/>
      <c r="H128" s="827"/>
      <c r="I128" s="828"/>
      <c r="J128" s="827"/>
      <c r="K128" s="827"/>
      <c r="L128" s="867"/>
      <c r="M128" s="1951"/>
    </row>
    <row r="129" spans="1:13" ht="15" hidden="1" thickBot="1">
      <c r="A129" s="1936"/>
      <c r="B129" s="1932"/>
      <c r="C129" s="668" t="s">
        <v>20</v>
      </c>
      <c r="D129" s="826"/>
      <c r="E129" s="827"/>
      <c r="F129" s="827"/>
      <c r="G129" s="830"/>
      <c r="H129" s="830"/>
      <c r="I129" s="828"/>
      <c r="J129" s="830"/>
      <c r="K129" s="830"/>
      <c r="L129" s="829"/>
      <c r="M129" s="1951"/>
    </row>
    <row r="130" spans="1:13" ht="15" hidden="1" thickBot="1">
      <c r="A130" s="1936"/>
      <c r="B130" s="1932"/>
      <c r="C130" s="863" t="s">
        <v>21</v>
      </c>
      <c r="D130" s="831"/>
      <c r="E130" s="832"/>
      <c r="F130" s="832"/>
      <c r="G130" s="832">
        <f>E130*0.95</f>
        <v>0</v>
      </c>
      <c r="H130" s="832"/>
      <c r="I130" s="828"/>
      <c r="J130" s="832"/>
      <c r="K130" s="832"/>
      <c r="L130" s="872"/>
      <c r="M130" s="1951"/>
    </row>
    <row r="131" spans="1:13" ht="15" hidden="1" thickBot="1">
      <c r="A131" s="1936"/>
      <c r="B131" s="1932"/>
      <c r="C131" s="668" t="s">
        <v>23</v>
      </c>
      <c r="D131" s="826">
        <v>2360</v>
      </c>
      <c r="E131" s="827">
        <v>0</v>
      </c>
      <c r="F131" s="827">
        <v>30000</v>
      </c>
      <c r="G131" s="830"/>
      <c r="H131" s="830">
        <v>0</v>
      </c>
      <c r="I131" s="828"/>
      <c r="J131" s="830"/>
      <c r="K131" s="830">
        <f>H131+J131</f>
        <v>0</v>
      </c>
      <c r="L131" s="829"/>
      <c r="M131" s="1951"/>
    </row>
    <row r="132" spans="1:13" ht="15" hidden="1" thickBot="1">
      <c r="A132" s="1936"/>
      <c r="B132" s="1932"/>
      <c r="C132" s="668" t="s">
        <v>24</v>
      </c>
      <c r="D132" s="826"/>
      <c r="E132" s="827"/>
      <c r="F132" s="827"/>
      <c r="G132" s="830"/>
      <c r="H132" s="830"/>
      <c r="I132" s="828"/>
      <c r="J132" s="830"/>
      <c r="K132" s="830"/>
      <c r="L132" s="829"/>
      <c r="M132" s="1951"/>
    </row>
    <row r="133" spans="1:13" ht="26.25" hidden="1" customHeight="1">
      <c r="A133" s="1936"/>
      <c r="B133" s="1932"/>
      <c r="C133" s="672" t="s">
        <v>25</v>
      </c>
      <c r="D133" s="831"/>
      <c r="E133" s="832"/>
      <c r="F133" s="832"/>
      <c r="G133" s="830"/>
      <c r="H133" s="830"/>
      <c r="I133" s="828"/>
      <c r="J133" s="830"/>
      <c r="K133" s="830"/>
      <c r="L133" s="829"/>
      <c r="M133" s="1951"/>
    </row>
    <row r="134" spans="1:13" ht="15" hidden="1" thickBot="1">
      <c r="A134" s="1936"/>
      <c r="B134" s="1932"/>
      <c r="C134" s="668" t="s">
        <v>26</v>
      </c>
      <c r="D134" s="826"/>
      <c r="E134" s="827"/>
      <c r="F134" s="827"/>
      <c r="G134" s="830"/>
      <c r="H134" s="830"/>
      <c r="I134" s="824"/>
      <c r="J134" s="830"/>
      <c r="K134" s="830"/>
      <c r="L134" s="829"/>
      <c r="M134" s="1951"/>
    </row>
    <row r="135" spans="1:13" ht="15" hidden="1" thickBot="1">
      <c r="A135" s="1936"/>
      <c r="B135" s="1932"/>
      <c r="C135" s="668" t="s">
        <v>27</v>
      </c>
      <c r="D135" s="826"/>
      <c r="E135" s="827"/>
      <c r="F135" s="827"/>
      <c r="G135" s="830"/>
      <c r="H135" s="830"/>
      <c r="I135" s="824"/>
      <c r="J135" s="830"/>
      <c r="K135" s="830"/>
      <c r="L135" s="829"/>
      <c r="M135" s="1951"/>
    </row>
    <row r="136" spans="1:13" ht="15" hidden="1" thickBot="1">
      <c r="A136" s="1936"/>
      <c r="B136" s="1932"/>
      <c r="C136" s="676" t="s">
        <v>28</v>
      </c>
      <c r="D136" s="822"/>
      <c r="E136" s="839">
        <f>SUM(E137,E139,E140)</f>
        <v>0</v>
      </c>
      <c r="F136" s="839">
        <f>SUM(F137,F139,F140)</f>
        <v>0</v>
      </c>
      <c r="G136" s="839">
        <f>SUM(G137,G139,G140)</f>
        <v>0</v>
      </c>
      <c r="H136" s="839">
        <f>SUM(H137,H139,H140)</f>
        <v>0</v>
      </c>
      <c r="I136" s="824"/>
      <c r="J136" s="839">
        <f>SUM(J137,J139,J140)</f>
        <v>0</v>
      </c>
      <c r="K136" s="839">
        <f>SUM(K137,K139,K140)</f>
        <v>0</v>
      </c>
      <c r="L136" s="840"/>
      <c r="M136" s="1951"/>
    </row>
    <row r="137" spans="1:13" ht="15" hidden="1" thickBot="1">
      <c r="A137" s="1936"/>
      <c r="B137" s="1932"/>
      <c r="C137" s="668" t="s">
        <v>29</v>
      </c>
      <c r="D137" s="826"/>
      <c r="E137" s="827"/>
      <c r="F137" s="827"/>
      <c r="G137" s="830"/>
      <c r="H137" s="830"/>
      <c r="I137" s="824"/>
      <c r="J137" s="830"/>
      <c r="K137" s="830"/>
      <c r="L137" s="829"/>
      <c r="M137" s="1951"/>
    </row>
    <row r="138" spans="1:13" ht="23.25" hidden="1" thickBot="1">
      <c r="A138" s="1936"/>
      <c r="B138" s="1932"/>
      <c r="C138" s="672" t="s">
        <v>479</v>
      </c>
      <c r="D138" s="831"/>
      <c r="E138" s="832"/>
      <c r="F138" s="832"/>
      <c r="G138" s="830"/>
      <c r="H138" s="830"/>
      <c r="I138" s="824"/>
      <c r="J138" s="830"/>
      <c r="K138" s="830"/>
      <c r="L138" s="829"/>
      <c r="M138" s="1951"/>
    </row>
    <row r="139" spans="1:13" ht="15" hidden="1" thickBot="1">
      <c r="A139" s="1936"/>
      <c r="B139" s="1932"/>
      <c r="C139" s="668" t="s">
        <v>31</v>
      </c>
      <c r="D139" s="826"/>
      <c r="E139" s="827"/>
      <c r="F139" s="827"/>
      <c r="G139" s="830"/>
      <c r="H139" s="830"/>
      <c r="I139" s="824"/>
      <c r="J139" s="830"/>
      <c r="K139" s="830"/>
      <c r="L139" s="829"/>
      <c r="M139" s="1951"/>
    </row>
    <row r="140" spans="1:13" ht="15" hidden="1" thickBot="1">
      <c r="A140" s="1936"/>
      <c r="B140" s="1932"/>
      <c r="C140" s="668" t="s">
        <v>32</v>
      </c>
      <c r="D140" s="826"/>
      <c r="E140" s="827"/>
      <c r="F140" s="827"/>
      <c r="G140" s="830"/>
      <c r="H140" s="830"/>
      <c r="I140" s="824"/>
      <c r="J140" s="823"/>
      <c r="K140" s="823"/>
      <c r="L140" s="825"/>
      <c r="M140" s="1951"/>
    </row>
    <row r="141" spans="1:13" ht="8.25" hidden="1" customHeight="1" thickBot="1">
      <c r="A141" s="877" t="s">
        <v>330</v>
      </c>
      <c r="B141" s="878"/>
      <c r="C141" s="879" t="s">
        <v>411</v>
      </c>
      <c r="D141" s="880"/>
      <c r="E141" s="881">
        <f>SUM(E142)</f>
        <v>0</v>
      </c>
      <c r="F141" s="881">
        <f>SUM(F142)</f>
        <v>101790</v>
      </c>
      <c r="G141" s="881">
        <f>SUM(G142)</f>
        <v>0</v>
      </c>
      <c r="H141" s="881">
        <f>SUM(H142)</f>
        <v>0</v>
      </c>
      <c r="I141" s="882"/>
      <c r="J141" s="881">
        <f>SUM(J142)</f>
        <v>0</v>
      </c>
      <c r="K141" s="881">
        <f>SUM(K142)</f>
        <v>0</v>
      </c>
      <c r="L141" s="816"/>
      <c r="M141" s="883"/>
    </row>
    <row r="142" spans="1:13" ht="15" hidden="1" thickBot="1">
      <c r="A142" s="1936"/>
      <c r="B142" s="1932" t="s">
        <v>488</v>
      </c>
      <c r="C142" s="660" t="s">
        <v>17</v>
      </c>
      <c r="D142" s="818"/>
      <c r="E142" s="819">
        <f>SUM(E143,E152)</f>
        <v>0</v>
      </c>
      <c r="F142" s="819">
        <f>SUM(F143,F152)</f>
        <v>101790</v>
      </c>
      <c r="G142" s="819">
        <f>SUM(G143,G152)</f>
        <v>0</v>
      </c>
      <c r="H142" s="819">
        <f>SUM(H143,H152)</f>
        <v>0</v>
      </c>
      <c r="I142" s="820"/>
      <c r="J142" s="819">
        <f>SUM(J143,J152)</f>
        <v>0</v>
      </c>
      <c r="K142" s="819">
        <f>SUM(K143,K152)</f>
        <v>0</v>
      </c>
      <c r="L142" s="821"/>
      <c r="M142" s="1950" t="s">
        <v>487</v>
      </c>
    </row>
    <row r="143" spans="1:13" ht="15" hidden="1" thickBot="1">
      <c r="A143" s="1936"/>
      <c r="B143" s="1932"/>
      <c r="C143" s="664" t="s">
        <v>18</v>
      </c>
      <c r="D143" s="822"/>
      <c r="E143" s="823">
        <f>SUM(E144,E147,E148,E149,E150,E151)</f>
        <v>0</v>
      </c>
      <c r="F143" s="823">
        <f>SUM(F144,F147,F148,F149,F150,F151)</f>
        <v>101790</v>
      </c>
      <c r="G143" s="823">
        <f>SUM(G144,G147,G148,G149,G150,G151)</f>
        <v>0</v>
      </c>
      <c r="H143" s="823">
        <f>SUM(H144,H147,H148,H149,H150,H151)</f>
        <v>0</v>
      </c>
      <c r="I143" s="824"/>
      <c r="J143" s="823">
        <f>SUM(J144,J147,J148,J149,J150,J151)</f>
        <v>0</v>
      </c>
      <c r="K143" s="823">
        <f>SUM(K144,K147,K148,K149,K150,K151)</f>
        <v>0</v>
      </c>
      <c r="L143" s="825"/>
      <c r="M143" s="1951"/>
    </row>
    <row r="144" spans="1:13" ht="15" hidden="1" thickBot="1">
      <c r="A144" s="1936"/>
      <c r="B144" s="1932"/>
      <c r="C144" s="668" t="s">
        <v>19</v>
      </c>
      <c r="D144" s="826"/>
      <c r="E144" s="827"/>
      <c r="F144" s="827"/>
      <c r="G144" s="827"/>
      <c r="H144" s="827"/>
      <c r="I144" s="828"/>
      <c r="J144" s="827"/>
      <c r="K144" s="827"/>
      <c r="L144" s="867"/>
      <c r="M144" s="1951"/>
    </row>
    <row r="145" spans="1:13" ht="15" hidden="1" thickBot="1">
      <c r="A145" s="1936"/>
      <c r="B145" s="1932"/>
      <c r="C145" s="668" t="s">
        <v>20</v>
      </c>
      <c r="D145" s="826"/>
      <c r="E145" s="827"/>
      <c r="F145" s="827"/>
      <c r="G145" s="830"/>
      <c r="H145" s="830"/>
      <c r="I145" s="828"/>
      <c r="J145" s="830"/>
      <c r="K145" s="830"/>
      <c r="L145" s="829"/>
      <c r="M145" s="1951"/>
    </row>
    <row r="146" spans="1:13" ht="15" hidden="1" thickBot="1">
      <c r="A146" s="1936"/>
      <c r="B146" s="1932"/>
      <c r="C146" s="863" t="s">
        <v>21</v>
      </c>
      <c r="D146" s="831"/>
      <c r="E146" s="832"/>
      <c r="F146" s="832"/>
      <c r="G146" s="832">
        <f>E146*0.95</f>
        <v>0</v>
      </c>
      <c r="H146" s="832"/>
      <c r="I146" s="828"/>
      <c r="J146" s="832"/>
      <c r="K146" s="832"/>
      <c r="L146" s="872"/>
      <c r="M146" s="1951"/>
    </row>
    <row r="147" spans="1:13" ht="15" hidden="1" thickBot="1">
      <c r="A147" s="1936"/>
      <c r="B147" s="1932"/>
      <c r="C147" s="668" t="s">
        <v>23</v>
      </c>
      <c r="D147" s="826">
        <v>2360</v>
      </c>
      <c r="E147" s="827">
        <v>0</v>
      </c>
      <c r="F147" s="827">
        <v>101790</v>
      </c>
      <c r="G147" s="830"/>
      <c r="H147" s="830">
        <v>0</v>
      </c>
      <c r="I147" s="828"/>
      <c r="J147" s="830"/>
      <c r="K147" s="830">
        <f>H147+J147</f>
        <v>0</v>
      </c>
      <c r="L147" s="829"/>
      <c r="M147" s="1951"/>
    </row>
    <row r="148" spans="1:13" ht="15" hidden="1" thickBot="1">
      <c r="A148" s="1936"/>
      <c r="B148" s="1932"/>
      <c r="C148" s="668" t="s">
        <v>24</v>
      </c>
      <c r="D148" s="826"/>
      <c r="E148" s="827"/>
      <c r="F148" s="827"/>
      <c r="G148" s="830"/>
      <c r="H148" s="830"/>
      <c r="I148" s="828"/>
      <c r="J148" s="830"/>
      <c r="K148" s="830"/>
      <c r="L148" s="829"/>
      <c r="M148" s="1951"/>
    </row>
    <row r="149" spans="1:13" ht="26.25" hidden="1" customHeight="1">
      <c r="A149" s="1936"/>
      <c r="B149" s="1932"/>
      <c r="C149" s="672" t="s">
        <v>25</v>
      </c>
      <c r="D149" s="831"/>
      <c r="E149" s="832"/>
      <c r="F149" s="832"/>
      <c r="G149" s="830"/>
      <c r="H149" s="830"/>
      <c r="I149" s="828"/>
      <c r="J149" s="830"/>
      <c r="K149" s="830"/>
      <c r="L149" s="829"/>
      <c r="M149" s="1951"/>
    </row>
    <row r="150" spans="1:13" ht="15" hidden="1" thickBot="1">
      <c r="A150" s="1936"/>
      <c r="B150" s="1932"/>
      <c r="C150" s="668" t="s">
        <v>26</v>
      </c>
      <c r="D150" s="826"/>
      <c r="E150" s="827"/>
      <c r="F150" s="827"/>
      <c r="G150" s="830"/>
      <c r="H150" s="830"/>
      <c r="I150" s="824"/>
      <c r="J150" s="830"/>
      <c r="K150" s="830"/>
      <c r="L150" s="829"/>
      <c r="M150" s="1951"/>
    </row>
    <row r="151" spans="1:13" ht="15" hidden="1" thickBot="1">
      <c r="A151" s="1936"/>
      <c r="B151" s="1932"/>
      <c r="C151" s="668" t="s">
        <v>27</v>
      </c>
      <c r="D151" s="826"/>
      <c r="E151" s="827"/>
      <c r="F151" s="827"/>
      <c r="G151" s="830"/>
      <c r="H151" s="830"/>
      <c r="I151" s="824"/>
      <c r="J151" s="830"/>
      <c r="K151" s="830"/>
      <c r="L151" s="829"/>
      <c r="M151" s="1951"/>
    </row>
    <row r="152" spans="1:13" ht="15" hidden="1" thickBot="1">
      <c r="A152" s="1936"/>
      <c r="B152" s="1932"/>
      <c r="C152" s="676" t="s">
        <v>28</v>
      </c>
      <c r="D152" s="822"/>
      <c r="E152" s="839">
        <f>SUM(E153,E155,E156)</f>
        <v>0</v>
      </c>
      <c r="F152" s="839">
        <f>SUM(F153,F155,F156)</f>
        <v>0</v>
      </c>
      <c r="G152" s="839">
        <f>SUM(G153,G155,G156)</f>
        <v>0</v>
      </c>
      <c r="H152" s="839">
        <f>SUM(H153,H155,H156)</f>
        <v>0</v>
      </c>
      <c r="I152" s="824"/>
      <c r="J152" s="839">
        <f>SUM(J153,J155,J156)</f>
        <v>0</v>
      </c>
      <c r="K152" s="839">
        <f>SUM(K153,K155,K156)</f>
        <v>0</v>
      </c>
      <c r="L152" s="840"/>
      <c r="M152" s="1951"/>
    </row>
    <row r="153" spans="1:13" ht="15" hidden="1" thickBot="1">
      <c r="A153" s="1936"/>
      <c r="B153" s="1932"/>
      <c r="C153" s="668" t="s">
        <v>29</v>
      </c>
      <c r="D153" s="826"/>
      <c r="E153" s="827"/>
      <c r="F153" s="827"/>
      <c r="G153" s="830"/>
      <c r="H153" s="830"/>
      <c r="I153" s="824"/>
      <c r="J153" s="830"/>
      <c r="K153" s="830"/>
      <c r="L153" s="829"/>
      <c r="M153" s="1951"/>
    </row>
    <row r="154" spans="1:13" ht="23.25" hidden="1" thickBot="1">
      <c r="A154" s="1936"/>
      <c r="B154" s="1932"/>
      <c r="C154" s="672" t="s">
        <v>479</v>
      </c>
      <c r="D154" s="831"/>
      <c r="E154" s="832"/>
      <c r="F154" s="832"/>
      <c r="G154" s="830"/>
      <c r="H154" s="830"/>
      <c r="I154" s="824"/>
      <c r="J154" s="830"/>
      <c r="K154" s="830"/>
      <c r="L154" s="829"/>
      <c r="M154" s="1951"/>
    </row>
    <row r="155" spans="1:13" ht="15" hidden="1" thickBot="1">
      <c r="A155" s="1936"/>
      <c r="B155" s="1932"/>
      <c r="C155" s="668" t="s">
        <v>31</v>
      </c>
      <c r="D155" s="826"/>
      <c r="E155" s="827"/>
      <c r="F155" s="827"/>
      <c r="G155" s="830"/>
      <c r="H155" s="830"/>
      <c r="I155" s="824"/>
      <c r="J155" s="830"/>
      <c r="K155" s="830"/>
      <c r="L155" s="829"/>
      <c r="M155" s="1951"/>
    </row>
    <row r="156" spans="1:13" ht="15" hidden="1" thickBot="1">
      <c r="A156" s="1937"/>
      <c r="B156" s="1933"/>
      <c r="C156" s="679" t="s">
        <v>32</v>
      </c>
      <c r="D156" s="884"/>
      <c r="E156" s="885"/>
      <c r="F156" s="885"/>
      <c r="G156" s="886"/>
      <c r="H156" s="886"/>
      <c r="I156" s="887"/>
      <c r="J156" s="888"/>
      <c r="K156" s="889"/>
      <c r="L156" s="890"/>
      <c r="M156" s="1952"/>
    </row>
    <row r="157" spans="1:13" ht="15">
      <c r="A157" s="392" t="s">
        <v>72</v>
      </c>
      <c r="B157" s="393"/>
      <c r="C157" s="812" t="s">
        <v>489</v>
      </c>
      <c r="D157" s="813"/>
      <c r="E157" s="814">
        <f>SUM(E158)</f>
        <v>35000</v>
      </c>
      <c r="F157" s="814">
        <f>SUM(F158)</f>
        <v>151880</v>
      </c>
      <c r="G157" s="814">
        <f>SUM(G158)</f>
        <v>0</v>
      </c>
      <c r="H157" s="814">
        <f>SUM(H158)</f>
        <v>37250</v>
      </c>
      <c r="I157" s="891">
        <f t="shared" ref="I157:I159" si="16">H157/E157</f>
        <v>1.0642857142857143</v>
      </c>
      <c r="J157" s="814">
        <f>SUM(J158)</f>
        <v>0</v>
      </c>
      <c r="K157" s="814">
        <f>SUM(K158)</f>
        <v>37250</v>
      </c>
      <c r="L157" s="892">
        <f>K157/E157</f>
        <v>1.0642857142857143</v>
      </c>
      <c r="M157" s="893"/>
    </row>
    <row r="158" spans="1:13">
      <c r="A158" s="1929"/>
      <c r="B158" s="1932" t="s">
        <v>76</v>
      </c>
      <c r="C158" s="660" t="s">
        <v>17</v>
      </c>
      <c r="D158" s="818"/>
      <c r="E158" s="819">
        <f>SUM(E159,E170)</f>
        <v>35000</v>
      </c>
      <c r="F158" s="819">
        <f t="shared" ref="F158:K158" si="17">SUM(F159,F170)</f>
        <v>151880</v>
      </c>
      <c r="G158" s="819">
        <f t="shared" si="17"/>
        <v>0</v>
      </c>
      <c r="H158" s="819">
        <f t="shared" si="17"/>
        <v>37250</v>
      </c>
      <c r="I158" s="820">
        <f t="shared" si="16"/>
        <v>1.0642857142857143</v>
      </c>
      <c r="J158" s="819">
        <f t="shared" si="17"/>
        <v>0</v>
      </c>
      <c r="K158" s="819">
        <f t="shared" si="17"/>
        <v>37250</v>
      </c>
      <c r="L158" s="821">
        <f>K158/E158</f>
        <v>1.0642857142857143</v>
      </c>
      <c r="M158" s="1953" t="s">
        <v>490</v>
      </c>
    </row>
    <row r="159" spans="1:13">
      <c r="A159" s="1930"/>
      <c r="B159" s="1932"/>
      <c r="C159" s="664" t="s">
        <v>18</v>
      </c>
      <c r="D159" s="822"/>
      <c r="E159" s="823">
        <f>SUM(E160,E165,E166,E167,E168,E169)</f>
        <v>35000</v>
      </c>
      <c r="F159" s="823">
        <f t="shared" ref="F159:K159" si="18">SUM(F160,F165,F166,F167,F168,F169)</f>
        <v>151880</v>
      </c>
      <c r="G159" s="823">
        <f t="shared" si="18"/>
        <v>0</v>
      </c>
      <c r="H159" s="823">
        <f t="shared" si="18"/>
        <v>37250</v>
      </c>
      <c r="I159" s="824">
        <f t="shared" si="16"/>
        <v>1.0642857142857143</v>
      </c>
      <c r="J159" s="823">
        <f t="shared" si="18"/>
        <v>0</v>
      </c>
      <c r="K159" s="823">
        <f t="shared" si="18"/>
        <v>37250</v>
      </c>
      <c r="L159" s="825">
        <f>K159/E159</f>
        <v>1.0642857142857143</v>
      </c>
      <c r="M159" s="1954"/>
    </row>
    <row r="160" spans="1:13">
      <c r="A160" s="1930"/>
      <c r="B160" s="1932"/>
      <c r="C160" s="668" t="s">
        <v>19</v>
      </c>
      <c r="D160" s="826"/>
      <c r="E160" s="827">
        <f>E161+E162</f>
        <v>35000</v>
      </c>
      <c r="F160" s="827">
        <f t="shared" ref="F160:K160" si="19">F161+F162</f>
        <v>135000</v>
      </c>
      <c r="G160" s="827">
        <f t="shared" si="19"/>
        <v>0</v>
      </c>
      <c r="H160" s="827">
        <f t="shared" si="19"/>
        <v>37250</v>
      </c>
      <c r="I160" s="828">
        <f>H160/E160</f>
        <v>1.0642857142857143</v>
      </c>
      <c r="J160" s="827">
        <f t="shared" si="19"/>
        <v>0</v>
      </c>
      <c r="K160" s="827">
        <f t="shared" si="19"/>
        <v>37250</v>
      </c>
      <c r="L160" s="867">
        <f>K160/E160</f>
        <v>1.0642857142857143</v>
      </c>
      <c r="M160" s="1954"/>
    </row>
    <row r="161" spans="1:13">
      <c r="A161" s="1930"/>
      <c r="B161" s="1932"/>
      <c r="C161" s="668" t="s">
        <v>20</v>
      </c>
      <c r="D161" s="826">
        <v>4170</v>
      </c>
      <c r="E161" s="827">
        <v>15000</v>
      </c>
      <c r="F161" s="827">
        <v>15000</v>
      </c>
      <c r="G161" s="830"/>
      <c r="H161" s="830">
        <v>17250</v>
      </c>
      <c r="I161" s="828">
        <f>H161/E161</f>
        <v>1.1499999999999999</v>
      </c>
      <c r="J161" s="830"/>
      <c r="K161" s="830">
        <f>H161+J161</f>
        <v>17250</v>
      </c>
      <c r="L161" s="867">
        <f t="shared" ref="L161:L164" si="20">K161/E161</f>
        <v>1.1499999999999999</v>
      </c>
      <c r="M161" s="1954"/>
    </row>
    <row r="162" spans="1:13" ht="15.75" customHeight="1">
      <c r="A162" s="1930"/>
      <c r="B162" s="1932"/>
      <c r="C162" s="1956" t="s">
        <v>21</v>
      </c>
      <c r="D162" s="831" t="s">
        <v>22</v>
      </c>
      <c r="E162" s="832">
        <f>SUM(E163:E164)</f>
        <v>20000</v>
      </c>
      <c r="F162" s="832">
        <f t="shared" ref="F162:K162" si="21">SUM(F163:F164)</f>
        <v>120000</v>
      </c>
      <c r="G162" s="832">
        <f t="shared" si="21"/>
        <v>0</v>
      </c>
      <c r="H162" s="832">
        <f t="shared" si="21"/>
        <v>20000</v>
      </c>
      <c r="I162" s="828">
        <f t="shared" ref="I162:I164" si="22">H162/E162</f>
        <v>1</v>
      </c>
      <c r="J162" s="832">
        <f t="shared" si="21"/>
        <v>0</v>
      </c>
      <c r="K162" s="832">
        <f t="shared" si="21"/>
        <v>20000</v>
      </c>
      <c r="L162" s="867">
        <f t="shared" si="20"/>
        <v>1</v>
      </c>
      <c r="M162" s="1954"/>
    </row>
    <row r="163" spans="1:13" ht="15.75" customHeight="1">
      <c r="A163" s="1930"/>
      <c r="B163" s="1932"/>
      <c r="C163" s="1957"/>
      <c r="D163" s="833">
        <v>4210</v>
      </c>
      <c r="E163" s="834">
        <v>12000</v>
      </c>
      <c r="F163" s="834">
        <v>12000</v>
      </c>
      <c r="G163" s="834"/>
      <c r="H163" s="834">
        <v>12000</v>
      </c>
      <c r="I163" s="837">
        <f t="shared" si="22"/>
        <v>1</v>
      </c>
      <c r="J163" s="834"/>
      <c r="K163" s="836">
        <f>H163+J163</f>
        <v>12000</v>
      </c>
      <c r="L163" s="869">
        <f t="shared" si="20"/>
        <v>1</v>
      </c>
      <c r="M163" s="1954"/>
    </row>
    <row r="164" spans="1:13" ht="15.75" customHeight="1">
      <c r="A164" s="1930"/>
      <c r="B164" s="1932"/>
      <c r="C164" s="1958"/>
      <c r="D164" s="833">
        <v>4300</v>
      </c>
      <c r="E164" s="834">
        <v>8000</v>
      </c>
      <c r="F164" s="834">
        <v>108000</v>
      </c>
      <c r="G164" s="834"/>
      <c r="H164" s="834">
        <v>8000</v>
      </c>
      <c r="I164" s="837">
        <f t="shared" si="22"/>
        <v>1</v>
      </c>
      <c r="J164" s="834"/>
      <c r="K164" s="836">
        <f>H164+J164</f>
        <v>8000</v>
      </c>
      <c r="L164" s="869">
        <f t="shared" si="20"/>
        <v>1</v>
      </c>
      <c r="M164" s="1954"/>
    </row>
    <row r="165" spans="1:13">
      <c r="A165" s="1930"/>
      <c r="B165" s="1932"/>
      <c r="C165" s="169" t="s">
        <v>23</v>
      </c>
      <c r="D165" s="826">
        <v>2360</v>
      </c>
      <c r="E165" s="827">
        <v>0</v>
      </c>
      <c r="F165" s="827">
        <v>16880</v>
      </c>
      <c r="G165" s="830"/>
      <c r="H165" s="830"/>
      <c r="I165" s="828"/>
      <c r="J165" s="830"/>
      <c r="K165" s="830">
        <v>0</v>
      </c>
      <c r="L165" s="867"/>
      <c r="M165" s="1954"/>
    </row>
    <row r="166" spans="1:13">
      <c r="A166" s="1930"/>
      <c r="B166" s="1932"/>
      <c r="C166" s="668" t="s">
        <v>24</v>
      </c>
      <c r="D166" s="826"/>
      <c r="E166" s="827"/>
      <c r="F166" s="827"/>
      <c r="G166" s="830"/>
      <c r="H166" s="830"/>
      <c r="I166" s="828"/>
      <c r="J166" s="830"/>
      <c r="K166" s="830"/>
      <c r="L166" s="829"/>
      <c r="M166" s="1954"/>
    </row>
    <row r="167" spans="1:13" ht="25.5" customHeight="1">
      <c r="A167" s="1930"/>
      <c r="B167" s="1932"/>
      <c r="C167" s="672" t="s">
        <v>25</v>
      </c>
      <c r="D167" s="831"/>
      <c r="E167" s="832"/>
      <c r="F167" s="832"/>
      <c r="G167" s="830"/>
      <c r="H167" s="830"/>
      <c r="I167" s="828"/>
      <c r="J167" s="830"/>
      <c r="K167" s="830"/>
      <c r="L167" s="829"/>
      <c r="M167" s="1954"/>
    </row>
    <row r="168" spans="1:13">
      <c r="A168" s="1930"/>
      <c r="B168" s="1932"/>
      <c r="C168" s="668" t="s">
        <v>26</v>
      </c>
      <c r="D168" s="826"/>
      <c r="E168" s="827"/>
      <c r="F168" s="827"/>
      <c r="G168" s="830"/>
      <c r="H168" s="830"/>
      <c r="I168" s="824"/>
      <c r="J168" s="830"/>
      <c r="K168" s="830"/>
      <c r="L168" s="829"/>
      <c r="M168" s="1954"/>
    </row>
    <row r="169" spans="1:13">
      <c r="A169" s="1930"/>
      <c r="B169" s="1932"/>
      <c r="C169" s="668" t="s">
        <v>27</v>
      </c>
      <c r="D169" s="826"/>
      <c r="E169" s="827"/>
      <c r="F169" s="827"/>
      <c r="G169" s="830"/>
      <c r="H169" s="830"/>
      <c r="I169" s="824"/>
      <c r="J169" s="830"/>
      <c r="K169" s="830"/>
      <c r="L169" s="829"/>
      <c r="M169" s="1954"/>
    </row>
    <row r="170" spans="1:13">
      <c r="A170" s="1930"/>
      <c r="B170" s="1932"/>
      <c r="C170" s="676" t="s">
        <v>28</v>
      </c>
      <c r="D170" s="822"/>
      <c r="E170" s="839">
        <f>SUM(E171,E173,E174)</f>
        <v>0</v>
      </c>
      <c r="F170" s="839">
        <f>SUM(F171,F173,F174)</f>
        <v>0</v>
      </c>
      <c r="G170" s="839">
        <f>SUM(G171,G173,G174)</f>
        <v>0</v>
      </c>
      <c r="H170" s="839">
        <f>SUM(H171,H173,H174)</f>
        <v>0</v>
      </c>
      <c r="I170" s="824"/>
      <c r="J170" s="839">
        <f>SUM(J171,J173,J174)</f>
        <v>0</v>
      </c>
      <c r="K170" s="839">
        <f>SUM(K171,K173,K174)</f>
        <v>0</v>
      </c>
      <c r="L170" s="840"/>
      <c r="M170" s="1954"/>
    </row>
    <row r="171" spans="1:13">
      <c r="A171" s="1930"/>
      <c r="B171" s="1932"/>
      <c r="C171" s="668" t="s">
        <v>29</v>
      </c>
      <c r="D171" s="826"/>
      <c r="E171" s="827"/>
      <c r="F171" s="827"/>
      <c r="G171" s="830"/>
      <c r="H171" s="830"/>
      <c r="I171" s="824"/>
      <c r="J171" s="830"/>
      <c r="K171" s="830"/>
      <c r="L171" s="829"/>
      <c r="M171" s="1954"/>
    </row>
    <row r="172" spans="1:13" ht="22.5">
      <c r="A172" s="1930"/>
      <c r="B172" s="1932"/>
      <c r="C172" s="672" t="s">
        <v>479</v>
      </c>
      <c r="D172" s="831"/>
      <c r="E172" s="832"/>
      <c r="F172" s="832"/>
      <c r="G172" s="830"/>
      <c r="H172" s="830"/>
      <c r="I172" s="824"/>
      <c r="J172" s="830"/>
      <c r="K172" s="830"/>
      <c r="L172" s="829"/>
      <c r="M172" s="1954"/>
    </row>
    <row r="173" spans="1:13">
      <c r="A173" s="1930"/>
      <c r="B173" s="1932"/>
      <c r="C173" s="668" t="s">
        <v>31</v>
      </c>
      <c r="D173" s="826"/>
      <c r="E173" s="827"/>
      <c r="F173" s="827"/>
      <c r="G173" s="830"/>
      <c r="H173" s="830"/>
      <c r="I173" s="824"/>
      <c r="J173" s="830"/>
      <c r="K173" s="830"/>
      <c r="L173" s="829"/>
      <c r="M173" s="1954"/>
    </row>
    <row r="174" spans="1:13" ht="15" thickBot="1">
      <c r="A174" s="1930"/>
      <c r="B174" s="1932"/>
      <c r="C174" s="668" t="s">
        <v>32</v>
      </c>
      <c r="D174" s="826"/>
      <c r="E174" s="827"/>
      <c r="F174" s="827"/>
      <c r="G174" s="830"/>
      <c r="H174" s="830"/>
      <c r="I174" s="824"/>
      <c r="J174" s="823"/>
      <c r="K174" s="823"/>
      <c r="L174" s="894"/>
      <c r="M174" s="1955"/>
    </row>
    <row r="175" spans="1:13" ht="23.25" customHeight="1" thickBot="1">
      <c r="A175" s="1948" t="s">
        <v>33</v>
      </c>
      <c r="B175" s="1949"/>
      <c r="C175" s="1949"/>
      <c r="D175" s="895"/>
      <c r="E175" s="896">
        <f>SUM(E22,E141,E157,E125)</f>
        <v>1372829</v>
      </c>
      <c r="F175" s="896">
        <f t="shared" ref="F175:K175" si="23">SUM(F22,F141,F157,F125)</f>
        <v>1681499</v>
      </c>
      <c r="G175" s="896" t="e">
        <f t="shared" si="23"/>
        <v>#REF!</v>
      </c>
      <c r="H175" s="896">
        <f t="shared" si="23"/>
        <v>1530013</v>
      </c>
      <c r="I175" s="897">
        <f>H175/F175</f>
        <v>0.9099101456498041</v>
      </c>
      <c r="J175" s="896">
        <f t="shared" si="23"/>
        <v>-780</v>
      </c>
      <c r="K175" s="896">
        <f t="shared" si="23"/>
        <v>1529233</v>
      </c>
      <c r="L175" s="898">
        <f>K175/E175</f>
        <v>1.1139282459796522</v>
      </c>
      <c r="M175" s="899"/>
    </row>
    <row r="176" spans="1:13">
      <c r="E176" s="382"/>
      <c r="F176" s="382"/>
      <c r="G176" s="382"/>
      <c r="H176" s="382"/>
      <c r="I176" s="382"/>
      <c r="J176" s="382"/>
      <c r="K176" s="382"/>
    </row>
    <row r="178" spans="5:11">
      <c r="E178" s="382"/>
      <c r="F178" s="382"/>
      <c r="G178" s="382"/>
      <c r="H178" s="382"/>
      <c r="I178" s="382"/>
      <c r="J178" s="382"/>
    </row>
    <row r="179" spans="5:11">
      <c r="E179" s="382"/>
      <c r="F179" s="382"/>
      <c r="G179" s="382"/>
      <c r="H179" s="382"/>
      <c r="I179" s="382"/>
      <c r="J179" s="382"/>
      <c r="K179" s="382"/>
    </row>
  </sheetData>
  <mergeCells count="47">
    <mergeCell ref="A7:A21"/>
    <mergeCell ref="B7:B21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5:C5"/>
    <mergeCell ref="M6:M21"/>
    <mergeCell ref="M62:M79"/>
    <mergeCell ref="C66:C69"/>
    <mergeCell ref="B80:B104"/>
    <mergeCell ref="M80:M104"/>
    <mergeCell ref="C83:C87"/>
    <mergeCell ref="C88:C94"/>
    <mergeCell ref="B62:B79"/>
    <mergeCell ref="B105:B124"/>
    <mergeCell ref="M105:M124"/>
    <mergeCell ref="C109:C114"/>
    <mergeCell ref="A126:A140"/>
    <mergeCell ref="B126:B140"/>
    <mergeCell ref="M126:M140"/>
    <mergeCell ref="A23:A124"/>
    <mergeCell ref="B23:B39"/>
    <mergeCell ref="M23:M39"/>
    <mergeCell ref="C27:C29"/>
    <mergeCell ref="B40:B50"/>
    <mergeCell ref="M40:M61"/>
    <mergeCell ref="C43:C46"/>
    <mergeCell ref="C47:C51"/>
    <mergeCell ref="B51:B61"/>
    <mergeCell ref="A175:C175"/>
    <mergeCell ref="A142:A156"/>
    <mergeCell ref="B142:B156"/>
    <mergeCell ref="M142:M156"/>
    <mergeCell ref="A158:A174"/>
    <mergeCell ref="B158:B174"/>
    <mergeCell ref="M158:M174"/>
    <mergeCell ref="C162:C164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74" orientation="landscape" horizontalDpi="4294967295" verticalDpi="4294967295" r:id="rId1"/>
  <rowBreaks count="1" manualBreakCount="1">
    <brk id="104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FFFF"/>
  </sheetPr>
  <dimension ref="A1:L24"/>
  <sheetViews>
    <sheetView view="pageBreakPreview" zoomScaleSheetLayoutView="100" workbookViewId="0">
      <selection activeCell="N7" sqref="N7"/>
    </sheetView>
  </sheetViews>
  <sheetFormatPr defaultRowHeight="12.75" outlineLevelCol="1"/>
  <cols>
    <col min="1" max="2" width="5.42578125" style="257" customWidth="1"/>
    <col min="3" max="3" width="41.5703125" style="257" customWidth="1"/>
    <col min="4" max="4" width="4.5703125" style="257" bestFit="1" customWidth="1"/>
    <col min="5" max="5" width="12.7109375" style="257" customWidth="1"/>
    <col min="6" max="6" width="12.5703125" style="257" customWidth="1"/>
    <col min="7" max="7" width="8.5703125" style="257" hidden="1" customWidth="1" outlineLevel="1"/>
    <col min="8" max="8" width="12" style="257" hidden="1" customWidth="1" collapsed="1"/>
    <col min="9" max="9" width="6" style="257" hidden="1" customWidth="1"/>
    <col min="10" max="10" width="9.5703125" style="257" bestFit="1" customWidth="1"/>
    <col min="11" max="11" width="12.28515625" style="257" customWidth="1"/>
    <col min="12" max="12" width="85.28515625" style="257" customWidth="1"/>
    <col min="13" max="243" width="9.140625" style="257"/>
    <col min="244" max="244" width="4.28515625" style="257" bestFit="1" customWidth="1"/>
    <col min="245" max="245" width="6.85546875" style="257" bestFit="1" customWidth="1"/>
    <col min="246" max="246" width="11" style="257" customWidth="1"/>
    <col min="247" max="247" width="11.140625" style="257" bestFit="1" customWidth="1"/>
    <col min="248" max="248" width="10.85546875" style="257" customWidth="1"/>
    <col min="249" max="249" width="11.5703125" style="257" customWidth="1"/>
    <col min="250" max="250" width="11.140625" style="257" bestFit="1" customWidth="1"/>
    <col min="251" max="251" width="11" style="257" customWidth="1"/>
    <col min="252" max="252" width="10.42578125" style="257" customWidth="1"/>
    <col min="253" max="253" width="11.28515625" style="257" customWidth="1"/>
    <col min="254" max="255" width="9.140625" style="257" bestFit="1" customWidth="1"/>
    <col min="256" max="257" width="11.140625" style="257" bestFit="1" customWidth="1"/>
    <col min="258" max="258" width="11.5703125" style="257" bestFit="1" customWidth="1"/>
    <col min="259" max="259" width="9.140625" style="257" bestFit="1" customWidth="1"/>
    <col min="260" max="260" width="10.28515625" style="257" customWidth="1"/>
    <col min="261" max="499" width="9.140625" style="257"/>
    <col min="500" max="500" width="4.28515625" style="257" bestFit="1" customWidth="1"/>
    <col min="501" max="501" width="6.85546875" style="257" bestFit="1" customWidth="1"/>
    <col min="502" max="502" width="11" style="257" customWidth="1"/>
    <col min="503" max="503" width="11.140625" style="257" bestFit="1" customWidth="1"/>
    <col min="504" max="504" width="10.85546875" style="257" customWidth="1"/>
    <col min="505" max="505" width="11.5703125" style="257" customWidth="1"/>
    <col min="506" max="506" width="11.140625" style="257" bestFit="1" customWidth="1"/>
    <col min="507" max="507" width="11" style="257" customWidth="1"/>
    <col min="508" max="508" width="10.42578125" style="257" customWidth="1"/>
    <col min="509" max="509" width="11.28515625" style="257" customWidth="1"/>
    <col min="510" max="511" width="9.140625" style="257" bestFit="1" customWidth="1"/>
    <col min="512" max="513" width="11.140625" style="257" bestFit="1" customWidth="1"/>
    <col min="514" max="514" width="11.5703125" style="257" bestFit="1" customWidth="1"/>
    <col min="515" max="515" width="9.140625" style="257" bestFit="1" customWidth="1"/>
    <col min="516" max="516" width="10.28515625" style="257" customWidth="1"/>
    <col min="517" max="755" width="9.140625" style="257"/>
    <col min="756" max="756" width="4.28515625" style="257" bestFit="1" customWidth="1"/>
    <col min="757" max="757" width="6.85546875" style="257" bestFit="1" customWidth="1"/>
    <col min="758" max="758" width="11" style="257" customWidth="1"/>
    <col min="759" max="759" width="11.140625" style="257" bestFit="1" customWidth="1"/>
    <col min="760" max="760" width="10.85546875" style="257" customWidth="1"/>
    <col min="761" max="761" width="11.5703125" style="257" customWidth="1"/>
    <col min="762" max="762" width="11.140625" style="257" bestFit="1" customWidth="1"/>
    <col min="763" max="763" width="11" style="257" customWidth="1"/>
    <col min="764" max="764" width="10.42578125" style="257" customWidth="1"/>
    <col min="765" max="765" width="11.28515625" style="257" customWidth="1"/>
    <col min="766" max="767" width="9.140625" style="257" bestFit="1" customWidth="1"/>
    <col min="768" max="769" width="11.140625" style="257" bestFit="1" customWidth="1"/>
    <col min="770" max="770" width="11.5703125" style="257" bestFit="1" customWidth="1"/>
    <col min="771" max="771" width="9.140625" style="257" bestFit="1" customWidth="1"/>
    <col min="772" max="772" width="10.28515625" style="257" customWidth="1"/>
    <col min="773" max="1011" width="9.140625" style="257"/>
    <col min="1012" max="1012" width="4.28515625" style="257" bestFit="1" customWidth="1"/>
    <col min="1013" max="1013" width="6.85546875" style="257" bestFit="1" customWidth="1"/>
    <col min="1014" max="1014" width="11" style="257" customWidth="1"/>
    <col min="1015" max="1015" width="11.140625" style="257" bestFit="1" customWidth="1"/>
    <col min="1016" max="1016" width="10.85546875" style="257" customWidth="1"/>
    <col min="1017" max="1017" width="11.5703125" style="257" customWidth="1"/>
    <col min="1018" max="1018" width="11.140625" style="257" bestFit="1" customWidth="1"/>
    <col min="1019" max="1019" width="11" style="257" customWidth="1"/>
    <col min="1020" max="1020" width="10.42578125" style="257" customWidth="1"/>
    <col min="1021" max="1021" width="11.28515625" style="257" customWidth="1"/>
    <col min="1022" max="1023" width="9.140625" style="257" bestFit="1" customWidth="1"/>
    <col min="1024" max="1025" width="11.140625" style="257" bestFit="1" customWidth="1"/>
    <col min="1026" max="1026" width="11.5703125" style="257" bestFit="1" customWidth="1"/>
    <col min="1027" max="1027" width="9.140625" style="257" bestFit="1" customWidth="1"/>
    <col min="1028" max="1028" width="10.28515625" style="257" customWidth="1"/>
    <col min="1029" max="1267" width="9.140625" style="257"/>
    <col min="1268" max="1268" width="4.28515625" style="257" bestFit="1" customWidth="1"/>
    <col min="1269" max="1269" width="6.85546875" style="257" bestFit="1" customWidth="1"/>
    <col min="1270" max="1270" width="11" style="257" customWidth="1"/>
    <col min="1271" max="1271" width="11.140625" style="257" bestFit="1" customWidth="1"/>
    <col min="1272" max="1272" width="10.85546875" style="257" customWidth="1"/>
    <col min="1273" max="1273" width="11.5703125" style="257" customWidth="1"/>
    <col min="1274" max="1274" width="11.140625" style="257" bestFit="1" customWidth="1"/>
    <col min="1275" max="1275" width="11" style="257" customWidth="1"/>
    <col min="1276" max="1276" width="10.42578125" style="257" customWidth="1"/>
    <col min="1277" max="1277" width="11.28515625" style="257" customWidth="1"/>
    <col min="1278" max="1279" width="9.140625" style="257" bestFit="1" customWidth="1"/>
    <col min="1280" max="1281" width="11.140625" style="257" bestFit="1" customWidth="1"/>
    <col min="1282" max="1282" width="11.5703125" style="257" bestFit="1" customWidth="1"/>
    <col min="1283" max="1283" width="9.140625" style="257" bestFit="1" customWidth="1"/>
    <col min="1284" max="1284" width="10.28515625" style="257" customWidth="1"/>
    <col min="1285" max="1523" width="9.140625" style="257"/>
    <col min="1524" max="1524" width="4.28515625" style="257" bestFit="1" customWidth="1"/>
    <col min="1525" max="1525" width="6.85546875" style="257" bestFit="1" customWidth="1"/>
    <col min="1526" max="1526" width="11" style="257" customWidth="1"/>
    <col min="1527" max="1527" width="11.140625" style="257" bestFit="1" customWidth="1"/>
    <col min="1528" max="1528" width="10.85546875" style="257" customWidth="1"/>
    <col min="1529" max="1529" width="11.5703125" style="257" customWidth="1"/>
    <col min="1530" max="1530" width="11.140625" style="257" bestFit="1" customWidth="1"/>
    <col min="1531" max="1531" width="11" style="257" customWidth="1"/>
    <col min="1532" max="1532" width="10.42578125" style="257" customWidth="1"/>
    <col min="1533" max="1533" width="11.28515625" style="257" customWidth="1"/>
    <col min="1534" max="1535" width="9.140625" style="257" bestFit="1" customWidth="1"/>
    <col min="1536" max="1537" width="11.140625" style="257" bestFit="1" customWidth="1"/>
    <col min="1538" max="1538" width="11.5703125" style="257" bestFit="1" customWidth="1"/>
    <col min="1539" max="1539" width="9.140625" style="257" bestFit="1" customWidth="1"/>
    <col min="1540" max="1540" width="10.28515625" style="257" customWidth="1"/>
    <col min="1541" max="1779" width="9.140625" style="257"/>
    <col min="1780" max="1780" width="4.28515625" style="257" bestFit="1" customWidth="1"/>
    <col min="1781" max="1781" width="6.85546875" style="257" bestFit="1" customWidth="1"/>
    <col min="1782" max="1782" width="11" style="257" customWidth="1"/>
    <col min="1783" max="1783" width="11.140625" style="257" bestFit="1" customWidth="1"/>
    <col min="1784" max="1784" width="10.85546875" style="257" customWidth="1"/>
    <col min="1785" max="1785" width="11.5703125" style="257" customWidth="1"/>
    <col min="1786" max="1786" width="11.140625" style="257" bestFit="1" customWidth="1"/>
    <col min="1787" max="1787" width="11" style="257" customWidth="1"/>
    <col min="1788" max="1788" width="10.42578125" style="257" customWidth="1"/>
    <col min="1789" max="1789" width="11.28515625" style="257" customWidth="1"/>
    <col min="1790" max="1791" width="9.140625" style="257" bestFit="1" customWidth="1"/>
    <col min="1792" max="1793" width="11.140625" style="257" bestFit="1" customWidth="1"/>
    <col min="1794" max="1794" width="11.5703125" style="257" bestFit="1" customWidth="1"/>
    <col min="1795" max="1795" width="9.140625" style="257" bestFit="1" customWidth="1"/>
    <col min="1796" max="1796" width="10.28515625" style="257" customWidth="1"/>
    <col min="1797" max="2035" width="9.140625" style="257"/>
    <col min="2036" max="2036" width="4.28515625" style="257" bestFit="1" customWidth="1"/>
    <col min="2037" max="2037" width="6.85546875" style="257" bestFit="1" customWidth="1"/>
    <col min="2038" max="2038" width="11" style="257" customWidth="1"/>
    <col min="2039" max="2039" width="11.140625" style="257" bestFit="1" customWidth="1"/>
    <col min="2040" max="2040" width="10.85546875" style="257" customWidth="1"/>
    <col min="2041" max="2041" width="11.5703125" style="257" customWidth="1"/>
    <col min="2042" max="2042" width="11.140625" style="257" bestFit="1" customWidth="1"/>
    <col min="2043" max="2043" width="11" style="257" customWidth="1"/>
    <col min="2044" max="2044" width="10.42578125" style="257" customWidth="1"/>
    <col min="2045" max="2045" width="11.28515625" style="257" customWidth="1"/>
    <col min="2046" max="2047" width="9.140625" style="257" bestFit="1" customWidth="1"/>
    <col min="2048" max="2049" width="11.140625" style="257" bestFit="1" customWidth="1"/>
    <col min="2050" max="2050" width="11.5703125" style="257" bestFit="1" customWidth="1"/>
    <col min="2051" max="2051" width="9.140625" style="257" bestFit="1" customWidth="1"/>
    <col min="2052" max="2052" width="10.28515625" style="257" customWidth="1"/>
    <col min="2053" max="2291" width="9.140625" style="257"/>
    <col min="2292" max="2292" width="4.28515625" style="257" bestFit="1" customWidth="1"/>
    <col min="2293" max="2293" width="6.85546875" style="257" bestFit="1" customWidth="1"/>
    <col min="2294" max="2294" width="11" style="257" customWidth="1"/>
    <col min="2295" max="2295" width="11.140625" style="257" bestFit="1" customWidth="1"/>
    <col min="2296" max="2296" width="10.85546875" style="257" customWidth="1"/>
    <col min="2297" max="2297" width="11.5703125" style="257" customWidth="1"/>
    <col min="2298" max="2298" width="11.140625" style="257" bestFit="1" customWidth="1"/>
    <col min="2299" max="2299" width="11" style="257" customWidth="1"/>
    <col min="2300" max="2300" width="10.42578125" style="257" customWidth="1"/>
    <col min="2301" max="2301" width="11.28515625" style="257" customWidth="1"/>
    <col min="2302" max="2303" width="9.140625" style="257" bestFit="1" customWidth="1"/>
    <col min="2304" max="2305" width="11.140625" style="257" bestFit="1" customWidth="1"/>
    <col min="2306" max="2306" width="11.5703125" style="257" bestFit="1" customWidth="1"/>
    <col min="2307" max="2307" width="9.140625" style="257" bestFit="1" customWidth="1"/>
    <col min="2308" max="2308" width="10.28515625" style="257" customWidth="1"/>
    <col min="2309" max="2547" width="9.140625" style="257"/>
    <col min="2548" max="2548" width="4.28515625" style="257" bestFit="1" customWidth="1"/>
    <col min="2549" max="2549" width="6.85546875" style="257" bestFit="1" customWidth="1"/>
    <col min="2550" max="2550" width="11" style="257" customWidth="1"/>
    <col min="2551" max="2551" width="11.140625" style="257" bestFit="1" customWidth="1"/>
    <col min="2552" max="2552" width="10.85546875" style="257" customWidth="1"/>
    <col min="2553" max="2553" width="11.5703125" style="257" customWidth="1"/>
    <col min="2554" max="2554" width="11.140625" style="257" bestFit="1" customWidth="1"/>
    <col min="2555" max="2555" width="11" style="257" customWidth="1"/>
    <col min="2556" max="2556" width="10.42578125" style="257" customWidth="1"/>
    <col min="2557" max="2557" width="11.28515625" style="257" customWidth="1"/>
    <col min="2558" max="2559" width="9.140625" style="257" bestFit="1" customWidth="1"/>
    <col min="2560" max="2561" width="11.140625" style="257" bestFit="1" customWidth="1"/>
    <col min="2562" max="2562" width="11.5703125" style="257" bestFit="1" customWidth="1"/>
    <col min="2563" max="2563" width="9.140625" style="257" bestFit="1" customWidth="1"/>
    <col min="2564" max="2564" width="10.28515625" style="257" customWidth="1"/>
    <col min="2565" max="2803" width="9.140625" style="257"/>
    <col min="2804" max="2804" width="4.28515625" style="257" bestFit="1" customWidth="1"/>
    <col min="2805" max="2805" width="6.85546875" style="257" bestFit="1" customWidth="1"/>
    <col min="2806" max="2806" width="11" style="257" customWidth="1"/>
    <col min="2807" max="2807" width="11.140625" style="257" bestFit="1" customWidth="1"/>
    <col min="2808" max="2808" width="10.85546875" style="257" customWidth="1"/>
    <col min="2809" max="2809" width="11.5703125" style="257" customWidth="1"/>
    <col min="2810" max="2810" width="11.140625" style="257" bestFit="1" customWidth="1"/>
    <col min="2811" max="2811" width="11" style="257" customWidth="1"/>
    <col min="2812" max="2812" width="10.42578125" style="257" customWidth="1"/>
    <col min="2813" max="2813" width="11.28515625" style="257" customWidth="1"/>
    <col min="2814" max="2815" width="9.140625" style="257" bestFit="1" customWidth="1"/>
    <col min="2816" max="2817" width="11.140625" style="257" bestFit="1" customWidth="1"/>
    <col min="2818" max="2818" width="11.5703125" style="257" bestFit="1" customWidth="1"/>
    <col min="2819" max="2819" width="9.140625" style="257" bestFit="1" customWidth="1"/>
    <col min="2820" max="2820" width="10.28515625" style="257" customWidth="1"/>
    <col min="2821" max="3059" width="9.140625" style="257"/>
    <col min="3060" max="3060" width="4.28515625" style="257" bestFit="1" customWidth="1"/>
    <col min="3061" max="3061" width="6.85546875" style="257" bestFit="1" customWidth="1"/>
    <col min="3062" max="3062" width="11" style="257" customWidth="1"/>
    <col min="3063" max="3063" width="11.140625" style="257" bestFit="1" customWidth="1"/>
    <col min="3064" max="3064" width="10.85546875" style="257" customWidth="1"/>
    <col min="3065" max="3065" width="11.5703125" style="257" customWidth="1"/>
    <col min="3066" max="3066" width="11.140625" style="257" bestFit="1" customWidth="1"/>
    <col min="3067" max="3067" width="11" style="257" customWidth="1"/>
    <col min="3068" max="3068" width="10.42578125" style="257" customWidth="1"/>
    <col min="3069" max="3069" width="11.28515625" style="257" customWidth="1"/>
    <col min="3070" max="3071" width="9.140625" style="257" bestFit="1" customWidth="1"/>
    <col min="3072" max="3073" width="11.140625" style="257" bestFit="1" customWidth="1"/>
    <col min="3074" max="3074" width="11.5703125" style="257" bestFit="1" customWidth="1"/>
    <col min="3075" max="3075" width="9.140625" style="257" bestFit="1" customWidth="1"/>
    <col min="3076" max="3076" width="10.28515625" style="257" customWidth="1"/>
    <col min="3077" max="3315" width="9.140625" style="257"/>
    <col min="3316" max="3316" width="4.28515625" style="257" bestFit="1" customWidth="1"/>
    <col min="3317" max="3317" width="6.85546875" style="257" bestFit="1" customWidth="1"/>
    <col min="3318" max="3318" width="11" style="257" customWidth="1"/>
    <col min="3319" max="3319" width="11.140625" style="257" bestFit="1" customWidth="1"/>
    <col min="3320" max="3320" width="10.85546875" style="257" customWidth="1"/>
    <col min="3321" max="3321" width="11.5703125" style="257" customWidth="1"/>
    <col min="3322" max="3322" width="11.140625" style="257" bestFit="1" customWidth="1"/>
    <col min="3323" max="3323" width="11" style="257" customWidth="1"/>
    <col min="3324" max="3324" width="10.42578125" style="257" customWidth="1"/>
    <col min="3325" max="3325" width="11.28515625" style="257" customWidth="1"/>
    <col min="3326" max="3327" width="9.140625" style="257" bestFit="1" customWidth="1"/>
    <col min="3328" max="3329" width="11.140625" style="257" bestFit="1" customWidth="1"/>
    <col min="3330" max="3330" width="11.5703125" style="257" bestFit="1" customWidth="1"/>
    <col min="3331" max="3331" width="9.140625" style="257" bestFit="1" customWidth="1"/>
    <col min="3332" max="3332" width="10.28515625" style="257" customWidth="1"/>
    <col min="3333" max="3571" width="9.140625" style="257"/>
    <col min="3572" max="3572" width="4.28515625" style="257" bestFit="1" customWidth="1"/>
    <col min="3573" max="3573" width="6.85546875" style="257" bestFit="1" customWidth="1"/>
    <col min="3574" max="3574" width="11" style="257" customWidth="1"/>
    <col min="3575" max="3575" width="11.140625" style="257" bestFit="1" customWidth="1"/>
    <col min="3576" max="3576" width="10.85546875" style="257" customWidth="1"/>
    <col min="3577" max="3577" width="11.5703125" style="257" customWidth="1"/>
    <col min="3578" max="3578" width="11.140625" style="257" bestFit="1" customWidth="1"/>
    <col min="3579" max="3579" width="11" style="257" customWidth="1"/>
    <col min="3580" max="3580" width="10.42578125" style="257" customWidth="1"/>
    <col min="3581" max="3581" width="11.28515625" style="257" customWidth="1"/>
    <col min="3582" max="3583" width="9.140625" style="257" bestFit="1" customWidth="1"/>
    <col min="3584" max="3585" width="11.140625" style="257" bestFit="1" customWidth="1"/>
    <col min="3586" max="3586" width="11.5703125" style="257" bestFit="1" customWidth="1"/>
    <col min="3587" max="3587" width="9.140625" style="257" bestFit="1" customWidth="1"/>
    <col min="3588" max="3588" width="10.28515625" style="257" customWidth="1"/>
    <col min="3589" max="3827" width="9.140625" style="257"/>
    <col min="3828" max="3828" width="4.28515625" style="257" bestFit="1" customWidth="1"/>
    <col min="3829" max="3829" width="6.85546875" style="257" bestFit="1" customWidth="1"/>
    <col min="3830" max="3830" width="11" style="257" customWidth="1"/>
    <col min="3831" max="3831" width="11.140625" style="257" bestFit="1" customWidth="1"/>
    <col min="3832" max="3832" width="10.85546875" style="257" customWidth="1"/>
    <col min="3833" max="3833" width="11.5703125" style="257" customWidth="1"/>
    <col min="3834" max="3834" width="11.140625" style="257" bestFit="1" customWidth="1"/>
    <col min="3835" max="3835" width="11" style="257" customWidth="1"/>
    <col min="3836" max="3836" width="10.42578125" style="257" customWidth="1"/>
    <col min="3837" max="3837" width="11.28515625" style="257" customWidth="1"/>
    <col min="3838" max="3839" width="9.140625" style="257" bestFit="1" customWidth="1"/>
    <col min="3840" max="3841" width="11.140625" style="257" bestFit="1" customWidth="1"/>
    <col min="3842" max="3842" width="11.5703125" style="257" bestFit="1" customWidth="1"/>
    <col min="3843" max="3843" width="9.140625" style="257" bestFit="1" customWidth="1"/>
    <col min="3844" max="3844" width="10.28515625" style="257" customWidth="1"/>
    <col min="3845" max="4083" width="9.140625" style="257"/>
    <col min="4084" max="4084" width="4.28515625" style="257" bestFit="1" customWidth="1"/>
    <col min="4085" max="4085" width="6.85546875" style="257" bestFit="1" customWidth="1"/>
    <col min="4086" max="4086" width="11" style="257" customWidth="1"/>
    <col min="4087" max="4087" width="11.140625" style="257" bestFit="1" customWidth="1"/>
    <col min="4088" max="4088" width="10.85546875" style="257" customWidth="1"/>
    <col min="4089" max="4089" width="11.5703125" style="257" customWidth="1"/>
    <col min="4090" max="4090" width="11.140625" style="257" bestFit="1" customWidth="1"/>
    <col min="4091" max="4091" width="11" style="257" customWidth="1"/>
    <col min="4092" max="4092" width="10.42578125" style="257" customWidth="1"/>
    <col min="4093" max="4093" width="11.28515625" style="257" customWidth="1"/>
    <col min="4094" max="4095" width="9.140625" style="257" bestFit="1" customWidth="1"/>
    <col min="4096" max="4097" width="11.140625" style="257" bestFit="1" customWidth="1"/>
    <col min="4098" max="4098" width="11.5703125" style="257" bestFit="1" customWidth="1"/>
    <col min="4099" max="4099" width="9.140625" style="257" bestFit="1" customWidth="1"/>
    <col min="4100" max="4100" width="10.28515625" style="257" customWidth="1"/>
    <col min="4101" max="4339" width="9.140625" style="257"/>
    <col min="4340" max="4340" width="4.28515625" style="257" bestFit="1" customWidth="1"/>
    <col min="4341" max="4341" width="6.85546875" style="257" bestFit="1" customWidth="1"/>
    <col min="4342" max="4342" width="11" style="257" customWidth="1"/>
    <col min="4343" max="4343" width="11.140625" style="257" bestFit="1" customWidth="1"/>
    <col min="4344" max="4344" width="10.85546875" style="257" customWidth="1"/>
    <col min="4345" max="4345" width="11.5703125" style="257" customWidth="1"/>
    <col min="4346" max="4346" width="11.140625" style="257" bestFit="1" customWidth="1"/>
    <col min="4347" max="4347" width="11" style="257" customWidth="1"/>
    <col min="4348" max="4348" width="10.42578125" style="257" customWidth="1"/>
    <col min="4349" max="4349" width="11.28515625" style="257" customWidth="1"/>
    <col min="4350" max="4351" width="9.140625" style="257" bestFit="1" customWidth="1"/>
    <col min="4352" max="4353" width="11.140625" style="257" bestFit="1" customWidth="1"/>
    <col min="4354" max="4354" width="11.5703125" style="257" bestFit="1" customWidth="1"/>
    <col min="4355" max="4355" width="9.140625" style="257" bestFit="1" customWidth="1"/>
    <col min="4356" max="4356" width="10.28515625" style="257" customWidth="1"/>
    <col min="4357" max="4595" width="9.140625" style="257"/>
    <col min="4596" max="4596" width="4.28515625" style="257" bestFit="1" customWidth="1"/>
    <col min="4597" max="4597" width="6.85546875" style="257" bestFit="1" customWidth="1"/>
    <col min="4598" max="4598" width="11" style="257" customWidth="1"/>
    <col min="4599" max="4599" width="11.140625" style="257" bestFit="1" customWidth="1"/>
    <col min="4600" max="4600" width="10.85546875" style="257" customWidth="1"/>
    <col min="4601" max="4601" width="11.5703125" style="257" customWidth="1"/>
    <col min="4602" max="4602" width="11.140625" style="257" bestFit="1" customWidth="1"/>
    <col min="4603" max="4603" width="11" style="257" customWidth="1"/>
    <col min="4604" max="4604" width="10.42578125" style="257" customWidth="1"/>
    <col min="4605" max="4605" width="11.28515625" style="257" customWidth="1"/>
    <col min="4606" max="4607" width="9.140625" style="257" bestFit="1" customWidth="1"/>
    <col min="4608" max="4609" width="11.140625" style="257" bestFit="1" customWidth="1"/>
    <col min="4610" max="4610" width="11.5703125" style="257" bestFit="1" customWidth="1"/>
    <col min="4611" max="4611" width="9.140625" style="257" bestFit="1" customWidth="1"/>
    <col min="4612" max="4612" width="10.28515625" style="257" customWidth="1"/>
    <col min="4613" max="4851" width="9.140625" style="257"/>
    <col min="4852" max="4852" width="4.28515625" style="257" bestFit="1" customWidth="1"/>
    <col min="4853" max="4853" width="6.85546875" style="257" bestFit="1" customWidth="1"/>
    <col min="4854" max="4854" width="11" style="257" customWidth="1"/>
    <col min="4855" max="4855" width="11.140625" style="257" bestFit="1" customWidth="1"/>
    <col min="4856" max="4856" width="10.85546875" style="257" customWidth="1"/>
    <col min="4857" max="4857" width="11.5703125" style="257" customWidth="1"/>
    <col min="4858" max="4858" width="11.140625" style="257" bestFit="1" customWidth="1"/>
    <col min="4859" max="4859" width="11" style="257" customWidth="1"/>
    <col min="4860" max="4860" width="10.42578125" style="257" customWidth="1"/>
    <col min="4861" max="4861" width="11.28515625" style="257" customWidth="1"/>
    <col min="4862" max="4863" width="9.140625" style="257" bestFit="1" customWidth="1"/>
    <col min="4864" max="4865" width="11.140625" style="257" bestFit="1" customWidth="1"/>
    <col min="4866" max="4866" width="11.5703125" style="257" bestFit="1" customWidth="1"/>
    <col min="4867" max="4867" width="9.140625" style="257" bestFit="1" customWidth="1"/>
    <col min="4868" max="4868" width="10.28515625" style="257" customWidth="1"/>
    <col min="4869" max="5107" width="9.140625" style="257"/>
    <col min="5108" max="5108" width="4.28515625" style="257" bestFit="1" customWidth="1"/>
    <col min="5109" max="5109" width="6.85546875" style="257" bestFit="1" customWidth="1"/>
    <col min="5110" max="5110" width="11" style="257" customWidth="1"/>
    <col min="5111" max="5111" width="11.140625" style="257" bestFit="1" customWidth="1"/>
    <col min="5112" max="5112" width="10.85546875" style="257" customWidth="1"/>
    <col min="5113" max="5113" width="11.5703125" style="257" customWidth="1"/>
    <col min="5114" max="5114" width="11.140625" style="257" bestFit="1" customWidth="1"/>
    <col min="5115" max="5115" width="11" style="257" customWidth="1"/>
    <col min="5116" max="5116" width="10.42578125" style="257" customWidth="1"/>
    <col min="5117" max="5117" width="11.28515625" style="257" customWidth="1"/>
    <col min="5118" max="5119" width="9.140625" style="257" bestFit="1" customWidth="1"/>
    <col min="5120" max="5121" width="11.140625" style="257" bestFit="1" customWidth="1"/>
    <col min="5122" max="5122" width="11.5703125" style="257" bestFit="1" customWidth="1"/>
    <col min="5123" max="5123" width="9.140625" style="257" bestFit="1" customWidth="1"/>
    <col min="5124" max="5124" width="10.28515625" style="257" customWidth="1"/>
    <col min="5125" max="5363" width="9.140625" style="257"/>
    <col min="5364" max="5364" width="4.28515625" style="257" bestFit="1" customWidth="1"/>
    <col min="5365" max="5365" width="6.85546875" style="257" bestFit="1" customWidth="1"/>
    <col min="5366" max="5366" width="11" style="257" customWidth="1"/>
    <col min="5367" max="5367" width="11.140625" style="257" bestFit="1" customWidth="1"/>
    <col min="5368" max="5368" width="10.85546875" style="257" customWidth="1"/>
    <col min="5369" max="5369" width="11.5703125" style="257" customWidth="1"/>
    <col min="5370" max="5370" width="11.140625" style="257" bestFit="1" customWidth="1"/>
    <col min="5371" max="5371" width="11" style="257" customWidth="1"/>
    <col min="5372" max="5372" width="10.42578125" style="257" customWidth="1"/>
    <col min="5373" max="5373" width="11.28515625" style="257" customWidth="1"/>
    <col min="5374" max="5375" width="9.140625" style="257" bestFit="1" customWidth="1"/>
    <col min="5376" max="5377" width="11.140625" style="257" bestFit="1" customWidth="1"/>
    <col min="5378" max="5378" width="11.5703125" style="257" bestFit="1" customWidth="1"/>
    <col min="5379" max="5379" width="9.140625" style="257" bestFit="1" customWidth="1"/>
    <col min="5380" max="5380" width="10.28515625" style="257" customWidth="1"/>
    <col min="5381" max="5619" width="9.140625" style="257"/>
    <col min="5620" max="5620" width="4.28515625" style="257" bestFit="1" customWidth="1"/>
    <col min="5621" max="5621" width="6.85546875" style="257" bestFit="1" customWidth="1"/>
    <col min="5622" max="5622" width="11" style="257" customWidth="1"/>
    <col min="5623" max="5623" width="11.140625" style="257" bestFit="1" customWidth="1"/>
    <col min="5624" max="5624" width="10.85546875" style="257" customWidth="1"/>
    <col min="5625" max="5625" width="11.5703125" style="257" customWidth="1"/>
    <col min="5626" max="5626" width="11.140625" style="257" bestFit="1" customWidth="1"/>
    <col min="5627" max="5627" width="11" style="257" customWidth="1"/>
    <col min="5628" max="5628" width="10.42578125" style="257" customWidth="1"/>
    <col min="5629" max="5629" width="11.28515625" style="257" customWidth="1"/>
    <col min="5630" max="5631" width="9.140625" style="257" bestFit="1" customWidth="1"/>
    <col min="5632" max="5633" width="11.140625" style="257" bestFit="1" customWidth="1"/>
    <col min="5634" max="5634" width="11.5703125" style="257" bestFit="1" customWidth="1"/>
    <col min="5635" max="5635" width="9.140625" style="257" bestFit="1" customWidth="1"/>
    <col min="5636" max="5636" width="10.28515625" style="257" customWidth="1"/>
    <col min="5637" max="5875" width="9.140625" style="257"/>
    <col min="5876" max="5876" width="4.28515625" style="257" bestFit="1" customWidth="1"/>
    <col min="5877" max="5877" width="6.85546875" style="257" bestFit="1" customWidth="1"/>
    <col min="5878" max="5878" width="11" style="257" customWidth="1"/>
    <col min="5879" max="5879" width="11.140625" style="257" bestFit="1" customWidth="1"/>
    <col min="5880" max="5880" width="10.85546875" style="257" customWidth="1"/>
    <col min="5881" max="5881" width="11.5703125" style="257" customWidth="1"/>
    <col min="5882" max="5882" width="11.140625" style="257" bestFit="1" customWidth="1"/>
    <col min="5883" max="5883" width="11" style="257" customWidth="1"/>
    <col min="5884" max="5884" width="10.42578125" style="257" customWidth="1"/>
    <col min="5885" max="5885" width="11.28515625" style="257" customWidth="1"/>
    <col min="5886" max="5887" width="9.140625" style="257" bestFit="1" customWidth="1"/>
    <col min="5888" max="5889" width="11.140625" style="257" bestFit="1" customWidth="1"/>
    <col min="5890" max="5890" width="11.5703125" style="257" bestFit="1" customWidth="1"/>
    <col min="5891" max="5891" width="9.140625" style="257" bestFit="1" customWidth="1"/>
    <col min="5892" max="5892" width="10.28515625" style="257" customWidth="1"/>
    <col min="5893" max="6131" width="9.140625" style="257"/>
    <col min="6132" max="6132" width="4.28515625" style="257" bestFit="1" customWidth="1"/>
    <col min="6133" max="6133" width="6.85546875" style="257" bestFit="1" customWidth="1"/>
    <col min="6134" max="6134" width="11" style="257" customWidth="1"/>
    <col min="6135" max="6135" width="11.140625" style="257" bestFit="1" customWidth="1"/>
    <col min="6136" max="6136" width="10.85546875" style="257" customWidth="1"/>
    <col min="6137" max="6137" width="11.5703125" style="257" customWidth="1"/>
    <col min="6138" max="6138" width="11.140625" style="257" bestFit="1" customWidth="1"/>
    <col min="6139" max="6139" width="11" style="257" customWidth="1"/>
    <col min="6140" max="6140" width="10.42578125" style="257" customWidth="1"/>
    <col min="6141" max="6141" width="11.28515625" style="257" customWidth="1"/>
    <col min="6142" max="6143" width="9.140625" style="257" bestFit="1" customWidth="1"/>
    <col min="6144" max="6145" width="11.140625" style="257" bestFit="1" customWidth="1"/>
    <col min="6146" max="6146" width="11.5703125" style="257" bestFit="1" customWidth="1"/>
    <col min="6147" max="6147" width="9.140625" style="257" bestFit="1" customWidth="1"/>
    <col min="6148" max="6148" width="10.28515625" style="257" customWidth="1"/>
    <col min="6149" max="6387" width="9.140625" style="257"/>
    <col min="6388" max="6388" width="4.28515625" style="257" bestFit="1" customWidth="1"/>
    <col min="6389" max="6389" width="6.85546875" style="257" bestFit="1" customWidth="1"/>
    <col min="6390" max="6390" width="11" style="257" customWidth="1"/>
    <col min="6391" max="6391" width="11.140625" style="257" bestFit="1" customWidth="1"/>
    <col min="6392" max="6392" width="10.85546875" style="257" customWidth="1"/>
    <col min="6393" max="6393" width="11.5703125" style="257" customWidth="1"/>
    <col min="6394" max="6394" width="11.140625" style="257" bestFit="1" customWidth="1"/>
    <col min="6395" max="6395" width="11" style="257" customWidth="1"/>
    <col min="6396" max="6396" width="10.42578125" style="257" customWidth="1"/>
    <col min="6397" max="6397" width="11.28515625" style="257" customWidth="1"/>
    <col min="6398" max="6399" width="9.140625" style="257" bestFit="1" customWidth="1"/>
    <col min="6400" max="6401" width="11.140625" style="257" bestFit="1" customWidth="1"/>
    <col min="6402" max="6402" width="11.5703125" style="257" bestFit="1" customWidth="1"/>
    <col min="6403" max="6403" width="9.140625" style="257" bestFit="1" customWidth="1"/>
    <col min="6404" max="6404" width="10.28515625" style="257" customWidth="1"/>
    <col min="6405" max="6643" width="9.140625" style="257"/>
    <col min="6644" max="6644" width="4.28515625" style="257" bestFit="1" customWidth="1"/>
    <col min="6645" max="6645" width="6.85546875" style="257" bestFit="1" customWidth="1"/>
    <col min="6646" max="6646" width="11" style="257" customWidth="1"/>
    <col min="6647" max="6647" width="11.140625" style="257" bestFit="1" customWidth="1"/>
    <col min="6648" max="6648" width="10.85546875" style="257" customWidth="1"/>
    <col min="6649" max="6649" width="11.5703125" style="257" customWidth="1"/>
    <col min="6650" max="6650" width="11.140625" style="257" bestFit="1" customWidth="1"/>
    <col min="6651" max="6651" width="11" style="257" customWidth="1"/>
    <col min="6652" max="6652" width="10.42578125" style="257" customWidth="1"/>
    <col min="6653" max="6653" width="11.28515625" style="257" customWidth="1"/>
    <col min="6654" max="6655" width="9.140625" style="257" bestFit="1" customWidth="1"/>
    <col min="6656" max="6657" width="11.140625" style="257" bestFit="1" customWidth="1"/>
    <col min="6658" max="6658" width="11.5703125" style="257" bestFit="1" customWidth="1"/>
    <col min="6659" max="6659" width="9.140625" style="257" bestFit="1" customWidth="1"/>
    <col min="6660" max="6660" width="10.28515625" style="257" customWidth="1"/>
    <col min="6661" max="6899" width="9.140625" style="257"/>
    <col min="6900" max="6900" width="4.28515625" style="257" bestFit="1" customWidth="1"/>
    <col min="6901" max="6901" width="6.85546875" style="257" bestFit="1" customWidth="1"/>
    <col min="6902" max="6902" width="11" style="257" customWidth="1"/>
    <col min="6903" max="6903" width="11.140625" style="257" bestFit="1" customWidth="1"/>
    <col min="6904" max="6904" width="10.85546875" style="257" customWidth="1"/>
    <col min="6905" max="6905" width="11.5703125" style="257" customWidth="1"/>
    <col min="6906" max="6906" width="11.140625" style="257" bestFit="1" customWidth="1"/>
    <col min="6907" max="6907" width="11" style="257" customWidth="1"/>
    <col min="6908" max="6908" width="10.42578125" style="257" customWidth="1"/>
    <col min="6909" max="6909" width="11.28515625" style="257" customWidth="1"/>
    <col min="6910" max="6911" width="9.140625" style="257" bestFit="1" customWidth="1"/>
    <col min="6912" max="6913" width="11.140625" style="257" bestFit="1" customWidth="1"/>
    <col min="6914" max="6914" width="11.5703125" style="257" bestFit="1" customWidth="1"/>
    <col min="6915" max="6915" width="9.140625" style="257" bestFit="1" customWidth="1"/>
    <col min="6916" max="6916" width="10.28515625" style="257" customWidth="1"/>
    <col min="6917" max="7155" width="9.140625" style="257"/>
    <col min="7156" max="7156" width="4.28515625" style="257" bestFit="1" customWidth="1"/>
    <col min="7157" max="7157" width="6.85546875" style="257" bestFit="1" customWidth="1"/>
    <col min="7158" max="7158" width="11" style="257" customWidth="1"/>
    <col min="7159" max="7159" width="11.140625" style="257" bestFit="1" customWidth="1"/>
    <col min="7160" max="7160" width="10.85546875" style="257" customWidth="1"/>
    <col min="7161" max="7161" width="11.5703125" style="257" customWidth="1"/>
    <col min="7162" max="7162" width="11.140625" style="257" bestFit="1" customWidth="1"/>
    <col min="7163" max="7163" width="11" style="257" customWidth="1"/>
    <col min="7164" max="7164" width="10.42578125" style="257" customWidth="1"/>
    <col min="7165" max="7165" width="11.28515625" style="257" customWidth="1"/>
    <col min="7166" max="7167" width="9.140625" style="257" bestFit="1" customWidth="1"/>
    <col min="7168" max="7169" width="11.140625" style="257" bestFit="1" customWidth="1"/>
    <col min="7170" max="7170" width="11.5703125" style="257" bestFit="1" customWidth="1"/>
    <col min="7171" max="7171" width="9.140625" style="257" bestFit="1" customWidth="1"/>
    <col min="7172" max="7172" width="10.28515625" style="257" customWidth="1"/>
    <col min="7173" max="7411" width="9.140625" style="257"/>
    <col min="7412" max="7412" width="4.28515625" style="257" bestFit="1" customWidth="1"/>
    <col min="7413" max="7413" width="6.85546875" style="257" bestFit="1" customWidth="1"/>
    <col min="7414" max="7414" width="11" style="257" customWidth="1"/>
    <col min="7415" max="7415" width="11.140625" style="257" bestFit="1" customWidth="1"/>
    <col min="7416" max="7416" width="10.85546875" style="257" customWidth="1"/>
    <col min="7417" max="7417" width="11.5703125" style="257" customWidth="1"/>
    <col min="7418" max="7418" width="11.140625" style="257" bestFit="1" customWidth="1"/>
    <col min="7419" max="7419" width="11" style="257" customWidth="1"/>
    <col min="7420" max="7420" width="10.42578125" style="257" customWidth="1"/>
    <col min="7421" max="7421" width="11.28515625" style="257" customWidth="1"/>
    <col min="7422" max="7423" width="9.140625" style="257" bestFit="1" customWidth="1"/>
    <col min="7424" max="7425" width="11.140625" style="257" bestFit="1" customWidth="1"/>
    <col min="7426" max="7426" width="11.5703125" style="257" bestFit="1" customWidth="1"/>
    <col min="7427" max="7427" width="9.140625" style="257" bestFit="1" customWidth="1"/>
    <col min="7428" max="7428" width="10.28515625" style="257" customWidth="1"/>
    <col min="7429" max="7667" width="9.140625" style="257"/>
    <col min="7668" max="7668" width="4.28515625" style="257" bestFit="1" customWidth="1"/>
    <col min="7669" max="7669" width="6.85546875" style="257" bestFit="1" customWidth="1"/>
    <col min="7670" max="7670" width="11" style="257" customWidth="1"/>
    <col min="7671" max="7671" width="11.140625" style="257" bestFit="1" customWidth="1"/>
    <col min="7672" max="7672" width="10.85546875" style="257" customWidth="1"/>
    <col min="7673" max="7673" width="11.5703125" style="257" customWidth="1"/>
    <col min="7674" max="7674" width="11.140625" style="257" bestFit="1" customWidth="1"/>
    <col min="7675" max="7675" width="11" style="257" customWidth="1"/>
    <col min="7676" max="7676" width="10.42578125" style="257" customWidth="1"/>
    <col min="7677" max="7677" width="11.28515625" style="257" customWidth="1"/>
    <col min="7678" max="7679" width="9.140625" style="257" bestFit="1" customWidth="1"/>
    <col min="7680" max="7681" width="11.140625" style="257" bestFit="1" customWidth="1"/>
    <col min="7682" max="7682" width="11.5703125" style="257" bestFit="1" customWidth="1"/>
    <col min="7683" max="7683" width="9.140625" style="257" bestFit="1" customWidth="1"/>
    <col min="7684" max="7684" width="10.28515625" style="257" customWidth="1"/>
    <col min="7685" max="7923" width="9.140625" style="257"/>
    <col min="7924" max="7924" width="4.28515625" style="257" bestFit="1" customWidth="1"/>
    <col min="7925" max="7925" width="6.85546875" style="257" bestFit="1" customWidth="1"/>
    <col min="7926" max="7926" width="11" style="257" customWidth="1"/>
    <col min="7927" max="7927" width="11.140625" style="257" bestFit="1" customWidth="1"/>
    <col min="7928" max="7928" width="10.85546875" style="257" customWidth="1"/>
    <col min="7929" max="7929" width="11.5703125" style="257" customWidth="1"/>
    <col min="7930" max="7930" width="11.140625" style="257" bestFit="1" customWidth="1"/>
    <col min="7931" max="7931" width="11" style="257" customWidth="1"/>
    <col min="7932" max="7932" width="10.42578125" style="257" customWidth="1"/>
    <col min="7933" max="7933" width="11.28515625" style="257" customWidth="1"/>
    <col min="7934" max="7935" width="9.140625" style="257" bestFit="1" customWidth="1"/>
    <col min="7936" max="7937" width="11.140625" style="257" bestFit="1" customWidth="1"/>
    <col min="7938" max="7938" width="11.5703125" style="257" bestFit="1" customWidth="1"/>
    <col min="7939" max="7939" width="9.140625" style="257" bestFit="1" customWidth="1"/>
    <col min="7940" max="7940" width="10.28515625" style="257" customWidth="1"/>
    <col min="7941" max="8179" width="9.140625" style="257"/>
    <col min="8180" max="8180" width="4.28515625" style="257" bestFit="1" customWidth="1"/>
    <col min="8181" max="8181" width="6.85546875" style="257" bestFit="1" customWidth="1"/>
    <col min="8182" max="8182" width="11" style="257" customWidth="1"/>
    <col min="8183" max="8183" width="11.140625" style="257" bestFit="1" customWidth="1"/>
    <col min="8184" max="8184" width="10.85546875" style="257" customWidth="1"/>
    <col min="8185" max="8185" width="11.5703125" style="257" customWidth="1"/>
    <col min="8186" max="8186" width="11.140625" style="257" bestFit="1" customWidth="1"/>
    <col min="8187" max="8187" width="11" style="257" customWidth="1"/>
    <col min="8188" max="8188" width="10.42578125" style="257" customWidth="1"/>
    <col min="8189" max="8189" width="11.28515625" style="257" customWidth="1"/>
    <col min="8190" max="8191" width="9.140625" style="257" bestFit="1" customWidth="1"/>
    <col min="8192" max="8193" width="11.140625" style="257" bestFit="1" customWidth="1"/>
    <col min="8194" max="8194" width="11.5703125" style="257" bestFit="1" customWidth="1"/>
    <col min="8195" max="8195" width="9.140625" style="257" bestFit="1" customWidth="1"/>
    <col min="8196" max="8196" width="10.28515625" style="257" customWidth="1"/>
    <col min="8197" max="8435" width="9.140625" style="257"/>
    <col min="8436" max="8436" width="4.28515625" style="257" bestFit="1" customWidth="1"/>
    <col min="8437" max="8437" width="6.85546875" style="257" bestFit="1" customWidth="1"/>
    <col min="8438" max="8438" width="11" style="257" customWidth="1"/>
    <col min="8439" max="8439" width="11.140625" style="257" bestFit="1" customWidth="1"/>
    <col min="8440" max="8440" width="10.85546875" style="257" customWidth="1"/>
    <col min="8441" max="8441" width="11.5703125" style="257" customWidth="1"/>
    <col min="8442" max="8442" width="11.140625" style="257" bestFit="1" customWidth="1"/>
    <col min="8443" max="8443" width="11" style="257" customWidth="1"/>
    <col min="8444" max="8444" width="10.42578125" style="257" customWidth="1"/>
    <col min="8445" max="8445" width="11.28515625" style="257" customWidth="1"/>
    <col min="8446" max="8447" width="9.140625" style="257" bestFit="1" customWidth="1"/>
    <col min="8448" max="8449" width="11.140625" style="257" bestFit="1" customWidth="1"/>
    <col min="8450" max="8450" width="11.5703125" style="257" bestFit="1" customWidth="1"/>
    <col min="8451" max="8451" width="9.140625" style="257" bestFit="1" customWidth="1"/>
    <col min="8452" max="8452" width="10.28515625" style="257" customWidth="1"/>
    <col min="8453" max="8691" width="9.140625" style="257"/>
    <col min="8692" max="8692" width="4.28515625" style="257" bestFit="1" customWidth="1"/>
    <col min="8693" max="8693" width="6.85546875" style="257" bestFit="1" customWidth="1"/>
    <col min="8694" max="8694" width="11" style="257" customWidth="1"/>
    <col min="8695" max="8695" width="11.140625" style="257" bestFit="1" customWidth="1"/>
    <col min="8696" max="8696" width="10.85546875" style="257" customWidth="1"/>
    <col min="8697" max="8697" width="11.5703125" style="257" customWidth="1"/>
    <col min="8698" max="8698" width="11.140625" style="257" bestFit="1" customWidth="1"/>
    <col min="8699" max="8699" width="11" style="257" customWidth="1"/>
    <col min="8700" max="8700" width="10.42578125" style="257" customWidth="1"/>
    <col min="8701" max="8701" width="11.28515625" style="257" customWidth="1"/>
    <col min="8702" max="8703" width="9.140625" style="257" bestFit="1" customWidth="1"/>
    <col min="8704" max="8705" width="11.140625" style="257" bestFit="1" customWidth="1"/>
    <col min="8706" max="8706" width="11.5703125" style="257" bestFit="1" customWidth="1"/>
    <col min="8707" max="8707" width="9.140625" style="257" bestFit="1" customWidth="1"/>
    <col min="8708" max="8708" width="10.28515625" style="257" customWidth="1"/>
    <col min="8709" max="8947" width="9.140625" style="257"/>
    <col min="8948" max="8948" width="4.28515625" style="257" bestFit="1" customWidth="1"/>
    <col min="8949" max="8949" width="6.85546875" style="257" bestFit="1" customWidth="1"/>
    <col min="8950" max="8950" width="11" style="257" customWidth="1"/>
    <col min="8951" max="8951" width="11.140625" style="257" bestFit="1" customWidth="1"/>
    <col min="8952" max="8952" width="10.85546875" style="257" customWidth="1"/>
    <col min="8953" max="8953" width="11.5703125" style="257" customWidth="1"/>
    <col min="8954" max="8954" width="11.140625" style="257" bestFit="1" customWidth="1"/>
    <col min="8955" max="8955" width="11" style="257" customWidth="1"/>
    <col min="8956" max="8956" width="10.42578125" style="257" customWidth="1"/>
    <col min="8957" max="8957" width="11.28515625" style="257" customWidth="1"/>
    <col min="8958" max="8959" width="9.140625" style="257" bestFit="1" customWidth="1"/>
    <col min="8960" max="8961" width="11.140625" style="257" bestFit="1" customWidth="1"/>
    <col min="8962" max="8962" width="11.5703125" style="257" bestFit="1" customWidth="1"/>
    <col min="8963" max="8963" width="9.140625" style="257" bestFit="1" customWidth="1"/>
    <col min="8964" max="8964" width="10.28515625" style="257" customWidth="1"/>
    <col min="8965" max="9203" width="9.140625" style="257"/>
    <col min="9204" max="9204" width="4.28515625" style="257" bestFit="1" customWidth="1"/>
    <col min="9205" max="9205" width="6.85546875" style="257" bestFit="1" customWidth="1"/>
    <col min="9206" max="9206" width="11" style="257" customWidth="1"/>
    <col min="9207" max="9207" width="11.140625" style="257" bestFit="1" customWidth="1"/>
    <col min="9208" max="9208" width="10.85546875" style="257" customWidth="1"/>
    <col min="9209" max="9209" width="11.5703125" style="257" customWidth="1"/>
    <col min="9210" max="9210" width="11.140625" style="257" bestFit="1" customWidth="1"/>
    <col min="9211" max="9211" width="11" style="257" customWidth="1"/>
    <col min="9212" max="9212" width="10.42578125" style="257" customWidth="1"/>
    <col min="9213" max="9213" width="11.28515625" style="257" customWidth="1"/>
    <col min="9214" max="9215" width="9.140625" style="257" bestFit="1" customWidth="1"/>
    <col min="9216" max="9217" width="11.140625" style="257" bestFit="1" customWidth="1"/>
    <col min="9218" max="9218" width="11.5703125" style="257" bestFit="1" customWidth="1"/>
    <col min="9219" max="9219" width="9.140625" style="257" bestFit="1" customWidth="1"/>
    <col min="9220" max="9220" width="10.28515625" style="257" customWidth="1"/>
    <col min="9221" max="9459" width="9.140625" style="257"/>
    <col min="9460" max="9460" width="4.28515625" style="257" bestFit="1" customWidth="1"/>
    <col min="9461" max="9461" width="6.85546875" style="257" bestFit="1" customWidth="1"/>
    <col min="9462" max="9462" width="11" style="257" customWidth="1"/>
    <col min="9463" max="9463" width="11.140625" style="257" bestFit="1" customWidth="1"/>
    <col min="9464" max="9464" width="10.85546875" style="257" customWidth="1"/>
    <col min="9465" max="9465" width="11.5703125" style="257" customWidth="1"/>
    <col min="9466" max="9466" width="11.140625" style="257" bestFit="1" customWidth="1"/>
    <col min="9467" max="9467" width="11" style="257" customWidth="1"/>
    <col min="9468" max="9468" width="10.42578125" style="257" customWidth="1"/>
    <col min="9469" max="9469" width="11.28515625" style="257" customWidth="1"/>
    <col min="9470" max="9471" width="9.140625" style="257" bestFit="1" customWidth="1"/>
    <col min="9472" max="9473" width="11.140625" style="257" bestFit="1" customWidth="1"/>
    <col min="9474" max="9474" width="11.5703125" style="257" bestFit="1" customWidth="1"/>
    <col min="9475" max="9475" width="9.140625" style="257" bestFit="1" customWidth="1"/>
    <col min="9476" max="9476" width="10.28515625" style="257" customWidth="1"/>
    <col min="9477" max="9715" width="9.140625" style="257"/>
    <col min="9716" max="9716" width="4.28515625" style="257" bestFit="1" customWidth="1"/>
    <col min="9717" max="9717" width="6.85546875" style="257" bestFit="1" customWidth="1"/>
    <col min="9718" max="9718" width="11" style="257" customWidth="1"/>
    <col min="9719" max="9719" width="11.140625" style="257" bestFit="1" customWidth="1"/>
    <col min="9720" max="9720" width="10.85546875" style="257" customWidth="1"/>
    <col min="9721" max="9721" width="11.5703125" style="257" customWidth="1"/>
    <col min="9722" max="9722" width="11.140625" style="257" bestFit="1" customWidth="1"/>
    <col min="9723" max="9723" width="11" style="257" customWidth="1"/>
    <col min="9724" max="9724" width="10.42578125" style="257" customWidth="1"/>
    <col min="9725" max="9725" width="11.28515625" style="257" customWidth="1"/>
    <col min="9726" max="9727" width="9.140625" style="257" bestFit="1" customWidth="1"/>
    <col min="9728" max="9729" width="11.140625" style="257" bestFit="1" customWidth="1"/>
    <col min="9730" max="9730" width="11.5703125" style="257" bestFit="1" customWidth="1"/>
    <col min="9731" max="9731" width="9.140625" style="257" bestFit="1" customWidth="1"/>
    <col min="9732" max="9732" width="10.28515625" style="257" customWidth="1"/>
    <col min="9733" max="9971" width="9.140625" style="257"/>
    <col min="9972" max="9972" width="4.28515625" style="257" bestFit="1" customWidth="1"/>
    <col min="9973" max="9973" width="6.85546875" style="257" bestFit="1" customWidth="1"/>
    <col min="9974" max="9974" width="11" style="257" customWidth="1"/>
    <col min="9975" max="9975" width="11.140625" style="257" bestFit="1" customWidth="1"/>
    <col min="9976" max="9976" width="10.85546875" style="257" customWidth="1"/>
    <col min="9977" max="9977" width="11.5703125" style="257" customWidth="1"/>
    <col min="9978" max="9978" width="11.140625" style="257" bestFit="1" customWidth="1"/>
    <col min="9979" max="9979" width="11" style="257" customWidth="1"/>
    <col min="9980" max="9980" width="10.42578125" style="257" customWidth="1"/>
    <col min="9981" max="9981" width="11.28515625" style="257" customWidth="1"/>
    <col min="9982" max="9983" width="9.140625" style="257" bestFit="1" customWidth="1"/>
    <col min="9984" max="9985" width="11.140625" style="257" bestFit="1" customWidth="1"/>
    <col min="9986" max="9986" width="11.5703125" style="257" bestFit="1" customWidth="1"/>
    <col min="9987" max="9987" width="9.140625" style="257" bestFit="1" customWidth="1"/>
    <col min="9988" max="9988" width="10.28515625" style="257" customWidth="1"/>
    <col min="9989" max="10227" width="9.140625" style="257"/>
    <col min="10228" max="10228" width="4.28515625" style="257" bestFit="1" customWidth="1"/>
    <col min="10229" max="10229" width="6.85546875" style="257" bestFit="1" customWidth="1"/>
    <col min="10230" max="10230" width="11" style="257" customWidth="1"/>
    <col min="10231" max="10231" width="11.140625" style="257" bestFit="1" customWidth="1"/>
    <col min="10232" max="10232" width="10.85546875" style="257" customWidth="1"/>
    <col min="10233" max="10233" width="11.5703125" style="257" customWidth="1"/>
    <col min="10234" max="10234" width="11.140625" style="257" bestFit="1" customWidth="1"/>
    <col min="10235" max="10235" width="11" style="257" customWidth="1"/>
    <col min="10236" max="10236" width="10.42578125" style="257" customWidth="1"/>
    <col min="10237" max="10237" width="11.28515625" style="257" customWidth="1"/>
    <col min="10238" max="10239" width="9.140625" style="257" bestFit="1" customWidth="1"/>
    <col min="10240" max="10241" width="11.140625" style="257" bestFit="1" customWidth="1"/>
    <col min="10242" max="10242" width="11.5703125" style="257" bestFit="1" customWidth="1"/>
    <col min="10243" max="10243" width="9.140625" style="257" bestFit="1" customWidth="1"/>
    <col min="10244" max="10244" width="10.28515625" style="257" customWidth="1"/>
    <col min="10245" max="10483" width="9.140625" style="257"/>
    <col min="10484" max="10484" width="4.28515625" style="257" bestFit="1" customWidth="1"/>
    <col min="10485" max="10485" width="6.85546875" style="257" bestFit="1" customWidth="1"/>
    <col min="10486" max="10486" width="11" style="257" customWidth="1"/>
    <col min="10487" max="10487" width="11.140625" style="257" bestFit="1" customWidth="1"/>
    <col min="10488" max="10488" width="10.85546875" style="257" customWidth="1"/>
    <col min="10489" max="10489" width="11.5703125" style="257" customWidth="1"/>
    <col min="10490" max="10490" width="11.140625" style="257" bestFit="1" customWidth="1"/>
    <col min="10491" max="10491" width="11" style="257" customWidth="1"/>
    <col min="10492" max="10492" width="10.42578125" style="257" customWidth="1"/>
    <col min="10493" max="10493" width="11.28515625" style="257" customWidth="1"/>
    <col min="10494" max="10495" width="9.140625" style="257" bestFit="1" customWidth="1"/>
    <col min="10496" max="10497" width="11.140625" style="257" bestFit="1" customWidth="1"/>
    <col min="10498" max="10498" width="11.5703125" style="257" bestFit="1" customWidth="1"/>
    <col min="10499" max="10499" width="9.140625" style="257" bestFit="1" customWidth="1"/>
    <col min="10500" max="10500" width="10.28515625" style="257" customWidth="1"/>
    <col min="10501" max="10739" width="9.140625" style="257"/>
    <col min="10740" max="10740" width="4.28515625" style="257" bestFit="1" customWidth="1"/>
    <col min="10741" max="10741" width="6.85546875" style="257" bestFit="1" customWidth="1"/>
    <col min="10742" max="10742" width="11" style="257" customWidth="1"/>
    <col min="10743" max="10743" width="11.140625" style="257" bestFit="1" customWidth="1"/>
    <col min="10744" max="10744" width="10.85546875" style="257" customWidth="1"/>
    <col min="10745" max="10745" width="11.5703125" style="257" customWidth="1"/>
    <col min="10746" max="10746" width="11.140625" style="257" bestFit="1" customWidth="1"/>
    <col min="10747" max="10747" width="11" style="257" customWidth="1"/>
    <col min="10748" max="10748" width="10.42578125" style="257" customWidth="1"/>
    <col min="10749" max="10749" width="11.28515625" style="257" customWidth="1"/>
    <col min="10750" max="10751" width="9.140625" style="257" bestFit="1" customWidth="1"/>
    <col min="10752" max="10753" width="11.140625" style="257" bestFit="1" customWidth="1"/>
    <col min="10754" max="10754" width="11.5703125" style="257" bestFit="1" customWidth="1"/>
    <col min="10755" max="10755" width="9.140625" style="257" bestFit="1" customWidth="1"/>
    <col min="10756" max="10756" width="10.28515625" style="257" customWidth="1"/>
    <col min="10757" max="10995" width="9.140625" style="257"/>
    <col min="10996" max="10996" width="4.28515625" style="257" bestFit="1" customWidth="1"/>
    <col min="10997" max="10997" width="6.85546875" style="257" bestFit="1" customWidth="1"/>
    <col min="10998" max="10998" width="11" style="257" customWidth="1"/>
    <col min="10999" max="10999" width="11.140625" style="257" bestFit="1" customWidth="1"/>
    <col min="11000" max="11000" width="10.85546875" style="257" customWidth="1"/>
    <col min="11001" max="11001" width="11.5703125" style="257" customWidth="1"/>
    <col min="11002" max="11002" width="11.140625" style="257" bestFit="1" customWidth="1"/>
    <col min="11003" max="11003" width="11" style="257" customWidth="1"/>
    <col min="11004" max="11004" width="10.42578125" style="257" customWidth="1"/>
    <col min="11005" max="11005" width="11.28515625" style="257" customWidth="1"/>
    <col min="11006" max="11007" width="9.140625" style="257" bestFit="1" customWidth="1"/>
    <col min="11008" max="11009" width="11.140625" style="257" bestFit="1" customWidth="1"/>
    <col min="11010" max="11010" width="11.5703125" style="257" bestFit="1" customWidth="1"/>
    <col min="11011" max="11011" width="9.140625" style="257" bestFit="1" customWidth="1"/>
    <col min="11012" max="11012" width="10.28515625" style="257" customWidth="1"/>
    <col min="11013" max="11251" width="9.140625" style="257"/>
    <col min="11252" max="11252" width="4.28515625" style="257" bestFit="1" customWidth="1"/>
    <col min="11253" max="11253" width="6.85546875" style="257" bestFit="1" customWidth="1"/>
    <col min="11254" max="11254" width="11" style="257" customWidth="1"/>
    <col min="11255" max="11255" width="11.140625" style="257" bestFit="1" customWidth="1"/>
    <col min="11256" max="11256" width="10.85546875" style="257" customWidth="1"/>
    <col min="11257" max="11257" width="11.5703125" style="257" customWidth="1"/>
    <col min="11258" max="11258" width="11.140625" style="257" bestFit="1" customWidth="1"/>
    <col min="11259" max="11259" width="11" style="257" customWidth="1"/>
    <col min="11260" max="11260" width="10.42578125" style="257" customWidth="1"/>
    <col min="11261" max="11261" width="11.28515625" style="257" customWidth="1"/>
    <col min="11262" max="11263" width="9.140625" style="257" bestFit="1" customWidth="1"/>
    <col min="11264" max="11265" width="11.140625" style="257" bestFit="1" customWidth="1"/>
    <col min="11266" max="11266" width="11.5703125" style="257" bestFit="1" customWidth="1"/>
    <col min="11267" max="11267" width="9.140625" style="257" bestFit="1" customWidth="1"/>
    <col min="11268" max="11268" width="10.28515625" style="257" customWidth="1"/>
    <col min="11269" max="11507" width="9.140625" style="257"/>
    <col min="11508" max="11508" width="4.28515625" style="257" bestFit="1" customWidth="1"/>
    <col min="11509" max="11509" width="6.85546875" style="257" bestFit="1" customWidth="1"/>
    <col min="11510" max="11510" width="11" style="257" customWidth="1"/>
    <col min="11511" max="11511" width="11.140625" style="257" bestFit="1" customWidth="1"/>
    <col min="11512" max="11512" width="10.85546875" style="257" customWidth="1"/>
    <col min="11513" max="11513" width="11.5703125" style="257" customWidth="1"/>
    <col min="11514" max="11514" width="11.140625" style="257" bestFit="1" customWidth="1"/>
    <col min="11515" max="11515" width="11" style="257" customWidth="1"/>
    <col min="11516" max="11516" width="10.42578125" style="257" customWidth="1"/>
    <col min="11517" max="11517" width="11.28515625" style="257" customWidth="1"/>
    <col min="11518" max="11519" width="9.140625" style="257" bestFit="1" customWidth="1"/>
    <col min="11520" max="11521" width="11.140625" style="257" bestFit="1" customWidth="1"/>
    <col min="11522" max="11522" width="11.5703125" style="257" bestFit="1" customWidth="1"/>
    <col min="11523" max="11523" width="9.140625" style="257" bestFit="1" customWidth="1"/>
    <col min="11524" max="11524" width="10.28515625" style="257" customWidth="1"/>
    <col min="11525" max="11763" width="9.140625" style="257"/>
    <col min="11764" max="11764" width="4.28515625" style="257" bestFit="1" customWidth="1"/>
    <col min="11765" max="11765" width="6.85546875" style="257" bestFit="1" customWidth="1"/>
    <col min="11766" max="11766" width="11" style="257" customWidth="1"/>
    <col min="11767" max="11767" width="11.140625" style="257" bestFit="1" customWidth="1"/>
    <col min="11768" max="11768" width="10.85546875" style="257" customWidth="1"/>
    <col min="11769" max="11769" width="11.5703125" style="257" customWidth="1"/>
    <col min="11770" max="11770" width="11.140625" style="257" bestFit="1" customWidth="1"/>
    <col min="11771" max="11771" width="11" style="257" customWidth="1"/>
    <col min="11772" max="11772" width="10.42578125" style="257" customWidth="1"/>
    <col min="11773" max="11773" width="11.28515625" style="257" customWidth="1"/>
    <col min="11774" max="11775" width="9.140625" style="257" bestFit="1" customWidth="1"/>
    <col min="11776" max="11777" width="11.140625" style="257" bestFit="1" customWidth="1"/>
    <col min="11778" max="11778" width="11.5703125" style="257" bestFit="1" customWidth="1"/>
    <col min="11779" max="11779" width="9.140625" style="257" bestFit="1" customWidth="1"/>
    <col min="11780" max="11780" width="10.28515625" style="257" customWidth="1"/>
    <col min="11781" max="12019" width="9.140625" style="257"/>
    <col min="12020" max="12020" width="4.28515625" style="257" bestFit="1" customWidth="1"/>
    <col min="12021" max="12021" width="6.85546875" style="257" bestFit="1" customWidth="1"/>
    <col min="12022" max="12022" width="11" style="257" customWidth="1"/>
    <col min="12023" max="12023" width="11.140625" style="257" bestFit="1" customWidth="1"/>
    <col min="12024" max="12024" width="10.85546875" style="257" customWidth="1"/>
    <col min="12025" max="12025" width="11.5703125" style="257" customWidth="1"/>
    <col min="12026" max="12026" width="11.140625" style="257" bestFit="1" customWidth="1"/>
    <col min="12027" max="12027" width="11" style="257" customWidth="1"/>
    <col min="12028" max="12028" width="10.42578125" style="257" customWidth="1"/>
    <col min="12029" max="12029" width="11.28515625" style="257" customWidth="1"/>
    <col min="12030" max="12031" width="9.140625" style="257" bestFit="1" customWidth="1"/>
    <col min="12032" max="12033" width="11.140625" style="257" bestFit="1" customWidth="1"/>
    <col min="12034" max="12034" width="11.5703125" style="257" bestFit="1" customWidth="1"/>
    <col min="12035" max="12035" width="9.140625" style="257" bestFit="1" customWidth="1"/>
    <col min="12036" max="12036" width="10.28515625" style="257" customWidth="1"/>
    <col min="12037" max="12275" width="9.140625" style="257"/>
    <col min="12276" max="12276" width="4.28515625" style="257" bestFit="1" customWidth="1"/>
    <col min="12277" max="12277" width="6.85546875" style="257" bestFit="1" customWidth="1"/>
    <col min="12278" max="12278" width="11" style="257" customWidth="1"/>
    <col min="12279" max="12279" width="11.140625" style="257" bestFit="1" customWidth="1"/>
    <col min="12280" max="12280" width="10.85546875" style="257" customWidth="1"/>
    <col min="12281" max="12281" width="11.5703125" style="257" customWidth="1"/>
    <col min="12282" max="12282" width="11.140625" style="257" bestFit="1" customWidth="1"/>
    <col min="12283" max="12283" width="11" style="257" customWidth="1"/>
    <col min="12284" max="12284" width="10.42578125" style="257" customWidth="1"/>
    <col min="12285" max="12285" width="11.28515625" style="257" customWidth="1"/>
    <col min="12286" max="12287" width="9.140625" style="257" bestFit="1" customWidth="1"/>
    <col min="12288" max="12289" width="11.140625" style="257" bestFit="1" customWidth="1"/>
    <col min="12290" max="12290" width="11.5703125" style="257" bestFit="1" customWidth="1"/>
    <col min="12291" max="12291" width="9.140625" style="257" bestFit="1" customWidth="1"/>
    <col min="12292" max="12292" width="10.28515625" style="257" customWidth="1"/>
    <col min="12293" max="12531" width="9.140625" style="257"/>
    <col min="12532" max="12532" width="4.28515625" style="257" bestFit="1" customWidth="1"/>
    <col min="12533" max="12533" width="6.85546875" style="257" bestFit="1" customWidth="1"/>
    <col min="12534" max="12534" width="11" style="257" customWidth="1"/>
    <col min="12535" max="12535" width="11.140625" style="257" bestFit="1" customWidth="1"/>
    <col min="12536" max="12536" width="10.85546875" style="257" customWidth="1"/>
    <col min="12537" max="12537" width="11.5703125" style="257" customWidth="1"/>
    <col min="12538" max="12538" width="11.140625" style="257" bestFit="1" customWidth="1"/>
    <col min="12539" max="12539" width="11" style="257" customWidth="1"/>
    <col min="12540" max="12540" width="10.42578125" style="257" customWidth="1"/>
    <col min="12541" max="12541" width="11.28515625" style="257" customWidth="1"/>
    <col min="12542" max="12543" width="9.140625" style="257" bestFit="1" customWidth="1"/>
    <col min="12544" max="12545" width="11.140625" style="257" bestFit="1" customWidth="1"/>
    <col min="12546" max="12546" width="11.5703125" style="257" bestFit="1" customWidth="1"/>
    <col min="12547" max="12547" width="9.140625" style="257" bestFit="1" customWidth="1"/>
    <col min="12548" max="12548" width="10.28515625" style="257" customWidth="1"/>
    <col min="12549" max="12787" width="9.140625" style="257"/>
    <col min="12788" max="12788" width="4.28515625" style="257" bestFit="1" customWidth="1"/>
    <col min="12789" max="12789" width="6.85546875" style="257" bestFit="1" customWidth="1"/>
    <col min="12790" max="12790" width="11" style="257" customWidth="1"/>
    <col min="12791" max="12791" width="11.140625" style="257" bestFit="1" customWidth="1"/>
    <col min="12792" max="12792" width="10.85546875" style="257" customWidth="1"/>
    <col min="12793" max="12793" width="11.5703125" style="257" customWidth="1"/>
    <col min="12794" max="12794" width="11.140625" style="257" bestFit="1" customWidth="1"/>
    <col min="12795" max="12795" width="11" style="257" customWidth="1"/>
    <col min="12796" max="12796" width="10.42578125" style="257" customWidth="1"/>
    <col min="12797" max="12797" width="11.28515625" style="257" customWidth="1"/>
    <col min="12798" max="12799" width="9.140625" style="257" bestFit="1" customWidth="1"/>
    <col min="12800" max="12801" width="11.140625" style="257" bestFit="1" customWidth="1"/>
    <col min="12802" max="12802" width="11.5703125" style="257" bestFit="1" customWidth="1"/>
    <col min="12803" max="12803" width="9.140625" style="257" bestFit="1" customWidth="1"/>
    <col min="12804" max="12804" width="10.28515625" style="257" customWidth="1"/>
    <col min="12805" max="13043" width="9.140625" style="257"/>
    <col min="13044" max="13044" width="4.28515625" style="257" bestFit="1" customWidth="1"/>
    <col min="13045" max="13045" width="6.85546875" style="257" bestFit="1" customWidth="1"/>
    <col min="13046" max="13046" width="11" style="257" customWidth="1"/>
    <col min="13047" max="13047" width="11.140625" style="257" bestFit="1" customWidth="1"/>
    <col min="13048" max="13048" width="10.85546875" style="257" customWidth="1"/>
    <col min="13049" max="13049" width="11.5703125" style="257" customWidth="1"/>
    <col min="13050" max="13050" width="11.140625" style="257" bestFit="1" customWidth="1"/>
    <col min="13051" max="13051" width="11" style="257" customWidth="1"/>
    <col min="13052" max="13052" width="10.42578125" style="257" customWidth="1"/>
    <col min="13053" max="13053" width="11.28515625" style="257" customWidth="1"/>
    <col min="13054" max="13055" width="9.140625" style="257" bestFit="1" customWidth="1"/>
    <col min="13056" max="13057" width="11.140625" style="257" bestFit="1" customWidth="1"/>
    <col min="13058" max="13058" width="11.5703125" style="257" bestFit="1" customWidth="1"/>
    <col min="13059" max="13059" width="9.140625" style="257" bestFit="1" customWidth="1"/>
    <col min="13060" max="13060" width="10.28515625" style="257" customWidth="1"/>
    <col min="13061" max="13299" width="9.140625" style="257"/>
    <col min="13300" max="13300" width="4.28515625" style="257" bestFit="1" customWidth="1"/>
    <col min="13301" max="13301" width="6.85546875" style="257" bestFit="1" customWidth="1"/>
    <col min="13302" max="13302" width="11" style="257" customWidth="1"/>
    <col min="13303" max="13303" width="11.140625" style="257" bestFit="1" customWidth="1"/>
    <col min="13304" max="13304" width="10.85546875" style="257" customWidth="1"/>
    <col min="13305" max="13305" width="11.5703125" style="257" customWidth="1"/>
    <col min="13306" max="13306" width="11.140625" style="257" bestFit="1" customWidth="1"/>
    <col min="13307" max="13307" width="11" style="257" customWidth="1"/>
    <col min="13308" max="13308" width="10.42578125" style="257" customWidth="1"/>
    <col min="13309" max="13309" width="11.28515625" style="257" customWidth="1"/>
    <col min="13310" max="13311" width="9.140625" style="257" bestFit="1" customWidth="1"/>
    <col min="13312" max="13313" width="11.140625" style="257" bestFit="1" customWidth="1"/>
    <col min="13314" max="13314" width="11.5703125" style="257" bestFit="1" customWidth="1"/>
    <col min="13315" max="13315" width="9.140625" style="257" bestFit="1" customWidth="1"/>
    <col min="13316" max="13316" width="10.28515625" style="257" customWidth="1"/>
    <col min="13317" max="13555" width="9.140625" style="257"/>
    <col min="13556" max="13556" width="4.28515625" style="257" bestFit="1" customWidth="1"/>
    <col min="13557" max="13557" width="6.85546875" style="257" bestFit="1" customWidth="1"/>
    <col min="13558" max="13558" width="11" style="257" customWidth="1"/>
    <col min="13559" max="13559" width="11.140625" style="257" bestFit="1" customWidth="1"/>
    <col min="13560" max="13560" width="10.85546875" style="257" customWidth="1"/>
    <col min="13561" max="13561" width="11.5703125" style="257" customWidth="1"/>
    <col min="13562" max="13562" width="11.140625" style="257" bestFit="1" customWidth="1"/>
    <col min="13563" max="13563" width="11" style="257" customWidth="1"/>
    <col min="13564" max="13564" width="10.42578125" style="257" customWidth="1"/>
    <col min="13565" max="13565" width="11.28515625" style="257" customWidth="1"/>
    <col min="13566" max="13567" width="9.140625" style="257" bestFit="1" customWidth="1"/>
    <col min="13568" max="13569" width="11.140625" style="257" bestFit="1" customWidth="1"/>
    <col min="13570" max="13570" width="11.5703125" style="257" bestFit="1" customWidth="1"/>
    <col min="13571" max="13571" width="9.140625" style="257" bestFit="1" customWidth="1"/>
    <col min="13572" max="13572" width="10.28515625" style="257" customWidth="1"/>
    <col min="13573" max="13811" width="9.140625" style="257"/>
    <col min="13812" max="13812" width="4.28515625" style="257" bestFit="1" customWidth="1"/>
    <col min="13813" max="13813" width="6.85546875" style="257" bestFit="1" customWidth="1"/>
    <col min="13814" max="13814" width="11" style="257" customWidth="1"/>
    <col min="13815" max="13815" width="11.140625" style="257" bestFit="1" customWidth="1"/>
    <col min="13816" max="13816" width="10.85546875" style="257" customWidth="1"/>
    <col min="13817" max="13817" width="11.5703125" style="257" customWidth="1"/>
    <col min="13818" max="13818" width="11.140625" style="257" bestFit="1" customWidth="1"/>
    <col min="13819" max="13819" width="11" style="257" customWidth="1"/>
    <col min="13820" max="13820" width="10.42578125" style="257" customWidth="1"/>
    <col min="13821" max="13821" width="11.28515625" style="257" customWidth="1"/>
    <col min="13822" max="13823" width="9.140625" style="257" bestFit="1" customWidth="1"/>
    <col min="13824" max="13825" width="11.140625" style="257" bestFit="1" customWidth="1"/>
    <col min="13826" max="13826" width="11.5703125" style="257" bestFit="1" customWidth="1"/>
    <col min="13827" max="13827" width="9.140625" style="257" bestFit="1" customWidth="1"/>
    <col min="13828" max="13828" width="10.28515625" style="257" customWidth="1"/>
    <col min="13829" max="14067" width="9.140625" style="257"/>
    <col min="14068" max="14068" width="4.28515625" style="257" bestFit="1" customWidth="1"/>
    <col min="14069" max="14069" width="6.85546875" style="257" bestFit="1" customWidth="1"/>
    <col min="14070" max="14070" width="11" style="257" customWidth="1"/>
    <col min="14071" max="14071" width="11.140625" style="257" bestFit="1" customWidth="1"/>
    <col min="14072" max="14072" width="10.85546875" style="257" customWidth="1"/>
    <col min="14073" max="14073" width="11.5703125" style="257" customWidth="1"/>
    <col min="14074" max="14074" width="11.140625" style="257" bestFit="1" customWidth="1"/>
    <col min="14075" max="14075" width="11" style="257" customWidth="1"/>
    <col min="14076" max="14076" width="10.42578125" style="257" customWidth="1"/>
    <col min="14077" max="14077" width="11.28515625" style="257" customWidth="1"/>
    <col min="14078" max="14079" width="9.140625" style="257" bestFit="1" customWidth="1"/>
    <col min="14080" max="14081" width="11.140625" style="257" bestFit="1" customWidth="1"/>
    <col min="14082" max="14082" width="11.5703125" style="257" bestFit="1" customWidth="1"/>
    <col min="14083" max="14083" width="9.140625" style="257" bestFit="1" customWidth="1"/>
    <col min="14084" max="14084" width="10.28515625" style="257" customWidth="1"/>
    <col min="14085" max="14323" width="9.140625" style="257"/>
    <col min="14324" max="14324" width="4.28515625" style="257" bestFit="1" customWidth="1"/>
    <col min="14325" max="14325" width="6.85546875" style="257" bestFit="1" customWidth="1"/>
    <col min="14326" max="14326" width="11" style="257" customWidth="1"/>
    <col min="14327" max="14327" width="11.140625" style="257" bestFit="1" customWidth="1"/>
    <col min="14328" max="14328" width="10.85546875" style="257" customWidth="1"/>
    <col min="14329" max="14329" width="11.5703125" style="257" customWidth="1"/>
    <col min="14330" max="14330" width="11.140625" style="257" bestFit="1" customWidth="1"/>
    <col min="14331" max="14331" width="11" style="257" customWidth="1"/>
    <col min="14332" max="14332" width="10.42578125" style="257" customWidth="1"/>
    <col min="14333" max="14333" width="11.28515625" style="257" customWidth="1"/>
    <col min="14334" max="14335" width="9.140625" style="257" bestFit="1" customWidth="1"/>
    <col min="14336" max="14337" width="11.140625" style="257" bestFit="1" customWidth="1"/>
    <col min="14338" max="14338" width="11.5703125" style="257" bestFit="1" customWidth="1"/>
    <col min="14339" max="14339" width="9.140625" style="257" bestFit="1" customWidth="1"/>
    <col min="14340" max="14340" width="10.28515625" style="257" customWidth="1"/>
    <col min="14341" max="14579" width="9.140625" style="257"/>
    <col min="14580" max="14580" width="4.28515625" style="257" bestFit="1" customWidth="1"/>
    <col min="14581" max="14581" width="6.85546875" style="257" bestFit="1" customWidth="1"/>
    <col min="14582" max="14582" width="11" style="257" customWidth="1"/>
    <col min="14583" max="14583" width="11.140625" style="257" bestFit="1" customWidth="1"/>
    <col min="14584" max="14584" width="10.85546875" style="257" customWidth="1"/>
    <col min="14585" max="14585" width="11.5703125" style="257" customWidth="1"/>
    <col min="14586" max="14586" width="11.140625" style="257" bestFit="1" customWidth="1"/>
    <col min="14587" max="14587" width="11" style="257" customWidth="1"/>
    <col min="14588" max="14588" width="10.42578125" style="257" customWidth="1"/>
    <col min="14589" max="14589" width="11.28515625" style="257" customWidth="1"/>
    <col min="14590" max="14591" width="9.140625" style="257" bestFit="1" customWidth="1"/>
    <col min="14592" max="14593" width="11.140625" style="257" bestFit="1" customWidth="1"/>
    <col min="14594" max="14594" width="11.5703125" style="257" bestFit="1" customWidth="1"/>
    <col min="14595" max="14595" width="9.140625" style="257" bestFit="1" customWidth="1"/>
    <col min="14596" max="14596" width="10.28515625" style="257" customWidth="1"/>
    <col min="14597" max="14835" width="9.140625" style="257"/>
    <col min="14836" max="14836" width="4.28515625" style="257" bestFit="1" customWidth="1"/>
    <col min="14837" max="14837" width="6.85546875" style="257" bestFit="1" customWidth="1"/>
    <col min="14838" max="14838" width="11" style="257" customWidth="1"/>
    <col min="14839" max="14839" width="11.140625" style="257" bestFit="1" customWidth="1"/>
    <col min="14840" max="14840" width="10.85546875" style="257" customWidth="1"/>
    <col min="14841" max="14841" width="11.5703125" style="257" customWidth="1"/>
    <col min="14842" max="14842" width="11.140625" style="257" bestFit="1" customWidth="1"/>
    <col min="14843" max="14843" width="11" style="257" customWidth="1"/>
    <col min="14844" max="14844" width="10.42578125" style="257" customWidth="1"/>
    <col min="14845" max="14845" width="11.28515625" style="257" customWidth="1"/>
    <col min="14846" max="14847" width="9.140625" style="257" bestFit="1" customWidth="1"/>
    <col min="14848" max="14849" width="11.140625" style="257" bestFit="1" customWidth="1"/>
    <col min="14850" max="14850" width="11.5703125" style="257" bestFit="1" customWidth="1"/>
    <col min="14851" max="14851" width="9.140625" style="257" bestFit="1" customWidth="1"/>
    <col min="14852" max="14852" width="10.28515625" style="257" customWidth="1"/>
    <col min="14853" max="15091" width="9.140625" style="257"/>
    <col min="15092" max="15092" width="4.28515625" style="257" bestFit="1" customWidth="1"/>
    <col min="15093" max="15093" width="6.85546875" style="257" bestFit="1" customWidth="1"/>
    <col min="15094" max="15094" width="11" style="257" customWidth="1"/>
    <col min="15095" max="15095" width="11.140625" style="257" bestFit="1" customWidth="1"/>
    <col min="15096" max="15096" width="10.85546875" style="257" customWidth="1"/>
    <col min="15097" max="15097" width="11.5703125" style="257" customWidth="1"/>
    <col min="15098" max="15098" width="11.140625" style="257" bestFit="1" customWidth="1"/>
    <col min="15099" max="15099" width="11" style="257" customWidth="1"/>
    <col min="15100" max="15100" width="10.42578125" style="257" customWidth="1"/>
    <col min="15101" max="15101" width="11.28515625" style="257" customWidth="1"/>
    <col min="15102" max="15103" width="9.140625" style="257" bestFit="1" customWidth="1"/>
    <col min="15104" max="15105" width="11.140625" style="257" bestFit="1" customWidth="1"/>
    <col min="15106" max="15106" width="11.5703125" style="257" bestFit="1" customWidth="1"/>
    <col min="15107" max="15107" width="9.140625" style="257" bestFit="1" customWidth="1"/>
    <col min="15108" max="15108" width="10.28515625" style="257" customWidth="1"/>
    <col min="15109" max="15347" width="9.140625" style="257"/>
    <col min="15348" max="15348" width="4.28515625" style="257" bestFit="1" customWidth="1"/>
    <col min="15349" max="15349" width="6.85546875" style="257" bestFit="1" customWidth="1"/>
    <col min="15350" max="15350" width="11" style="257" customWidth="1"/>
    <col min="15351" max="15351" width="11.140625" style="257" bestFit="1" customWidth="1"/>
    <col min="15352" max="15352" width="10.85546875" style="257" customWidth="1"/>
    <col min="15353" max="15353" width="11.5703125" style="257" customWidth="1"/>
    <col min="15354" max="15354" width="11.140625" style="257" bestFit="1" customWidth="1"/>
    <col min="15355" max="15355" width="11" style="257" customWidth="1"/>
    <col min="15356" max="15356" width="10.42578125" style="257" customWidth="1"/>
    <col min="15357" max="15357" width="11.28515625" style="257" customWidth="1"/>
    <col min="15358" max="15359" width="9.140625" style="257" bestFit="1" customWidth="1"/>
    <col min="15360" max="15361" width="11.140625" style="257" bestFit="1" customWidth="1"/>
    <col min="15362" max="15362" width="11.5703125" style="257" bestFit="1" customWidth="1"/>
    <col min="15363" max="15363" width="9.140625" style="257" bestFit="1" customWidth="1"/>
    <col min="15364" max="15364" width="10.28515625" style="257" customWidth="1"/>
    <col min="15365" max="15603" width="9.140625" style="257"/>
    <col min="15604" max="15604" width="4.28515625" style="257" bestFit="1" customWidth="1"/>
    <col min="15605" max="15605" width="6.85546875" style="257" bestFit="1" customWidth="1"/>
    <col min="15606" max="15606" width="11" style="257" customWidth="1"/>
    <col min="15607" max="15607" width="11.140625" style="257" bestFit="1" customWidth="1"/>
    <col min="15608" max="15608" width="10.85546875" style="257" customWidth="1"/>
    <col min="15609" max="15609" width="11.5703125" style="257" customWidth="1"/>
    <col min="15610" max="15610" width="11.140625" style="257" bestFit="1" customWidth="1"/>
    <col min="15611" max="15611" width="11" style="257" customWidth="1"/>
    <col min="15612" max="15612" width="10.42578125" style="257" customWidth="1"/>
    <col min="15613" max="15613" width="11.28515625" style="257" customWidth="1"/>
    <col min="15614" max="15615" width="9.140625" style="257" bestFit="1" customWidth="1"/>
    <col min="15616" max="15617" width="11.140625" style="257" bestFit="1" customWidth="1"/>
    <col min="15618" max="15618" width="11.5703125" style="257" bestFit="1" customWidth="1"/>
    <col min="15619" max="15619" width="9.140625" style="257" bestFit="1" customWidth="1"/>
    <col min="15620" max="15620" width="10.28515625" style="257" customWidth="1"/>
    <col min="15621" max="15859" width="9.140625" style="257"/>
    <col min="15860" max="15860" width="4.28515625" style="257" bestFit="1" customWidth="1"/>
    <col min="15861" max="15861" width="6.85546875" style="257" bestFit="1" customWidth="1"/>
    <col min="15862" max="15862" width="11" style="257" customWidth="1"/>
    <col min="15863" max="15863" width="11.140625" style="257" bestFit="1" customWidth="1"/>
    <col min="15864" max="15864" width="10.85546875" style="257" customWidth="1"/>
    <col min="15865" max="15865" width="11.5703125" style="257" customWidth="1"/>
    <col min="15866" max="15866" width="11.140625" style="257" bestFit="1" customWidth="1"/>
    <col min="15867" max="15867" width="11" style="257" customWidth="1"/>
    <col min="15868" max="15868" width="10.42578125" style="257" customWidth="1"/>
    <col min="15869" max="15869" width="11.28515625" style="257" customWidth="1"/>
    <col min="15870" max="15871" width="9.140625" style="257" bestFit="1" customWidth="1"/>
    <col min="15872" max="15873" width="11.140625" style="257" bestFit="1" customWidth="1"/>
    <col min="15874" max="15874" width="11.5703125" style="257" bestFit="1" customWidth="1"/>
    <col min="15875" max="15875" width="9.140625" style="257" bestFit="1" customWidth="1"/>
    <col min="15876" max="15876" width="10.28515625" style="257" customWidth="1"/>
    <col min="15877" max="16115" width="9.140625" style="257"/>
    <col min="16116" max="16116" width="4.28515625" style="257" bestFit="1" customWidth="1"/>
    <col min="16117" max="16117" width="6.85546875" style="257" bestFit="1" customWidth="1"/>
    <col min="16118" max="16118" width="11" style="257" customWidth="1"/>
    <col min="16119" max="16119" width="11.140625" style="257" bestFit="1" customWidth="1"/>
    <col min="16120" max="16120" width="10.85546875" style="257" customWidth="1"/>
    <col min="16121" max="16121" width="11.5703125" style="257" customWidth="1"/>
    <col min="16122" max="16122" width="11.140625" style="257" bestFit="1" customWidth="1"/>
    <col min="16123" max="16123" width="11" style="257" customWidth="1"/>
    <col min="16124" max="16124" width="10.42578125" style="257" customWidth="1"/>
    <col min="16125" max="16125" width="11.28515625" style="257" customWidth="1"/>
    <col min="16126" max="16127" width="9.140625" style="257" bestFit="1" customWidth="1"/>
    <col min="16128" max="16129" width="11.140625" style="257" bestFit="1" customWidth="1"/>
    <col min="16130" max="16130" width="11.5703125" style="257" bestFit="1" customWidth="1"/>
    <col min="16131" max="16131" width="9.140625" style="257" bestFit="1" customWidth="1"/>
    <col min="16132" max="16132" width="10.28515625" style="257" customWidth="1"/>
    <col min="16133" max="16384" width="9.140625" style="257"/>
  </cols>
  <sheetData>
    <row r="1" spans="1:12" ht="57" customHeight="1">
      <c r="A1" s="2552" t="s">
        <v>607</v>
      </c>
      <c r="B1" s="2552"/>
      <c r="C1" s="2552"/>
      <c r="D1" s="2552"/>
      <c r="E1" s="2552"/>
      <c r="F1" s="2552"/>
      <c r="G1" s="2552"/>
      <c r="H1" s="2552"/>
      <c r="I1" s="2552"/>
      <c r="J1" s="2552"/>
      <c r="K1" s="2552"/>
      <c r="L1" s="2552"/>
    </row>
    <row r="2" spans="1:12" ht="16.5" customHeight="1" thickBot="1">
      <c r="A2" s="383"/>
      <c r="B2" s="384"/>
      <c r="C2" s="384"/>
      <c r="D2" s="384"/>
      <c r="E2" s="384"/>
      <c r="F2" s="384"/>
      <c r="G2" s="384"/>
      <c r="H2" s="384"/>
      <c r="I2" s="384"/>
      <c r="J2" s="385"/>
      <c r="K2" s="178"/>
      <c r="L2" s="1526" t="s">
        <v>196</v>
      </c>
    </row>
    <row r="3" spans="1:12" ht="16.5" customHeight="1">
      <c r="A3" s="1919" t="s">
        <v>37</v>
      </c>
      <c r="B3" s="1921" t="s">
        <v>3</v>
      </c>
      <c r="C3" s="1921"/>
      <c r="D3" s="2553" t="s">
        <v>4</v>
      </c>
      <c r="E3" s="2555" t="s">
        <v>197</v>
      </c>
      <c r="F3" s="2555" t="s">
        <v>150</v>
      </c>
      <c r="G3" s="2555" t="s">
        <v>198</v>
      </c>
      <c r="H3" s="2555" t="s">
        <v>152</v>
      </c>
      <c r="I3" s="2555" t="s">
        <v>199</v>
      </c>
      <c r="J3" s="2555" t="s">
        <v>200</v>
      </c>
      <c r="K3" s="2555" t="s">
        <v>152</v>
      </c>
      <c r="L3" s="2555" t="s">
        <v>201</v>
      </c>
    </row>
    <row r="4" spans="1:12" ht="34.5" customHeight="1" thickBot="1">
      <c r="A4" s="2528"/>
      <c r="B4" s="1922"/>
      <c r="C4" s="1922"/>
      <c r="D4" s="2554"/>
      <c r="E4" s="2556"/>
      <c r="F4" s="2556"/>
      <c r="G4" s="2557"/>
      <c r="H4" s="2556"/>
      <c r="I4" s="2556"/>
      <c r="J4" s="2557"/>
      <c r="K4" s="2557"/>
      <c r="L4" s="2557"/>
    </row>
    <row r="5" spans="1:12" ht="11.25" customHeight="1" thickBot="1">
      <c r="A5" s="386" t="s">
        <v>6</v>
      </c>
      <c r="B5" s="1928" t="s">
        <v>7</v>
      </c>
      <c r="C5" s="1928"/>
      <c r="D5" s="387" t="s">
        <v>8</v>
      </c>
      <c r="E5" s="388" t="s">
        <v>9</v>
      </c>
      <c r="F5" s="388" t="s">
        <v>10</v>
      </c>
      <c r="G5" s="389" t="s">
        <v>11</v>
      </c>
      <c r="H5" s="390" t="s">
        <v>11</v>
      </c>
      <c r="I5" s="388" t="s">
        <v>12</v>
      </c>
      <c r="J5" s="388" t="s">
        <v>202</v>
      </c>
      <c r="K5" s="388" t="s">
        <v>11</v>
      </c>
      <c r="L5" s="391" t="s">
        <v>12</v>
      </c>
    </row>
    <row r="6" spans="1:12" ht="20.25" customHeight="1">
      <c r="A6" s="392" t="s">
        <v>203</v>
      </c>
      <c r="B6" s="393"/>
      <c r="C6" s="394" t="s">
        <v>204</v>
      </c>
      <c r="D6" s="393"/>
      <c r="E6" s="395">
        <f>SUM(E7)</f>
        <v>86048000</v>
      </c>
      <c r="F6" s="395">
        <f>SUM(F7)</f>
        <v>51262146</v>
      </c>
      <c r="G6" s="395">
        <f>SUM(G7)</f>
        <v>0</v>
      </c>
      <c r="H6" s="395">
        <f>SUM(H7)</f>
        <v>14000000</v>
      </c>
      <c r="I6" s="396">
        <f>H6/E6</f>
        <v>0.16269988843436223</v>
      </c>
      <c r="J6" s="395">
        <f>SUM(J7)</f>
        <v>88260000</v>
      </c>
      <c r="K6" s="395">
        <f>SUM(K7)</f>
        <v>102260000</v>
      </c>
      <c r="L6" s="397"/>
    </row>
    <row r="7" spans="1:12" ht="38.1" customHeight="1">
      <c r="A7" s="1929"/>
      <c r="B7" s="1972" t="s">
        <v>205</v>
      </c>
      <c r="C7" s="398" t="s">
        <v>206</v>
      </c>
      <c r="D7" s="399"/>
      <c r="E7" s="258">
        <f>SUM(E8+E17)</f>
        <v>86048000</v>
      </c>
      <c r="F7" s="258">
        <f>SUM(F8+F17)</f>
        <v>51262146</v>
      </c>
      <c r="G7" s="258">
        <f>SUM(G8+G17)</f>
        <v>0</v>
      </c>
      <c r="H7" s="258">
        <f>SUM(H8+H17)</f>
        <v>14000000</v>
      </c>
      <c r="I7" s="400">
        <f>H7/E7</f>
        <v>0.16269988843436223</v>
      </c>
      <c r="J7" s="258">
        <f>SUM(J8+J17)</f>
        <v>88260000</v>
      </c>
      <c r="K7" s="258">
        <f>SUM(K8+K17)</f>
        <v>102260000</v>
      </c>
      <c r="L7" s="2558" t="s">
        <v>616</v>
      </c>
    </row>
    <row r="8" spans="1:12" ht="38.1" customHeight="1">
      <c r="A8" s="1930"/>
      <c r="B8" s="1944"/>
      <c r="C8" s="259" t="s">
        <v>18</v>
      </c>
      <c r="D8" s="260"/>
      <c r="E8" s="261">
        <f>SUM(E9+E12+E13+E14+E15+E16)</f>
        <v>29348000</v>
      </c>
      <c r="F8" s="261">
        <f>SUM(F9+F12+F13+F14+F15+F16)</f>
        <v>16652018</v>
      </c>
      <c r="G8" s="261">
        <f>SUM(G9+G12+G13+G14+G15+G16)</f>
        <v>0</v>
      </c>
      <c r="H8" s="261">
        <f>SUM(H9+H12+H13+H14+H15+H16)</f>
        <v>14000000</v>
      </c>
      <c r="I8" s="262">
        <f>H8/E8</f>
        <v>0.47703421016764347</v>
      </c>
      <c r="J8" s="261">
        <f>SUM(J9+J12+J13+J14+J15+J16)</f>
        <v>26660000</v>
      </c>
      <c r="K8" s="261">
        <f>SUM(K9+K12+K13+K14+K15+K16)</f>
        <v>40660000</v>
      </c>
      <c r="L8" s="2559"/>
    </row>
    <row r="9" spans="1:12" ht="38.1" customHeight="1">
      <c r="A9" s="1930"/>
      <c r="B9" s="1944"/>
      <c r="C9" s="401" t="s">
        <v>19</v>
      </c>
      <c r="D9" s="402"/>
      <c r="E9" s="263">
        <f>SUM(E10+E11)</f>
        <v>29348000</v>
      </c>
      <c r="F9" s="263">
        <f>SUM(F10+F11)</f>
        <v>16652018</v>
      </c>
      <c r="G9" s="263">
        <f>SUM(G10+G11)</f>
        <v>0</v>
      </c>
      <c r="H9" s="263">
        <f>SUM(H10+H11)</f>
        <v>14000000</v>
      </c>
      <c r="I9" s="403">
        <f>H9/E9</f>
        <v>0.47703421016764347</v>
      </c>
      <c r="J9" s="263">
        <f>SUM(J10+J11)</f>
        <v>26660000</v>
      </c>
      <c r="K9" s="263">
        <f>SUM(K10+K11)</f>
        <v>40660000</v>
      </c>
      <c r="L9" s="2559"/>
    </row>
    <row r="10" spans="1:12" ht="38.1" customHeight="1">
      <c r="A10" s="1930"/>
      <c r="B10" s="1944"/>
      <c r="C10" s="404" t="s">
        <v>20</v>
      </c>
      <c r="D10" s="402"/>
      <c r="E10" s="263"/>
      <c r="F10" s="263"/>
      <c r="G10" s="263"/>
      <c r="H10" s="263"/>
      <c r="I10" s="403"/>
      <c r="J10" s="263"/>
      <c r="K10" s="263"/>
      <c r="L10" s="2559"/>
    </row>
    <row r="11" spans="1:12" ht="38.1" customHeight="1">
      <c r="A11" s="1930"/>
      <c r="B11" s="1944"/>
      <c r="C11" s="405" t="s">
        <v>21</v>
      </c>
      <c r="D11" s="402" t="s">
        <v>207</v>
      </c>
      <c r="E11" s="263">
        <v>29348000</v>
      </c>
      <c r="F11" s="263">
        <v>16652018</v>
      </c>
      <c r="G11" s="263"/>
      <c r="H11" s="263">
        <v>14000000</v>
      </c>
      <c r="I11" s="403">
        <f>H11/E11</f>
        <v>0.47703421016764347</v>
      </c>
      <c r="J11" s="263">
        <f>26860000-200000</f>
        <v>26660000</v>
      </c>
      <c r="K11" s="263">
        <f>J11+H11</f>
        <v>40660000</v>
      </c>
      <c r="L11" s="2559"/>
    </row>
    <row r="12" spans="1:12" ht="38.1" customHeight="1">
      <c r="A12" s="1930"/>
      <c r="B12" s="1944"/>
      <c r="C12" s="401" t="s">
        <v>23</v>
      </c>
      <c r="D12" s="402"/>
      <c r="E12" s="263"/>
      <c r="F12" s="263"/>
      <c r="G12" s="263"/>
      <c r="H12" s="263"/>
      <c r="I12" s="403"/>
      <c r="J12" s="263"/>
      <c r="K12" s="406"/>
      <c r="L12" s="2559"/>
    </row>
    <row r="13" spans="1:12" ht="38.1" customHeight="1">
      <c r="A13" s="1930"/>
      <c r="B13" s="1944"/>
      <c r="C13" s="401" t="s">
        <v>24</v>
      </c>
      <c r="D13" s="402"/>
      <c r="E13" s="263"/>
      <c r="F13" s="263"/>
      <c r="G13" s="263"/>
      <c r="H13" s="263"/>
      <c r="I13" s="403"/>
      <c r="J13" s="263"/>
      <c r="K13" s="406"/>
      <c r="L13" s="2559"/>
    </row>
    <row r="14" spans="1:12" ht="38.1" customHeight="1">
      <c r="A14" s="1930"/>
      <c r="B14" s="1944"/>
      <c r="C14" s="407" t="s">
        <v>54</v>
      </c>
      <c r="D14" s="402"/>
      <c r="E14" s="263"/>
      <c r="F14" s="263"/>
      <c r="G14" s="263"/>
      <c r="H14" s="263"/>
      <c r="I14" s="403"/>
      <c r="J14" s="263"/>
      <c r="K14" s="406"/>
      <c r="L14" s="2559"/>
    </row>
    <row r="15" spans="1:12" ht="38.1" customHeight="1">
      <c r="A15" s="1930"/>
      <c r="B15" s="1944"/>
      <c r="C15" s="401" t="s">
        <v>26</v>
      </c>
      <c r="D15" s="402"/>
      <c r="E15" s="263"/>
      <c r="F15" s="263"/>
      <c r="G15" s="263"/>
      <c r="H15" s="263"/>
      <c r="I15" s="403"/>
      <c r="J15" s="263"/>
      <c r="K15" s="406"/>
      <c r="L15" s="2559"/>
    </row>
    <row r="16" spans="1:12" ht="38.1" customHeight="1">
      <c r="A16" s="1930"/>
      <c r="B16" s="1944"/>
      <c r="C16" s="401" t="s">
        <v>27</v>
      </c>
      <c r="D16" s="402"/>
      <c r="E16" s="263"/>
      <c r="F16" s="263"/>
      <c r="G16" s="263"/>
      <c r="H16" s="263"/>
      <c r="I16" s="403"/>
      <c r="J16" s="263"/>
      <c r="K16" s="406"/>
      <c r="L16" s="2559"/>
    </row>
    <row r="17" spans="1:12" ht="38.1" customHeight="1">
      <c r="A17" s="1930"/>
      <c r="B17" s="1944"/>
      <c r="C17" s="408" t="s">
        <v>28</v>
      </c>
      <c r="D17" s="260"/>
      <c r="E17" s="261">
        <f>SUM(E18+E20+E21)</f>
        <v>56700000</v>
      </c>
      <c r="F17" s="261">
        <f>SUM(F18+F20+F21)</f>
        <v>34610128</v>
      </c>
      <c r="G17" s="261">
        <f>SUM(G18+G20+G21)</f>
        <v>0</v>
      </c>
      <c r="H17" s="261">
        <f>H18</f>
        <v>0</v>
      </c>
      <c r="I17" s="262">
        <f>H17/E17</f>
        <v>0</v>
      </c>
      <c r="J17" s="261">
        <f>SUM(J18+J20+J21)</f>
        <v>61600000</v>
      </c>
      <c r="K17" s="261">
        <f>SUM(K18+K20+K21)</f>
        <v>61600000</v>
      </c>
      <c r="L17" s="2559"/>
    </row>
    <row r="18" spans="1:12" ht="38.1" customHeight="1">
      <c r="A18" s="1930"/>
      <c r="B18" s="1944"/>
      <c r="C18" s="401" t="s">
        <v>29</v>
      </c>
      <c r="D18" s="402" t="s">
        <v>208</v>
      </c>
      <c r="E18" s="263">
        <v>56700000</v>
      </c>
      <c r="F18" s="263">
        <v>34610128</v>
      </c>
      <c r="G18" s="263"/>
      <c r="H18" s="263">
        <v>0</v>
      </c>
      <c r="I18" s="262">
        <f>H18/E18</f>
        <v>0</v>
      </c>
      <c r="J18" s="263">
        <v>61600000</v>
      </c>
      <c r="K18" s="263">
        <f>H18+J18</f>
        <v>61600000</v>
      </c>
      <c r="L18" s="2559"/>
    </row>
    <row r="19" spans="1:12" ht="38.1" customHeight="1">
      <c r="A19" s="1930"/>
      <c r="B19" s="1944"/>
      <c r="C19" s="407" t="s">
        <v>89</v>
      </c>
      <c r="D19" s="402"/>
      <c r="E19" s="263"/>
      <c r="F19" s="263"/>
      <c r="G19" s="263"/>
      <c r="H19" s="263"/>
      <c r="I19" s="262"/>
      <c r="J19" s="263"/>
      <c r="K19" s="406"/>
      <c r="L19" s="2559"/>
    </row>
    <row r="20" spans="1:12" ht="38.1" customHeight="1">
      <c r="A20" s="1930"/>
      <c r="B20" s="1944"/>
      <c r="C20" s="409" t="s">
        <v>31</v>
      </c>
      <c r="D20" s="402"/>
      <c r="E20" s="263"/>
      <c r="F20" s="263"/>
      <c r="G20" s="263"/>
      <c r="H20" s="263"/>
      <c r="I20" s="262"/>
      <c r="J20" s="263"/>
      <c r="K20" s="406"/>
      <c r="L20" s="2559"/>
    </row>
    <row r="21" spans="1:12" ht="38.1" customHeight="1" thickBot="1">
      <c r="A21" s="1930"/>
      <c r="B21" s="1945"/>
      <c r="C21" s="410" t="s">
        <v>32</v>
      </c>
      <c r="D21" s="411"/>
      <c r="E21" s="412"/>
      <c r="F21" s="412"/>
      <c r="G21" s="413"/>
      <c r="H21" s="412"/>
      <c r="I21" s="414"/>
      <c r="J21" s="412"/>
      <c r="K21" s="412"/>
      <c r="L21" s="2559"/>
    </row>
    <row r="22" spans="1:12" ht="16.5" customHeight="1" thickBot="1">
      <c r="A22" s="2560" t="s">
        <v>209</v>
      </c>
      <c r="B22" s="2561"/>
      <c r="C22" s="2562"/>
      <c r="D22" s="415"/>
      <c r="E22" s="416">
        <f>SUM(E6)</f>
        <v>86048000</v>
      </c>
      <c r="F22" s="416">
        <f>SUM(F6)</f>
        <v>51262146</v>
      </c>
      <c r="G22" s="416">
        <f>SUM(G6)</f>
        <v>0</v>
      </c>
      <c r="H22" s="416">
        <f>SUM(H6)</f>
        <v>14000000</v>
      </c>
      <c r="I22" s="417">
        <f>H22/E22</f>
        <v>0.16269988843436223</v>
      </c>
      <c r="J22" s="416">
        <f>SUM(J6)</f>
        <v>88260000</v>
      </c>
      <c r="K22" s="416">
        <f>SUM(K6)</f>
        <v>102260000</v>
      </c>
      <c r="L22" s="418"/>
    </row>
    <row r="23" spans="1:12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</sheetData>
  <mergeCells count="17">
    <mergeCell ref="B7:B21"/>
    <mergeCell ref="L7:L21"/>
    <mergeCell ref="A22:C22"/>
    <mergeCell ref="B5:C5"/>
    <mergeCell ref="A7:A21"/>
    <mergeCell ref="A1:L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FFFF"/>
    <pageSetUpPr fitToPage="1"/>
  </sheetPr>
  <dimension ref="A1:L38"/>
  <sheetViews>
    <sheetView tabSelected="1" view="pageBreakPreview" zoomScaleNormal="30" zoomScaleSheetLayoutView="100" workbookViewId="0">
      <selection activeCell="D48" sqref="D48"/>
    </sheetView>
  </sheetViews>
  <sheetFormatPr defaultRowHeight="12.75"/>
  <cols>
    <col min="1" max="1" width="6.85546875" style="257" customWidth="1"/>
    <col min="2" max="2" width="8.42578125" style="257" customWidth="1"/>
    <col min="3" max="3" width="41.85546875" style="257" customWidth="1"/>
    <col min="4" max="4" width="8.42578125" style="257" customWidth="1"/>
    <col min="5" max="5" width="12.7109375" style="257" customWidth="1"/>
    <col min="6" max="6" width="10.7109375" style="257" customWidth="1"/>
    <col min="7" max="7" width="10.5703125" style="257" hidden="1" customWidth="1"/>
    <col min="8" max="8" width="0.140625" style="257" hidden="1" customWidth="1"/>
    <col min="9" max="10" width="9.5703125" style="257" hidden="1" customWidth="1"/>
    <col min="11" max="11" width="12" style="257" bestFit="1" customWidth="1"/>
    <col min="12" max="12" width="79.28515625" style="257" customWidth="1"/>
    <col min="13" max="245" width="9.140625" style="257"/>
    <col min="246" max="246" width="4.28515625" style="257" bestFit="1" customWidth="1"/>
    <col min="247" max="247" width="6.85546875" style="257" bestFit="1" customWidth="1"/>
    <col min="248" max="248" width="11" style="257" customWidth="1"/>
    <col min="249" max="249" width="11.140625" style="257" bestFit="1" customWidth="1"/>
    <col min="250" max="250" width="10.85546875" style="257" customWidth="1"/>
    <col min="251" max="251" width="11.5703125" style="257" customWidth="1"/>
    <col min="252" max="252" width="11.140625" style="257" bestFit="1" customWidth="1"/>
    <col min="253" max="253" width="11" style="257" customWidth="1"/>
    <col min="254" max="254" width="10.42578125" style="257" customWidth="1"/>
    <col min="255" max="255" width="11.28515625" style="257" customWidth="1"/>
    <col min="256" max="257" width="9.140625" style="257" bestFit="1" customWidth="1"/>
    <col min="258" max="259" width="11.140625" style="257" bestFit="1" customWidth="1"/>
    <col min="260" max="260" width="11.5703125" style="257" bestFit="1" customWidth="1"/>
    <col min="261" max="261" width="9.140625" style="257" bestFit="1" customWidth="1"/>
    <col min="262" max="262" width="10.28515625" style="257" customWidth="1"/>
    <col min="263" max="501" width="9.140625" style="257"/>
    <col min="502" max="502" width="4.28515625" style="257" bestFit="1" customWidth="1"/>
    <col min="503" max="503" width="6.85546875" style="257" bestFit="1" customWidth="1"/>
    <col min="504" max="504" width="11" style="257" customWidth="1"/>
    <col min="505" max="505" width="11.140625" style="257" bestFit="1" customWidth="1"/>
    <col min="506" max="506" width="10.85546875" style="257" customWidth="1"/>
    <col min="507" max="507" width="11.5703125" style="257" customWidth="1"/>
    <col min="508" max="508" width="11.140625" style="257" bestFit="1" customWidth="1"/>
    <col min="509" max="509" width="11" style="257" customWidth="1"/>
    <col min="510" max="510" width="10.42578125" style="257" customWidth="1"/>
    <col min="511" max="511" width="11.28515625" style="257" customWidth="1"/>
    <col min="512" max="513" width="9.140625" style="257" bestFit="1" customWidth="1"/>
    <col min="514" max="515" width="11.140625" style="257" bestFit="1" customWidth="1"/>
    <col min="516" max="516" width="11.5703125" style="257" bestFit="1" customWidth="1"/>
    <col min="517" max="517" width="9.140625" style="257" bestFit="1" customWidth="1"/>
    <col min="518" max="518" width="10.28515625" style="257" customWidth="1"/>
    <col min="519" max="757" width="9.140625" style="257"/>
    <col min="758" max="758" width="4.28515625" style="257" bestFit="1" customWidth="1"/>
    <col min="759" max="759" width="6.85546875" style="257" bestFit="1" customWidth="1"/>
    <col min="760" max="760" width="11" style="257" customWidth="1"/>
    <col min="761" max="761" width="11.140625" style="257" bestFit="1" customWidth="1"/>
    <col min="762" max="762" width="10.85546875" style="257" customWidth="1"/>
    <col min="763" max="763" width="11.5703125" style="257" customWidth="1"/>
    <col min="764" max="764" width="11.140625" style="257" bestFit="1" customWidth="1"/>
    <col min="765" max="765" width="11" style="257" customWidth="1"/>
    <col min="766" max="766" width="10.42578125" style="257" customWidth="1"/>
    <col min="767" max="767" width="11.28515625" style="257" customWidth="1"/>
    <col min="768" max="769" width="9.140625" style="257" bestFit="1" customWidth="1"/>
    <col min="770" max="771" width="11.140625" style="257" bestFit="1" customWidth="1"/>
    <col min="772" max="772" width="11.5703125" style="257" bestFit="1" customWidth="1"/>
    <col min="773" max="773" width="9.140625" style="257" bestFit="1" customWidth="1"/>
    <col min="774" max="774" width="10.28515625" style="257" customWidth="1"/>
    <col min="775" max="1013" width="9.140625" style="257"/>
    <col min="1014" max="1014" width="4.28515625" style="257" bestFit="1" customWidth="1"/>
    <col min="1015" max="1015" width="6.85546875" style="257" bestFit="1" customWidth="1"/>
    <col min="1016" max="1016" width="11" style="257" customWidth="1"/>
    <col min="1017" max="1017" width="11.140625" style="257" bestFit="1" customWidth="1"/>
    <col min="1018" max="1018" width="10.85546875" style="257" customWidth="1"/>
    <col min="1019" max="1019" width="11.5703125" style="257" customWidth="1"/>
    <col min="1020" max="1020" width="11.140625" style="257" bestFit="1" customWidth="1"/>
    <col min="1021" max="1021" width="11" style="257" customWidth="1"/>
    <col min="1022" max="1022" width="10.42578125" style="257" customWidth="1"/>
    <col min="1023" max="1023" width="11.28515625" style="257" customWidth="1"/>
    <col min="1024" max="1025" width="9.140625" style="257" bestFit="1" customWidth="1"/>
    <col min="1026" max="1027" width="11.140625" style="257" bestFit="1" customWidth="1"/>
    <col min="1028" max="1028" width="11.5703125" style="257" bestFit="1" customWidth="1"/>
    <col min="1029" max="1029" width="9.140625" style="257" bestFit="1" customWidth="1"/>
    <col min="1030" max="1030" width="10.28515625" style="257" customWidth="1"/>
    <col min="1031" max="1269" width="9.140625" style="257"/>
    <col min="1270" max="1270" width="4.28515625" style="257" bestFit="1" customWidth="1"/>
    <col min="1271" max="1271" width="6.85546875" style="257" bestFit="1" customWidth="1"/>
    <col min="1272" max="1272" width="11" style="257" customWidth="1"/>
    <col min="1273" max="1273" width="11.140625" style="257" bestFit="1" customWidth="1"/>
    <col min="1274" max="1274" width="10.85546875" style="257" customWidth="1"/>
    <col min="1275" max="1275" width="11.5703125" style="257" customWidth="1"/>
    <col min="1276" max="1276" width="11.140625" style="257" bestFit="1" customWidth="1"/>
    <col min="1277" max="1277" width="11" style="257" customWidth="1"/>
    <col min="1278" max="1278" width="10.42578125" style="257" customWidth="1"/>
    <col min="1279" max="1279" width="11.28515625" style="257" customWidth="1"/>
    <col min="1280" max="1281" width="9.140625" style="257" bestFit="1" customWidth="1"/>
    <col min="1282" max="1283" width="11.140625" style="257" bestFit="1" customWidth="1"/>
    <col min="1284" max="1284" width="11.5703125" style="257" bestFit="1" customWidth="1"/>
    <col min="1285" max="1285" width="9.140625" style="257" bestFit="1" customWidth="1"/>
    <col min="1286" max="1286" width="10.28515625" style="257" customWidth="1"/>
    <col min="1287" max="1525" width="9.140625" style="257"/>
    <col min="1526" max="1526" width="4.28515625" style="257" bestFit="1" customWidth="1"/>
    <col min="1527" max="1527" width="6.85546875" style="257" bestFit="1" customWidth="1"/>
    <col min="1528" max="1528" width="11" style="257" customWidth="1"/>
    <col min="1529" max="1529" width="11.140625" style="257" bestFit="1" customWidth="1"/>
    <col min="1530" max="1530" width="10.85546875" style="257" customWidth="1"/>
    <col min="1531" max="1531" width="11.5703125" style="257" customWidth="1"/>
    <col min="1532" max="1532" width="11.140625" style="257" bestFit="1" customWidth="1"/>
    <col min="1533" max="1533" width="11" style="257" customWidth="1"/>
    <col min="1534" max="1534" width="10.42578125" style="257" customWidth="1"/>
    <col min="1535" max="1535" width="11.28515625" style="257" customWidth="1"/>
    <col min="1536" max="1537" width="9.140625" style="257" bestFit="1" customWidth="1"/>
    <col min="1538" max="1539" width="11.140625" style="257" bestFit="1" customWidth="1"/>
    <col min="1540" max="1540" width="11.5703125" style="257" bestFit="1" customWidth="1"/>
    <col min="1541" max="1541" width="9.140625" style="257" bestFit="1" customWidth="1"/>
    <col min="1542" max="1542" width="10.28515625" style="257" customWidth="1"/>
    <col min="1543" max="1781" width="9.140625" style="257"/>
    <col min="1782" max="1782" width="4.28515625" style="257" bestFit="1" customWidth="1"/>
    <col min="1783" max="1783" width="6.85546875" style="257" bestFit="1" customWidth="1"/>
    <col min="1784" max="1784" width="11" style="257" customWidth="1"/>
    <col min="1785" max="1785" width="11.140625" style="257" bestFit="1" customWidth="1"/>
    <col min="1786" max="1786" width="10.85546875" style="257" customWidth="1"/>
    <col min="1787" max="1787" width="11.5703125" style="257" customWidth="1"/>
    <col min="1788" max="1788" width="11.140625" style="257" bestFit="1" customWidth="1"/>
    <col min="1789" max="1789" width="11" style="257" customWidth="1"/>
    <col min="1790" max="1790" width="10.42578125" style="257" customWidth="1"/>
    <col min="1791" max="1791" width="11.28515625" style="257" customWidth="1"/>
    <col min="1792" max="1793" width="9.140625" style="257" bestFit="1" customWidth="1"/>
    <col min="1794" max="1795" width="11.140625" style="257" bestFit="1" customWidth="1"/>
    <col min="1796" max="1796" width="11.5703125" style="257" bestFit="1" customWidth="1"/>
    <col min="1797" max="1797" width="9.140625" style="257" bestFit="1" customWidth="1"/>
    <col min="1798" max="1798" width="10.28515625" style="257" customWidth="1"/>
    <col min="1799" max="2037" width="9.140625" style="257"/>
    <col min="2038" max="2038" width="4.28515625" style="257" bestFit="1" customWidth="1"/>
    <col min="2039" max="2039" width="6.85546875" style="257" bestFit="1" customWidth="1"/>
    <col min="2040" max="2040" width="11" style="257" customWidth="1"/>
    <col min="2041" max="2041" width="11.140625" style="257" bestFit="1" customWidth="1"/>
    <col min="2042" max="2042" width="10.85546875" style="257" customWidth="1"/>
    <col min="2043" max="2043" width="11.5703125" style="257" customWidth="1"/>
    <col min="2044" max="2044" width="11.140625" style="257" bestFit="1" customWidth="1"/>
    <col min="2045" max="2045" width="11" style="257" customWidth="1"/>
    <col min="2046" max="2046" width="10.42578125" style="257" customWidth="1"/>
    <col min="2047" max="2047" width="11.28515625" style="257" customWidth="1"/>
    <col min="2048" max="2049" width="9.140625" style="257" bestFit="1" customWidth="1"/>
    <col min="2050" max="2051" width="11.140625" style="257" bestFit="1" customWidth="1"/>
    <col min="2052" max="2052" width="11.5703125" style="257" bestFit="1" customWidth="1"/>
    <col min="2053" max="2053" width="9.140625" style="257" bestFit="1" customWidth="1"/>
    <col min="2054" max="2054" width="10.28515625" style="257" customWidth="1"/>
    <col min="2055" max="2293" width="9.140625" style="257"/>
    <col min="2294" max="2294" width="4.28515625" style="257" bestFit="1" customWidth="1"/>
    <col min="2295" max="2295" width="6.85546875" style="257" bestFit="1" customWidth="1"/>
    <col min="2296" max="2296" width="11" style="257" customWidth="1"/>
    <col min="2297" max="2297" width="11.140625" style="257" bestFit="1" customWidth="1"/>
    <col min="2298" max="2298" width="10.85546875" style="257" customWidth="1"/>
    <col min="2299" max="2299" width="11.5703125" style="257" customWidth="1"/>
    <col min="2300" max="2300" width="11.140625" style="257" bestFit="1" customWidth="1"/>
    <col min="2301" max="2301" width="11" style="257" customWidth="1"/>
    <col min="2302" max="2302" width="10.42578125" style="257" customWidth="1"/>
    <col min="2303" max="2303" width="11.28515625" style="257" customWidth="1"/>
    <col min="2304" max="2305" width="9.140625" style="257" bestFit="1" customWidth="1"/>
    <col min="2306" max="2307" width="11.140625" style="257" bestFit="1" customWidth="1"/>
    <col min="2308" max="2308" width="11.5703125" style="257" bestFit="1" customWidth="1"/>
    <col min="2309" max="2309" width="9.140625" style="257" bestFit="1" customWidth="1"/>
    <col min="2310" max="2310" width="10.28515625" style="257" customWidth="1"/>
    <col min="2311" max="2549" width="9.140625" style="257"/>
    <col min="2550" max="2550" width="4.28515625" style="257" bestFit="1" customWidth="1"/>
    <col min="2551" max="2551" width="6.85546875" style="257" bestFit="1" customWidth="1"/>
    <col min="2552" max="2552" width="11" style="257" customWidth="1"/>
    <col min="2553" max="2553" width="11.140625" style="257" bestFit="1" customWidth="1"/>
    <col min="2554" max="2554" width="10.85546875" style="257" customWidth="1"/>
    <col min="2555" max="2555" width="11.5703125" style="257" customWidth="1"/>
    <col min="2556" max="2556" width="11.140625" style="257" bestFit="1" customWidth="1"/>
    <col min="2557" max="2557" width="11" style="257" customWidth="1"/>
    <col min="2558" max="2558" width="10.42578125" style="257" customWidth="1"/>
    <col min="2559" max="2559" width="11.28515625" style="257" customWidth="1"/>
    <col min="2560" max="2561" width="9.140625" style="257" bestFit="1" customWidth="1"/>
    <col min="2562" max="2563" width="11.140625" style="257" bestFit="1" customWidth="1"/>
    <col min="2564" max="2564" width="11.5703125" style="257" bestFit="1" customWidth="1"/>
    <col min="2565" max="2565" width="9.140625" style="257" bestFit="1" customWidth="1"/>
    <col min="2566" max="2566" width="10.28515625" style="257" customWidth="1"/>
    <col min="2567" max="2805" width="9.140625" style="257"/>
    <col min="2806" max="2806" width="4.28515625" style="257" bestFit="1" customWidth="1"/>
    <col min="2807" max="2807" width="6.85546875" style="257" bestFit="1" customWidth="1"/>
    <col min="2808" max="2808" width="11" style="257" customWidth="1"/>
    <col min="2809" max="2809" width="11.140625" style="257" bestFit="1" customWidth="1"/>
    <col min="2810" max="2810" width="10.85546875" style="257" customWidth="1"/>
    <col min="2811" max="2811" width="11.5703125" style="257" customWidth="1"/>
    <col min="2812" max="2812" width="11.140625" style="257" bestFit="1" customWidth="1"/>
    <col min="2813" max="2813" width="11" style="257" customWidth="1"/>
    <col min="2814" max="2814" width="10.42578125" style="257" customWidth="1"/>
    <col min="2815" max="2815" width="11.28515625" style="257" customWidth="1"/>
    <col min="2816" max="2817" width="9.140625" style="257" bestFit="1" customWidth="1"/>
    <col min="2818" max="2819" width="11.140625" style="257" bestFit="1" customWidth="1"/>
    <col min="2820" max="2820" width="11.5703125" style="257" bestFit="1" customWidth="1"/>
    <col min="2821" max="2821" width="9.140625" style="257" bestFit="1" customWidth="1"/>
    <col min="2822" max="2822" width="10.28515625" style="257" customWidth="1"/>
    <col min="2823" max="3061" width="9.140625" style="257"/>
    <col min="3062" max="3062" width="4.28515625" style="257" bestFit="1" customWidth="1"/>
    <col min="3063" max="3063" width="6.85546875" style="257" bestFit="1" customWidth="1"/>
    <col min="3064" max="3064" width="11" style="257" customWidth="1"/>
    <col min="3065" max="3065" width="11.140625" style="257" bestFit="1" customWidth="1"/>
    <col min="3066" max="3066" width="10.85546875" style="257" customWidth="1"/>
    <col min="3067" max="3067" width="11.5703125" style="257" customWidth="1"/>
    <col min="3068" max="3068" width="11.140625" style="257" bestFit="1" customWidth="1"/>
    <col min="3069" max="3069" width="11" style="257" customWidth="1"/>
    <col min="3070" max="3070" width="10.42578125" style="257" customWidth="1"/>
    <col min="3071" max="3071" width="11.28515625" style="257" customWidth="1"/>
    <col min="3072" max="3073" width="9.140625" style="257" bestFit="1" customWidth="1"/>
    <col min="3074" max="3075" width="11.140625" style="257" bestFit="1" customWidth="1"/>
    <col min="3076" max="3076" width="11.5703125" style="257" bestFit="1" customWidth="1"/>
    <col min="3077" max="3077" width="9.140625" style="257" bestFit="1" customWidth="1"/>
    <col min="3078" max="3078" width="10.28515625" style="257" customWidth="1"/>
    <col min="3079" max="3317" width="9.140625" style="257"/>
    <col min="3318" max="3318" width="4.28515625" style="257" bestFit="1" customWidth="1"/>
    <col min="3319" max="3319" width="6.85546875" style="257" bestFit="1" customWidth="1"/>
    <col min="3320" max="3320" width="11" style="257" customWidth="1"/>
    <col min="3321" max="3321" width="11.140625" style="257" bestFit="1" customWidth="1"/>
    <col min="3322" max="3322" width="10.85546875" style="257" customWidth="1"/>
    <col min="3323" max="3323" width="11.5703125" style="257" customWidth="1"/>
    <col min="3324" max="3324" width="11.140625" style="257" bestFit="1" customWidth="1"/>
    <col min="3325" max="3325" width="11" style="257" customWidth="1"/>
    <col min="3326" max="3326" width="10.42578125" style="257" customWidth="1"/>
    <col min="3327" max="3327" width="11.28515625" style="257" customWidth="1"/>
    <col min="3328" max="3329" width="9.140625" style="257" bestFit="1" customWidth="1"/>
    <col min="3330" max="3331" width="11.140625" style="257" bestFit="1" customWidth="1"/>
    <col min="3332" max="3332" width="11.5703125" style="257" bestFit="1" customWidth="1"/>
    <col min="3333" max="3333" width="9.140625" style="257" bestFit="1" customWidth="1"/>
    <col min="3334" max="3334" width="10.28515625" style="257" customWidth="1"/>
    <col min="3335" max="3573" width="9.140625" style="257"/>
    <col min="3574" max="3574" width="4.28515625" style="257" bestFit="1" customWidth="1"/>
    <col min="3575" max="3575" width="6.85546875" style="257" bestFit="1" customWidth="1"/>
    <col min="3576" max="3576" width="11" style="257" customWidth="1"/>
    <col min="3577" max="3577" width="11.140625" style="257" bestFit="1" customWidth="1"/>
    <col min="3578" max="3578" width="10.85546875" style="257" customWidth="1"/>
    <col min="3579" max="3579" width="11.5703125" style="257" customWidth="1"/>
    <col min="3580" max="3580" width="11.140625" style="257" bestFit="1" customWidth="1"/>
    <col min="3581" max="3581" width="11" style="257" customWidth="1"/>
    <col min="3582" max="3582" width="10.42578125" style="257" customWidth="1"/>
    <col min="3583" max="3583" width="11.28515625" style="257" customWidth="1"/>
    <col min="3584" max="3585" width="9.140625" style="257" bestFit="1" customWidth="1"/>
    <col min="3586" max="3587" width="11.140625" style="257" bestFit="1" customWidth="1"/>
    <col min="3588" max="3588" width="11.5703125" style="257" bestFit="1" customWidth="1"/>
    <col min="3589" max="3589" width="9.140625" style="257" bestFit="1" customWidth="1"/>
    <col min="3590" max="3590" width="10.28515625" style="257" customWidth="1"/>
    <col min="3591" max="3829" width="9.140625" style="257"/>
    <col min="3830" max="3830" width="4.28515625" style="257" bestFit="1" customWidth="1"/>
    <col min="3831" max="3831" width="6.85546875" style="257" bestFit="1" customWidth="1"/>
    <col min="3832" max="3832" width="11" style="257" customWidth="1"/>
    <col min="3833" max="3833" width="11.140625" style="257" bestFit="1" customWidth="1"/>
    <col min="3834" max="3834" width="10.85546875" style="257" customWidth="1"/>
    <col min="3835" max="3835" width="11.5703125" style="257" customWidth="1"/>
    <col min="3836" max="3836" width="11.140625" style="257" bestFit="1" customWidth="1"/>
    <col min="3837" max="3837" width="11" style="257" customWidth="1"/>
    <col min="3838" max="3838" width="10.42578125" style="257" customWidth="1"/>
    <col min="3839" max="3839" width="11.28515625" style="257" customWidth="1"/>
    <col min="3840" max="3841" width="9.140625" style="257" bestFit="1" customWidth="1"/>
    <col min="3842" max="3843" width="11.140625" style="257" bestFit="1" customWidth="1"/>
    <col min="3844" max="3844" width="11.5703125" style="257" bestFit="1" customWidth="1"/>
    <col min="3845" max="3845" width="9.140625" style="257" bestFit="1" customWidth="1"/>
    <col min="3846" max="3846" width="10.28515625" style="257" customWidth="1"/>
    <col min="3847" max="4085" width="9.140625" style="257"/>
    <col min="4086" max="4086" width="4.28515625" style="257" bestFit="1" customWidth="1"/>
    <col min="4087" max="4087" width="6.85546875" style="257" bestFit="1" customWidth="1"/>
    <col min="4088" max="4088" width="11" style="257" customWidth="1"/>
    <col min="4089" max="4089" width="11.140625" style="257" bestFit="1" customWidth="1"/>
    <col min="4090" max="4090" width="10.85546875" style="257" customWidth="1"/>
    <col min="4091" max="4091" width="11.5703125" style="257" customWidth="1"/>
    <col min="4092" max="4092" width="11.140625" style="257" bestFit="1" customWidth="1"/>
    <col min="4093" max="4093" width="11" style="257" customWidth="1"/>
    <col min="4094" max="4094" width="10.42578125" style="257" customWidth="1"/>
    <col min="4095" max="4095" width="11.28515625" style="257" customWidth="1"/>
    <col min="4096" max="4097" width="9.140625" style="257" bestFit="1" customWidth="1"/>
    <col min="4098" max="4099" width="11.140625" style="257" bestFit="1" customWidth="1"/>
    <col min="4100" max="4100" width="11.5703125" style="257" bestFit="1" customWidth="1"/>
    <col min="4101" max="4101" width="9.140625" style="257" bestFit="1" customWidth="1"/>
    <col min="4102" max="4102" width="10.28515625" style="257" customWidth="1"/>
    <col min="4103" max="4341" width="9.140625" style="257"/>
    <col min="4342" max="4342" width="4.28515625" style="257" bestFit="1" customWidth="1"/>
    <col min="4343" max="4343" width="6.85546875" style="257" bestFit="1" customWidth="1"/>
    <col min="4344" max="4344" width="11" style="257" customWidth="1"/>
    <col min="4345" max="4345" width="11.140625" style="257" bestFit="1" customWidth="1"/>
    <col min="4346" max="4346" width="10.85546875" style="257" customWidth="1"/>
    <col min="4347" max="4347" width="11.5703125" style="257" customWidth="1"/>
    <col min="4348" max="4348" width="11.140625" style="257" bestFit="1" customWidth="1"/>
    <col min="4349" max="4349" width="11" style="257" customWidth="1"/>
    <col min="4350" max="4350" width="10.42578125" style="257" customWidth="1"/>
    <col min="4351" max="4351" width="11.28515625" style="257" customWidth="1"/>
    <col min="4352" max="4353" width="9.140625" style="257" bestFit="1" customWidth="1"/>
    <col min="4354" max="4355" width="11.140625" style="257" bestFit="1" customWidth="1"/>
    <col min="4356" max="4356" width="11.5703125" style="257" bestFit="1" customWidth="1"/>
    <col min="4357" max="4357" width="9.140625" style="257" bestFit="1" customWidth="1"/>
    <col min="4358" max="4358" width="10.28515625" style="257" customWidth="1"/>
    <col min="4359" max="4597" width="9.140625" style="257"/>
    <col min="4598" max="4598" width="4.28515625" style="257" bestFit="1" customWidth="1"/>
    <col min="4599" max="4599" width="6.85546875" style="257" bestFit="1" customWidth="1"/>
    <col min="4600" max="4600" width="11" style="257" customWidth="1"/>
    <col min="4601" max="4601" width="11.140625" style="257" bestFit="1" customWidth="1"/>
    <col min="4602" max="4602" width="10.85546875" style="257" customWidth="1"/>
    <col min="4603" max="4603" width="11.5703125" style="257" customWidth="1"/>
    <col min="4604" max="4604" width="11.140625" style="257" bestFit="1" customWidth="1"/>
    <col min="4605" max="4605" width="11" style="257" customWidth="1"/>
    <col min="4606" max="4606" width="10.42578125" style="257" customWidth="1"/>
    <col min="4607" max="4607" width="11.28515625" style="257" customWidth="1"/>
    <col min="4608" max="4609" width="9.140625" style="257" bestFit="1" customWidth="1"/>
    <col min="4610" max="4611" width="11.140625" style="257" bestFit="1" customWidth="1"/>
    <col min="4612" max="4612" width="11.5703125" style="257" bestFit="1" customWidth="1"/>
    <col min="4613" max="4613" width="9.140625" style="257" bestFit="1" customWidth="1"/>
    <col min="4614" max="4614" width="10.28515625" style="257" customWidth="1"/>
    <col min="4615" max="4853" width="9.140625" style="257"/>
    <col min="4854" max="4854" width="4.28515625" style="257" bestFit="1" customWidth="1"/>
    <col min="4855" max="4855" width="6.85546875" style="257" bestFit="1" customWidth="1"/>
    <col min="4856" max="4856" width="11" style="257" customWidth="1"/>
    <col min="4857" max="4857" width="11.140625" style="257" bestFit="1" customWidth="1"/>
    <col min="4858" max="4858" width="10.85546875" style="257" customWidth="1"/>
    <col min="4859" max="4859" width="11.5703125" style="257" customWidth="1"/>
    <col min="4860" max="4860" width="11.140625" style="257" bestFit="1" customWidth="1"/>
    <col min="4861" max="4861" width="11" style="257" customWidth="1"/>
    <col min="4862" max="4862" width="10.42578125" style="257" customWidth="1"/>
    <col min="4863" max="4863" width="11.28515625" style="257" customWidth="1"/>
    <col min="4864" max="4865" width="9.140625" style="257" bestFit="1" customWidth="1"/>
    <col min="4866" max="4867" width="11.140625" style="257" bestFit="1" customWidth="1"/>
    <col min="4868" max="4868" width="11.5703125" style="257" bestFit="1" customWidth="1"/>
    <col min="4869" max="4869" width="9.140625" style="257" bestFit="1" customWidth="1"/>
    <col min="4870" max="4870" width="10.28515625" style="257" customWidth="1"/>
    <col min="4871" max="5109" width="9.140625" style="257"/>
    <col min="5110" max="5110" width="4.28515625" style="257" bestFit="1" customWidth="1"/>
    <col min="5111" max="5111" width="6.85546875" style="257" bestFit="1" customWidth="1"/>
    <col min="5112" max="5112" width="11" style="257" customWidth="1"/>
    <col min="5113" max="5113" width="11.140625" style="257" bestFit="1" customWidth="1"/>
    <col min="5114" max="5114" width="10.85546875" style="257" customWidth="1"/>
    <col min="5115" max="5115" width="11.5703125" style="257" customWidth="1"/>
    <col min="5116" max="5116" width="11.140625" style="257" bestFit="1" customWidth="1"/>
    <col min="5117" max="5117" width="11" style="257" customWidth="1"/>
    <col min="5118" max="5118" width="10.42578125" style="257" customWidth="1"/>
    <col min="5119" max="5119" width="11.28515625" style="257" customWidth="1"/>
    <col min="5120" max="5121" width="9.140625" style="257" bestFit="1" customWidth="1"/>
    <col min="5122" max="5123" width="11.140625" style="257" bestFit="1" customWidth="1"/>
    <col min="5124" max="5124" width="11.5703125" style="257" bestFit="1" customWidth="1"/>
    <col min="5125" max="5125" width="9.140625" style="257" bestFit="1" customWidth="1"/>
    <col min="5126" max="5126" width="10.28515625" style="257" customWidth="1"/>
    <col min="5127" max="5365" width="9.140625" style="257"/>
    <col min="5366" max="5366" width="4.28515625" style="257" bestFit="1" customWidth="1"/>
    <col min="5367" max="5367" width="6.85546875" style="257" bestFit="1" customWidth="1"/>
    <col min="5368" max="5368" width="11" style="257" customWidth="1"/>
    <col min="5369" max="5369" width="11.140625" style="257" bestFit="1" customWidth="1"/>
    <col min="5370" max="5370" width="10.85546875" style="257" customWidth="1"/>
    <col min="5371" max="5371" width="11.5703125" style="257" customWidth="1"/>
    <col min="5372" max="5372" width="11.140625" style="257" bestFit="1" customWidth="1"/>
    <col min="5373" max="5373" width="11" style="257" customWidth="1"/>
    <col min="5374" max="5374" width="10.42578125" style="257" customWidth="1"/>
    <col min="5375" max="5375" width="11.28515625" style="257" customWidth="1"/>
    <col min="5376" max="5377" width="9.140625" style="257" bestFit="1" customWidth="1"/>
    <col min="5378" max="5379" width="11.140625" style="257" bestFit="1" customWidth="1"/>
    <col min="5380" max="5380" width="11.5703125" style="257" bestFit="1" customWidth="1"/>
    <col min="5381" max="5381" width="9.140625" style="257" bestFit="1" customWidth="1"/>
    <col min="5382" max="5382" width="10.28515625" style="257" customWidth="1"/>
    <col min="5383" max="5621" width="9.140625" style="257"/>
    <col min="5622" max="5622" width="4.28515625" style="257" bestFit="1" customWidth="1"/>
    <col min="5623" max="5623" width="6.85546875" style="257" bestFit="1" customWidth="1"/>
    <col min="5624" max="5624" width="11" style="257" customWidth="1"/>
    <col min="5625" max="5625" width="11.140625" style="257" bestFit="1" customWidth="1"/>
    <col min="5626" max="5626" width="10.85546875" style="257" customWidth="1"/>
    <col min="5627" max="5627" width="11.5703125" style="257" customWidth="1"/>
    <col min="5628" max="5628" width="11.140625" style="257" bestFit="1" customWidth="1"/>
    <col min="5629" max="5629" width="11" style="257" customWidth="1"/>
    <col min="5630" max="5630" width="10.42578125" style="257" customWidth="1"/>
    <col min="5631" max="5631" width="11.28515625" style="257" customWidth="1"/>
    <col min="5632" max="5633" width="9.140625" style="257" bestFit="1" customWidth="1"/>
    <col min="5634" max="5635" width="11.140625" style="257" bestFit="1" customWidth="1"/>
    <col min="5636" max="5636" width="11.5703125" style="257" bestFit="1" customWidth="1"/>
    <col min="5637" max="5637" width="9.140625" style="257" bestFit="1" customWidth="1"/>
    <col min="5638" max="5638" width="10.28515625" style="257" customWidth="1"/>
    <col min="5639" max="5877" width="9.140625" style="257"/>
    <col min="5878" max="5878" width="4.28515625" style="257" bestFit="1" customWidth="1"/>
    <col min="5879" max="5879" width="6.85546875" style="257" bestFit="1" customWidth="1"/>
    <col min="5880" max="5880" width="11" style="257" customWidth="1"/>
    <col min="5881" max="5881" width="11.140625" style="257" bestFit="1" customWidth="1"/>
    <col min="5882" max="5882" width="10.85546875" style="257" customWidth="1"/>
    <col min="5883" max="5883" width="11.5703125" style="257" customWidth="1"/>
    <col min="5884" max="5884" width="11.140625" style="257" bestFit="1" customWidth="1"/>
    <col min="5885" max="5885" width="11" style="257" customWidth="1"/>
    <col min="5886" max="5886" width="10.42578125" style="257" customWidth="1"/>
    <col min="5887" max="5887" width="11.28515625" style="257" customWidth="1"/>
    <col min="5888" max="5889" width="9.140625" style="257" bestFit="1" customWidth="1"/>
    <col min="5890" max="5891" width="11.140625" style="257" bestFit="1" customWidth="1"/>
    <col min="5892" max="5892" width="11.5703125" style="257" bestFit="1" customWidth="1"/>
    <col min="5893" max="5893" width="9.140625" style="257" bestFit="1" customWidth="1"/>
    <col min="5894" max="5894" width="10.28515625" style="257" customWidth="1"/>
    <col min="5895" max="6133" width="9.140625" style="257"/>
    <col min="6134" max="6134" width="4.28515625" style="257" bestFit="1" customWidth="1"/>
    <col min="6135" max="6135" width="6.85546875" style="257" bestFit="1" customWidth="1"/>
    <col min="6136" max="6136" width="11" style="257" customWidth="1"/>
    <col min="6137" max="6137" width="11.140625" style="257" bestFit="1" customWidth="1"/>
    <col min="6138" max="6138" width="10.85546875" style="257" customWidth="1"/>
    <col min="6139" max="6139" width="11.5703125" style="257" customWidth="1"/>
    <col min="6140" max="6140" width="11.140625" style="257" bestFit="1" customWidth="1"/>
    <col min="6141" max="6141" width="11" style="257" customWidth="1"/>
    <col min="6142" max="6142" width="10.42578125" style="257" customWidth="1"/>
    <col min="6143" max="6143" width="11.28515625" style="257" customWidth="1"/>
    <col min="6144" max="6145" width="9.140625" style="257" bestFit="1" customWidth="1"/>
    <col min="6146" max="6147" width="11.140625" style="257" bestFit="1" customWidth="1"/>
    <col min="6148" max="6148" width="11.5703125" style="257" bestFit="1" customWidth="1"/>
    <col min="6149" max="6149" width="9.140625" style="257" bestFit="1" customWidth="1"/>
    <col min="6150" max="6150" width="10.28515625" style="257" customWidth="1"/>
    <col min="6151" max="6389" width="9.140625" style="257"/>
    <col min="6390" max="6390" width="4.28515625" style="257" bestFit="1" customWidth="1"/>
    <col min="6391" max="6391" width="6.85546875" style="257" bestFit="1" customWidth="1"/>
    <col min="6392" max="6392" width="11" style="257" customWidth="1"/>
    <col min="6393" max="6393" width="11.140625" style="257" bestFit="1" customWidth="1"/>
    <col min="6394" max="6394" width="10.85546875" style="257" customWidth="1"/>
    <col min="6395" max="6395" width="11.5703125" style="257" customWidth="1"/>
    <col min="6396" max="6396" width="11.140625" style="257" bestFit="1" customWidth="1"/>
    <col min="6397" max="6397" width="11" style="257" customWidth="1"/>
    <col min="6398" max="6398" width="10.42578125" style="257" customWidth="1"/>
    <col min="6399" max="6399" width="11.28515625" style="257" customWidth="1"/>
    <col min="6400" max="6401" width="9.140625" style="257" bestFit="1" customWidth="1"/>
    <col min="6402" max="6403" width="11.140625" style="257" bestFit="1" customWidth="1"/>
    <col min="6404" max="6404" width="11.5703125" style="257" bestFit="1" customWidth="1"/>
    <col min="6405" max="6405" width="9.140625" style="257" bestFit="1" customWidth="1"/>
    <col min="6406" max="6406" width="10.28515625" style="257" customWidth="1"/>
    <col min="6407" max="6645" width="9.140625" style="257"/>
    <col min="6646" max="6646" width="4.28515625" style="257" bestFit="1" customWidth="1"/>
    <col min="6647" max="6647" width="6.85546875" style="257" bestFit="1" customWidth="1"/>
    <col min="6648" max="6648" width="11" style="257" customWidth="1"/>
    <col min="6649" max="6649" width="11.140625" style="257" bestFit="1" customWidth="1"/>
    <col min="6650" max="6650" width="10.85546875" style="257" customWidth="1"/>
    <col min="6651" max="6651" width="11.5703125" style="257" customWidth="1"/>
    <col min="6652" max="6652" width="11.140625" style="257" bestFit="1" customWidth="1"/>
    <col min="6653" max="6653" width="11" style="257" customWidth="1"/>
    <col min="6654" max="6654" width="10.42578125" style="257" customWidth="1"/>
    <col min="6655" max="6655" width="11.28515625" style="257" customWidth="1"/>
    <col min="6656" max="6657" width="9.140625" style="257" bestFit="1" customWidth="1"/>
    <col min="6658" max="6659" width="11.140625" style="257" bestFit="1" customWidth="1"/>
    <col min="6660" max="6660" width="11.5703125" style="257" bestFit="1" customWidth="1"/>
    <col min="6661" max="6661" width="9.140625" style="257" bestFit="1" customWidth="1"/>
    <col min="6662" max="6662" width="10.28515625" style="257" customWidth="1"/>
    <col min="6663" max="6901" width="9.140625" style="257"/>
    <col min="6902" max="6902" width="4.28515625" style="257" bestFit="1" customWidth="1"/>
    <col min="6903" max="6903" width="6.85546875" style="257" bestFit="1" customWidth="1"/>
    <col min="6904" max="6904" width="11" style="257" customWidth="1"/>
    <col min="6905" max="6905" width="11.140625" style="257" bestFit="1" customWidth="1"/>
    <col min="6906" max="6906" width="10.85546875" style="257" customWidth="1"/>
    <col min="6907" max="6907" width="11.5703125" style="257" customWidth="1"/>
    <col min="6908" max="6908" width="11.140625" style="257" bestFit="1" customWidth="1"/>
    <col min="6909" max="6909" width="11" style="257" customWidth="1"/>
    <col min="6910" max="6910" width="10.42578125" style="257" customWidth="1"/>
    <col min="6911" max="6911" width="11.28515625" style="257" customWidth="1"/>
    <col min="6912" max="6913" width="9.140625" style="257" bestFit="1" customWidth="1"/>
    <col min="6914" max="6915" width="11.140625" style="257" bestFit="1" customWidth="1"/>
    <col min="6916" max="6916" width="11.5703125" style="257" bestFit="1" customWidth="1"/>
    <col min="6917" max="6917" width="9.140625" style="257" bestFit="1" customWidth="1"/>
    <col min="6918" max="6918" width="10.28515625" style="257" customWidth="1"/>
    <col min="6919" max="7157" width="9.140625" style="257"/>
    <col min="7158" max="7158" width="4.28515625" style="257" bestFit="1" customWidth="1"/>
    <col min="7159" max="7159" width="6.85546875" style="257" bestFit="1" customWidth="1"/>
    <col min="7160" max="7160" width="11" style="257" customWidth="1"/>
    <col min="7161" max="7161" width="11.140625" style="257" bestFit="1" customWidth="1"/>
    <col min="7162" max="7162" width="10.85546875" style="257" customWidth="1"/>
    <col min="7163" max="7163" width="11.5703125" style="257" customWidth="1"/>
    <col min="7164" max="7164" width="11.140625" style="257" bestFit="1" customWidth="1"/>
    <col min="7165" max="7165" width="11" style="257" customWidth="1"/>
    <col min="7166" max="7166" width="10.42578125" style="257" customWidth="1"/>
    <col min="7167" max="7167" width="11.28515625" style="257" customWidth="1"/>
    <col min="7168" max="7169" width="9.140625" style="257" bestFit="1" customWidth="1"/>
    <col min="7170" max="7171" width="11.140625" style="257" bestFit="1" customWidth="1"/>
    <col min="7172" max="7172" width="11.5703125" style="257" bestFit="1" customWidth="1"/>
    <col min="7173" max="7173" width="9.140625" style="257" bestFit="1" customWidth="1"/>
    <col min="7174" max="7174" width="10.28515625" style="257" customWidth="1"/>
    <col min="7175" max="7413" width="9.140625" style="257"/>
    <col min="7414" max="7414" width="4.28515625" style="257" bestFit="1" customWidth="1"/>
    <col min="7415" max="7415" width="6.85546875" style="257" bestFit="1" customWidth="1"/>
    <col min="7416" max="7416" width="11" style="257" customWidth="1"/>
    <col min="7417" max="7417" width="11.140625" style="257" bestFit="1" customWidth="1"/>
    <col min="7418" max="7418" width="10.85546875" style="257" customWidth="1"/>
    <col min="7419" max="7419" width="11.5703125" style="257" customWidth="1"/>
    <col min="7420" max="7420" width="11.140625" style="257" bestFit="1" customWidth="1"/>
    <col min="7421" max="7421" width="11" style="257" customWidth="1"/>
    <col min="7422" max="7422" width="10.42578125" style="257" customWidth="1"/>
    <col min="7423" max="7423" width="11.28515625" style="257" customWidth="1"/>
    <col min="7424" max="7425" width="9.140625" style="257" bestFit="1" customWidth="1"/>
    <col min="7426" max="7427" width="11.140625" style="257" bestFit="1" customWidth="1"/>
    <col min="7428" max="7428" width="11.5703125" style="257" bestFit="1" customWidth="1"/>
    <col min="7429" max="7429" width="9.140625" style="257" bestFit="1" customWidth="1"/>
    <col min="7430" max="7430" width="10.28515625" style="257" customWidth="1"/>
    <col min="7431" max="7669" width="9.140625" style="257"/>
    <col min="7670" max="7670" width="4.28515625" style="257" bestFit="1" customWidth="1"/>
    <col min="7671" max="7671" width="6.85546875" style="257" bestFit="1" customWidth="1"/>
    <col min="7672" max="7672" width="11" style="257" customWidth="1"/>
    <col min="7673" max="7673" width="11.140625" style="257" bestFit="1" customWidth="1"/>
    <col min="7674" max="7674" width="10.85546875" style="257" customWidth="1"/>
    <col min="7675" max="7675" width="11.5703125" style="257" customWidth="1"/>
    <col min="7676" max="7676" width="11.140625" style="257" bestFit="1" customWidth="1"/>
    <col min="7677" max="7677" width="11" style="257" customWidth="1"/>
    <col min="7678" max="7678" width="10.42578125" style="257" customWidth="1"/>
    <col min="7679" max="7679" width="11.28515625" style="257" customWidth="1"/>
    <col min="7680" max="7681" width="9.140625" style="257" bestFit="1" customWidth="1"/>
    <col min="7682" max="7683" width="11.140625" style="257" bestFit="1" customWidth="1"/>
    <col min="7684" max="7684" width="11.5703125" style="257" bestFit="1" customWidth="1"/>
    <col min="7685" max="7685" width="9.140625" style="257" bestFit="1" customWidth="1"/>
    <col min="7686" max="7686" width="10.28515625" style="257" customWidth="1"/>
    <col min="7687" max="7925" width="9.140625" style="257"/>
    <col min="7926" max="7926" width="4.28515625" style="257" bestFit="1" customWidth="1"/>
    <col min="7927" max="7927" width="6.85546875" style="257" bestFit="1" customWidth="1"/>
    <col min="7928" max="7928" width="11" style="257" customWidth="1"/>
    <col min="7929" max="7929" width="11.140625" style="257" bestFit="1" customWidth="1"/>
    <col min="7930" max="7930" width="10.85546875" style="257" customWidth="1"/>
    <col min="7931" max="7931" width="11.5703125" style="257" customWidth="1"/>
    <col min="7932" max="7932" width="11.140625" style="257" bestFit="1" customWidth="1"/>
    <col min="7933" max="7933" width="11" style="257" customWidth="1"/>
    <col min="7934" max="7934" width="10.42578125" style="257" customWidth="1"/>
    <col min="7935" max="7935" width="11.28515625" style="257" customWidth="1"/>
    <col min="7936" max="7937" width="9.140625" style="257" bestFit="1" customWidth="1"/>
    <col min="7938" max="7939" width="11.140625" style="257" bestFit="1" customWidth="1"/>
    <col min="7940" max="7940" width="11.5703125" style="257" bestFit="1" customWidth="1"/>
    <col min="7941" max="7941" width="9.140625" style="257" bestFit="1" customWidth="1"/>
    <col min="7942" max="7942" width="10.28515625" style="257" customWidth="1"/>
    <col min="7943" max="8181" width="9.140625" style="257"/>
    <col min="8182" max="8182" width="4.28515625" style="257" bestFit="1" customWidth="1"/>
    <col min="8183" max="8183" width="6.85546875" style="257" bestFit="1" customWidth="1"/>
    <col min="8184" max="8184" width="11" style="257" customWidth="1"/>
    <col min="8185" max="8185" width="11.140625" style="257" bestFit="1" customWidth="1"/>
    <col min="8186" max="8186" width="10.85546875" style="257" customWidth="1"/>
    <col min="8187" max="8187" width="11.5703125" style="257" customWidth="1"/>
    <col min="8188" max="8188" width="11.140625" style="257" bestFit="1" customWidth="1"/>
    <col min="8189" max="8189" width="11" style="257" customWidth="1"/>
    <col min="8190" max="8190" width="10.42578125" style="257" customWidth="1"/>
    <col min="8191" max="8191" width="11.28515625" style="257" customWidth="1"/>
    <col min="8192" max="8193" width="9.140625" style="257" bestFit="1" customWidth="1"/>
    <col min="8194" max="8195" width="11.140625" style="257" bestFit="1" customWidth="1"/>
    <col min="8196" max="8196" width="11.5703125" style="257" bestFit="1" customWidth="1"/>
    <col min="8197" max="8197" width="9.140625" style="257" bestFit="1" customWidth="1"/>
    <col min="8198" max="8198" width="10.28515625" style="257" customWidth="1"/>
    <col min="8199" max="8437" width="9.140625" style="257"/>
    <col min="8438" max="8438" width="4.28515625" style="257" bestFit="1" customWidth="1"/>
    <col min="8439" max="8439" width="6.85546875" style="257" bestFit="1" customWidth="1"/>
    <col min="8440" max="8440" width="11" style="257" customWidth="1"/>
    <col min="8441" max="8441" width="11.140625" style="257" bestFit="1" customWidth="1"/>
    <col min="8442" max="8442" width="10.85546875" style="257" customWidth="1"/>
    <col min="8443" max="8443" width="11.5703125" style="257" customWidth="1"/>
    <col min="8444" max="8444" width="11.140625" style="257" bestFit="1" customWidth="1"/>
    <col min="8445" max="8445" width="11" style="257" customWidth="1"/>
    <col min="8446" max="8446" width="10.42578125" style="257" customWidth="1"/>
    <col min="8447" max="8447" width="11.28515625" style="257" customWidth="1"/>
    <col min="8448" max="8449" width="9.140625" style="257" bestFit="1" customWidth="1"/>
    <col min="8450" max="8451" width="11.140625" style="257" bestFit="1" customWidth="1"/>
    <col min="8452" max="8452" width="11.5703125" style="257" bestFit="1" customWidth="1"/>
    <col min="8453" max="8453" width="9.140625" style="257" bestFit="1" customWidth="1"/>
    <col min="8454" max="8454" width="10.28515625" style="257" customWidth="1"/>
    <col min="8455" max="8693" width="9.140625" style="257"/>
    <col min="8694" max="8694" width="4.28515625" style="257" bestFit="1" customWidth="1"/>
    <col min="8695" max="8695" width="6.85546875" style="257" bestFit="1" customWidth="1"/>
    <col min="8696" max="8696" width="11" style="257" customWidth="1"/>
    <col min="8697" max="8697" width="11.140625" style="257" bestFit="1" customWidth="1"/>
    <col min="8698" max="8698" width="10.85546875" style="257" customWidth="1"/>
    <col min="8699" max="8699" width="11.5703125" style="257" customWidth="1"/>
    <col min="8700" max="8700" width="11.140625" style="257" bestFit="1" customWidth="1"/>
    <col min="8701" max="8701" width="11" style="257" customWidth="1"/>
    <col min="8702" max="8702" width="10.42578125" style="257" customWidth="1"/>
    <col min="8703" max="8703" width="11.28515625" style="257" customWidth="1"/>
    <col min="8704" max="8705" width="9.140625" style="257" bestFit="1" customWidth="1"/>
    <col min="8706" max="8707" width="11.140625" style="257" bestFit="1" customWidth="1"/>
    <col min="8708" max="8708" width="11.5703125" style="257" bestFit="1" customWidth="1"/>
    <col min="8709" max="8709" width="9.140625" style="257" bestFit="1" customWidth="1"/>
    <col min="8710" max="8710" width="10.28515625" style="257" customWidth="1"/>
    <col min="8711" max="8949" width="9.140625" style="257"/>
    <col min="8950" max="8950" width="4.28515625" style="257" bestFit="1" customWidth="1"/>
    <col min="8951" max="8951" width="6.85546875" style="257" bestFit="1" customWidth="1"/>
    <col min="8952" max="8952" width="11" style="257" customWidth="1"/>
    <col min="8953" max="8953" width="11.140625" style="257" bestFit="1" customWidth="1"/>
    <col min="8954" max="8954" width="10.85546875" style="257" customWidth="1"/>
    <col min="8955" max="8955" width="11.5703125" style="257" customWidth="1"/>
    <col min="8956" max="8956" width="11.140625" style="257" bestFit="1" customWidth="1"/>
    <col min="8957" max="8957" width="11" style="257" customWidth="1"/>
    <col min="8958" max="8958" width="10.42578125" style="257" customWidth="1"/>
    <col min="8959" max="8959" width="11.28515625" style="257" customWidth="1"/>
    <col min="8960" max="8961" width="9.140625" style="257" bestFit="1" customWidth="1"/>
    <col min="8962" max="8963" width="11.140625" style="257" bestFit="1" customWidth="1"/>
    <col min="8964" max="8964" width="11.5703125" style="257" bestFit="1" customWidth="1"/>
    <col min="8965" max="8965" width="9.140625" style="257" bestFit="1" customWidth="1"/>
    <col min="8966" max="8966" width="10.28515625" style="257" customWidth="1"/>
    <col min="8967" max="9205" width="9.140625" style="257"/>
    <col min="9206" max="9206" width="4.28515625" style="257" bestFit="1" customWidth="1"/>
    <col min="9207" max="9207" width="6.85546875" style="257" bestFit="1" customWidth="1"/>
    <col min="9208" max="9208" width="11" style="257" customWidth="1"/>
    <col min="9209" max="9209" width="11.140625" style="257" bestFit="1" customWidth="1"/>
    <col min="9210" max="9210" width="10.85546875" style="257" customWidth="1"/>
    <col min="9211" max="9211" width="11.5703125" style="257" customWidth="1"/>
    <col min="9212" max="9212" width="11.140625" style="257" bestFit="1" customWidth="1"/>
    <col min="9213" max="9213" width="11" style="257" customWidth="1"/>
    <col min="9214" max="9214" width="10.42578125" style="257" customWidth="1"/>
    <col min="9215" max="9215" width="11.28515625" style="257" customWidth="1"/>
    <col min="9216" max="9217" width="9.140625" style="257" bestFit="1" customWidth="1"/>
    <col min="9218" max="9219" width="11.140625" style="257" bestFit="1" customWidth="1"/>
    <col min="9220" max="9220" width="11.5703125" style="257" bestFit="1" customWidth="1"/>
    <col min="9221" max="9221" width="9.140625" style="257" bestFit="1" customWidth="1"/>
    <col min="9222" max="9222" width="10.28515625" style="257" customWidth="1"/>
    <col min="9223" max="9461" width="9.140625" style="257"/>
    <col min="9462" max="9462" width="4.28515625" style="257" bestFit="1" customWidth="1"/>
    <col min="9463" max="9463" width="6.85546875" style="257" bestFit="1" customWidth="1"/>
    <col min="9464" max="9464" width="11" style="257" customWidth="1"/>
    <col min="9465" max="9465" width="11.140625" style="257" bestFit="1" customWidth="1"/>
    <col min="9466" max="9466" width="10.85546875" style="257" customWidth="1"/>
    <col min="9467" max="9467" width="11.5703125" style="257" customWidth="1"/>
    <col min="9468" max="9468" width="11.140625" style="257" bestFit="1" customWidth="1"/>
    <col min="9469" max="9469" width="11" style="257" customWidth="1"/>
    <col min="9470" max="9470" width="10.42578125" style="257" customWidth="1"/>
    <col min="9471" max="9471" width="11.28515625" style="257" customWidth="1"/>
    <col min="9472" max="9473" width="9.140625" style="257" bestFit="1" customWidth="1"/>
    <col min="9474" max="9475" width="11.140625" style="257" bestFit="1" customWidth="1"/>
    <col min="9476" max="9476" width="11.5703125" style="257" bestFit="1" customWidth="1"/>
    <col min="9477" max="9477" width="9.140625" style="257" bestFit="1" customWidth="1"/>
    <col min="9478" max="9478" width="10.28515625" style="257" customWidth="1"/>
    <col min="9479" max="9717" width="9.140625" style="257"/>
    <col min="9718" max="9718" width="4.28515625" style="257" bestFit="1" customWidth="1"/>
    <col min="9719" max="9719" width="6.85546875" style="257" bestFit="1" customWidth="1"/>
    <col min="9720" max="9720" width="11" style="257" customWidth="1"/>
    <col min="9721" max="9721" width="11.140625" style="257" bestFit="1" customWidth="1"/>
    <col min="9722" max="9722" width="10.85546875" style="257" customWidth="1"/>
    <col min="9723" max="9723" width="11.5703125" style="257" customWidth="1"/>
    <col min="9724" max="9724" width="11.140625" style="257" bestFit="1" customWidth="1"/>
    <col min="9725" max="9725" width="11" style="257" customWidth="1"/>
    <col min="9726" max="9726" width="10.42578125" style="257" customWidth="1"/>
    <col min="9727" max="9727" width="11.28515625" style="257" customWidth="1"/>
    <col min="9728" max="9729" width="9.140625" style="257" bestFit="1" customWidth="1"/>
    <col min="9730" max="9731" width="11.140625" style="257" bestFit="1" customWidth="1"/>
    <col min="9732" max="9732" width="11.5703125" style="257" bestFit="1" customWidth="1"/>
    <col min="9733" max="9733" width="9.140625" style="257" bestFit="1" customWidth="1"/>
    <col min="9734" max="9734" width="10.28515625" style="257" customWidth="1"/>
    <col min="9735" max="9973" width="9.140625" style="257"/>
    <col min="9974" max="9974" width="4.28515625" style="257" bestFit="1" customWidth="1"/>
    <col min="9975" max="9975" width="6.85546875" style="257" bestFit="1" customWidth="1"/>
    <col min="9976" max="9976" width="11" style="257" customWidth="1"/>
    <col min="9977" max="9977" width="11.140625" style="257" bestFit="1" customWidth="1"/>
    <col min="9978" max="9978" width="10.85546875" style="257" customWidth="1"/>
    <col min="9979" max="9979" width="11.5703125" style="257" customWidth="1"/>
    <col min="9980" max="9980" width="11.140625" style="257" bestFit="1" customWidth="1"/>
    <col min="9981" max="9981" width="11" style="257" customWidth="1"/>
    <col min="9982" max="9982" width="10.42578125" style="257" customWidth="1"/>
    <col min="9983" max="9983" width="11.28515625" style="257" customWidth="1"/>
    <col min="9984" max="9985" width="9.140625" style="257" bestFit="1" customWidth="1"/>
    <col min="9986" max="9987" width="11.140625" style="257" bestFit="1" customWidth="1"/>
    <col min="9988" max="9988" width="11.5703125" style="257" bestFit="1" customWidth="1"/>
    <col min="9989" max="9989" width="9.140625" style="257" bestFit="1" customWidth="1"/>
    <col min="9990" max="9990" width="10.28515625" style="257" customWidth="1"/>
    <col min="9991" max="10229" width="9.140625" style="257"/>
    <col min="10230" max="10230" width="4.28515625" style="257" bestFit="1" customWidth="1"/>
    <col min="10231" max="10231" width="6.85546875" style="257" bestFit="1" customWidth="1"/>
    <col min="10232" max="10232" width="11" style="257" customWidth="1"/>
    <col min="10233" max="10233" width="11.140625" style="257" bestFit="1" customWidth="1"/>
    <col min="10234" max="10234" width="10.85546875" style="257" customWidth="1"/>
    <col min="10235" max="10235" width="11.5703125" style="257" customWidth="1"/>
    <col min="10236" max="10236" width="11.140625" style="257" bestFit="1" customWidth="1"/>
    <col min="10237" max="10237" width="11" style="257" customWidth="1"/>
    <col min="10238" max="10238" width="10.42578125" style="257" customWidth="1"/>
    <col min="10239" max="10239" width="11.28515625" style="257" customWidth="1"/>
    <col min="10240" max="10241" width="9.140625" style="257" bestFit="1" customWidth="1"/>
    <col min="10242" max="10243" width="11.140625" style="257" bestFit="1" customWidth="1"/>
    <col min="10244" max="10244" width="11.5703125" style="257" bestFit="1" customWidth="1"/>
    <col min="10245" max="10245" width="9.140625" style="257" bestFit="1" customWidth="1"/>
    <col min="10246" max="10246" width="10.28515625" style="257" customWidth="1"/>
    <col min="10247" max="10485" width="9.140625" style="257"/>
    <col min="10486" max="10486" width="4.28515625" style="257" bestFit="1" customWidth="1"/>
    <col min="10487" max="10487" width="6.85546875" style="257" bestFit="1" customWidth="1"/>
    <col min="10488" max="10488" width="11" style="257" customWidth="1"/>
    <col min="10489" max="10489" width="11.140625" style="257" bestFit="1" customWidth="1"/>
    <col min="10490" max="10490" width="10.85546875" style="257" customWidth="1"/>
    <col min="10491" max="10491" width="11.5703125" style="257" customWidth="1"/>
    <col min="10492" max="10492" width="11.140625" style="257" bestFit="1" customWidth="1"/>
    <col min="10493" max="10493" width="11" style="257" customWidth="1"/>
    <col min="10494" max="10494" width="10.42578125" style="257" customWidth="1"/>
    <col min="10495" max="10495" width="11.28515625" style="257" customWidth="1"/>
    <col min="10496" max="10497" width="9.140625" style="257" bestFit="1" customWidth="1"/>
    <col min="10498" max="10499" width="11.140625" style="257" bestFit="1" customWidth="1"/>
    <col min="10500" max="10500" width="11.5703125" style="257" bestFit="1" customWidth="1"/>
    <col min="10501" max="10501" width="9.140625" style="257" bestFit="1" customWidth="1"/>
    <col min="10502" max="10502" width="10.28515625" style="257" customWidth="1"/>
    <col min="10503" max="10741" width="9.140625" style="257"/>
    <col min="10742" max="10742" width="4.28515625" style="257" bestFit="1" customWidth="1"/>
    <col min="10743" max="10743" width="6.85546875" style="257" bestFit="1" customWidth="1"/>
    <col min="10744" max="10744" width="11" style="257" customWidth="1"/>
    <col min="10745" max="10745" width="11.140625" style="257" bestFit="1" customWidth="1"/>
    <col min="10746" max="10746" width="10.85546875" style="257" customWidth="1"/>
    <col min="10747" max="10747" width="11.5703125" style="257" customWidth="1"/>
    <col min="10748" max="10748" width="11.140625" style="257" bestFit="1" customWidth="1"/>
    <col min="10749" max="10749" width="11" style="257" customWidth="1"/>
    <col min="10750" max="10750" width="10.42578125" style="257" customWidth="1"/>
    <col min="10751" max="10751" width="11.28515625" style="257" customWidth="1"/>
    <col min="10752" max="10753" width="9.140625" style="257" bestFit="1" customWidth="1"/>
    <col min="10754" max="10755" width="11.140625" style="257" bestFit="1" customWidth="1"/>
    <col min="10756" max="10756" width="11.5703125" style="257" bestFit="1" customWidth="1"/>
    <col min="10757" max="10757" width="9.140625" style="257" bestFit="1" customWidth="1"/>
    <col min="10758" max="10758" width="10.28515625" style="257" customWidth="1"/>
    <col min="10759" max="10997" width="9.140625" style="257"/>
    <col min="10998" max="10998" width="4.28515625" style="257" bestFit="1" customWidth="1"/>
    <col min="10999" max="10999" width="6.85546875" style="257" bestFit="1" customWidth="1"/>
    <col min="11000" max="11000" width="11" style="257" customWidth="1"/>
    <col min="11001" max="11001" width="11.140625" style="257" bestFit="1" customWidth="1"/>
    <col min="11002" max="11002" width="10.85546875" style="257" customWidth="1"/>
    <col min="11003" max="11003" width="11.5703125" style="257" customWidth="1"/>
    <col min="11004" max="11004" width="11.140625" style="257" bestFit="1" customWidth="1"/>
    <col min="11005" max="11005" width="11" style="257" customWidth="1"/>
    <col min="11006" max="11006" width="10.42578125" style="257" customWidth="1"/>
    <col min="11007" max="11007" width="11.28515625" style="257" customWidth="1"/>
    <col min="11008" max="11009" width="9.140625" style="257" bestFit="1" customWidth="1"/>
    <col min="11010" max="11011" width="11.140625" style="257" bestFit="1" customWidth="1"/>
    <col min="11012" max="11012" width="11.5703125" style="257" bestFit="1" customWidth="1"/>
    <col min="11013" max="11013" width="9.140625" style="257" bestFit="1" customWidth="1"/>
    <col min="11014" max="11014" width="10.28515625" style="257" customWidth="1"/>
    <col min="11015" max="11253" width="9.140625" style="257"/>
    <col min="11254" max="11254" width="4.28515625" style="257" bestFit="1" customWidth="1"/>
    <col min="11255" max="11255" width="6.85546875" style="257" bestFit="1" customWidth="1"/>
    <col min="11256" max="11256" width="11" style="257" customWidth="1"/>
    <col min="11257" max="11257" width="11.140625" style="257" bestFit="1" customWidth="1"/>
    <col min="11258" max="11258" width="10.85546875" style="257" customWidth="1"/>
    <col min="11259" max="11259" width="11.5703125" style="257" customWidth="1"/>
    <col min="11260" max="11260" width="11.140625" style="257" bestFit="1" customWidth="1"/>
    <col min="11261" max="11261" width="11" style="257" customWidth="1"/>
    <col min="11262" max="11262" width="10.42578125" style="257" customWidth="1"/>
    <col min="11263" max="11263" width="11.28515625" style="257" customWidth="1"/>
    <col min="11264" max="11265" width="9.140625" style="257" bestFit="1" customWidth="1"/>
    <col min="11266" max="11267" width="11.140625" style="257" bestFit="1" customWidth="1"/>
    <col min="11268" max="11268" width="11.5703125" style="257" bestFit="1" customWidth="1"/>
    <col min="11269" max="11269" width="9.140625" style="257" bestFit="1" customWidth="1"/>
    <col min="11270" max="11270" width="10.28515625" style="257" customWidth="1"/>
    <col min="11271" max="11509" width="9.140625" style="257"/>
    <col min="11510" max="11510" width="4.28515625" style="257" bestFit="1" customWidth="1"/>
    <col min="11511" max="11511" width="6.85546875" style="257" bestFit="1" customWidth="1"/>
    <col min="11512" max="11512" width="11" style="257" customWidth="1"/>
    <col min="11513" max="11513" width="11.140625" style="257" bestFit="1" customWidth="1"/>
    <col min="11514" max="11514" width="10.85546875" style="257" customWidth="1"/>
    <col min="11515" max="11515" width="11.5703125" style="257" customWidth="1"/>
    <col min="11516" max="11516" width="11.140625" style="257" bestFit="1" customWidth="1"/>
    <col min="11517" max="11517" width="11" style="257" customWidth="1"/>
    <col min="11518" max="11518" width="10.42578125" style="257" customWidth="1"/>
    <col min="11519" max="11519" width="11.28515625" style="257" customWidth="1"/>
    <col min="11520" max="11521" width="9.140625" style="257" bestFit="1" customWidth="1"/>
    <col min="11522" max="11523" width="11.140625" style="257" bestFit="1" customWidth="1"/>
    <col min="11524" max="11524" width="11.5703125" style="257" bestFit="1" customWidth="1"/>
    <col min="11525" max="11525" width="9.140625" style="257" bestFit="1" customWidth="1"/>
    <col min="11526" max="11526" width="10.28515625" style="257" customWidth="1"/>
    <col min="11527" max="11765" width="9.140625" style="257"/>
    <col min="11766" max="11766" width="4.28515625" style="257" bestFit="1" customWidth="1"/>
    <col min="11767" max="11767" width="6.85546875" style="257" bestFit="1" customWidth="1"/>
    <col min="11768" max="11768" width="11" style="257" customWidth="1"/>
    <col min="11769" max="11769" width="11.140625" style="257" bestFit="1" customWidth="1"/>
    <col min="11770" max="11770" width="10.85546875" style="257" customWidth="1"/>
    <col min="11771" max="11771" width="11.5703125" style="257" customWidth="1"/>
    <col min="11772" max="11772" width="11.140625" style="257" bestFit="1" customWidth="1"/>
    <col min="11773" max="11773" width="11" style="257" customWidth="1"/>
    <col min="11774" max="11774" width="10.42578125" style="257" customWidth="1"/>
    <col min="11775" max="11775" width="11.28515625" style="257" customWidth="1"/>
    <col min="11776" max="11777" width="9.140625" style="257" bestFit="1" customWidth="1"/>
    <col min="11778" max="11779" width="11.140625" style="257" bestFit="1" customWidth="1"/>
    <col min="11780" max="11780" width="11.5703125" style="257" bestFit="1" customWidth="1"/>
    <col min="11781" max="11781" width="9.140625" style="257" bestFit="1" customWidth="1"/>
    <col min="11782" max="11782" width="10.28515625" style="257" customWidth="1"/>
    <col min="11783" max="12021" width="9.140625" style="257"/>
    <col min="12022" max="12022" width="4.28515625" style="257" bestFit="1" customWidth="1"/>
    <col min="12023" max="12023" width="6.85546875" style="257" bestFit="1" customWidth="1"/>
    <col min="12024" max="12024" width="11" style="257" customWidth="1"/>
    <col min="12025" max="12025" width="11.140625" style="257" bestFit="1" customWidth="1"/>
    <col min="12026" max="12026" width="10.85546875" style="257" customWidth="1"/>
    <col min="12027" max="12027" width="11.5703125" style="257" customWidth="1"/>
    <col min="12028" max="12028" width="11.140625" style="257" bestFit="1" customWidth="1"/>
    <col min="12029" max="12029" width="11" style="257" customWidth="1"/>
    <col min="12030" max="12030" width="10.42578125" style="257" customWidth="1"/>
    <col min="12031" max="12031" width="11.28515625" style="257" customWidth="1"/>
    <col min="12032" max="12033" width="9.140625" style="257" bestFit="1" customWidth="1"/>
    <col min="12034" max="12035" width="11.140625" style="257" bestFit="1" customWidth="1"/>
    <col min="12036" max="12036" width="11.5703125" style="257" bestFit="1" customWidth="1"/>
    <col min="12037" max="12037" width="9.140625" style="257" bestFit="1" customWidth="1"/>
    <col min="12038" max="12038" width="10.28515625" style="257" customWidth="1"/>
    <col min="12039" max="12277" width="9.140625" style="257"/>
    <col min="12278" max="12278" width="4.28515625" style="257" bestFit="1" customWidth="1"/>
    <col min="12279" max="12279" width="6.85546875" style="257" bestFit="1" customWidth="1"/>
    <col min="12280" max="12280" width="11" style="257" customWidth="1"/>
    <col min="12281" max="12281" width="11.140625" style="257" bestFit="1" customWidth="1"/>
    <col min="12282" max="12282" width="10.85546875" style="257" customWidth="1"/>
    <col min="12283" max="12283" width="11.5703125" style="257" customWidth="1"/>
    <col min="12284" max="12284" width="11.140625" style="257" bestFit="1" customWidth="1"/>
    <col min="12285" max="12285" width="11" style="257" customWidth="1"/>
    <col min="12286" max="12286" width="10.42578125" style="257" customWidth="1"/>
    <col min="12287" max="12287" width="11.28515625" style="257" customWidth="1"/>
    <col min="12288" max="12289" width="9.140625" style="257" bestFit="1" customWidth="1"/>
    <col min="12290" max="12291" width="11.140625" style="257" bestFit="1" customWidth="1"/>
    <col min="12292" max="12292" width="11.5703125" style="257" bestFit="1" customWidth="1"/>
    <col min="12293" max="12293" width="9.140625" style="257" bestFit="1" customWidth="1"/>
    <col min="12294" max="12294" width="10.28515625" style="257" customWidth="1"/>
    <col min="12295" max="12533" width="9.140625" style="257"/>
    <col min="12534" max="12534" width="4.28515625" style="257" bestFit="1" customWidth="1"/>
    <col min="12535" max="12535" width="6.85546875" style="257" bestFit="1" customWidth="1"/>
    <col min="12536" max="12536" width="11" style="257" customWidth="1"/>
    <col min="12537" max="12537" width="11.140625" style="257" bestFit="1" customWidth="1"/>
    <col min="12538" max="12538" width="10.85546875" style="257" customWidth="1"/>
    <col min="12539" max="12539" width="11.5703125" style="257" customWidth="1"/>
    <col min="12540" max="12540" width="11.140625" style="257" bestFit="1" customWidth="1"/>
    <col min="12541" max="12541" width="11" style="257" customWidth="1"/>
    <col min="12542" max="12542" width="10.42578125" style="257" customWidth="1"/>
    <col min="12543" max="12543" width="11.28515625" style="257" customWidth="1"/>
    <col min="12544" max="12545" width="9.140625" style="257" bestFit="1" customWidth="1"/>
    <col min="12546" max="12547" width="11.140625" style="257" bestFit="1" customWidth="1"/>
    <col min="12548" max="12548" width="11.5703125" style="257" bestFit="1" customWidth="1"/>
    <col min="12549" max="12549" width="9.140625" style="257" bestFit="1" customWidth="1"/>
    <col min="12550" max="12550" width="10.28515625" style="257" customWidth="1"/>
    <col min="12551" max="12789" width="9.140625" style="257"/>
    <col min="12790" max="12790" width="4.28515625" style="257" bestFit="1" customWidth="1"/>
    <col min="12791" max="12791" width="6.85546875" style="257" bestFit="1" customWidth="1"/>
    <col min="12792" max="12792" width="11" style="257" customWidth="1"/>
    <col min="12793" max="12793" width="11.140625" style="257" bestFit="1" customWidth="1"/>
    <col min="12794" max="12794" width="10.85546875" style="257" customWidth="1"/>
    <col min="12795" max="12795" width="11.5703125" style="257" customWidth="1"/>
    <col min="12796" max="12796" width="11.140625" style="257" bestFit="1" customWidth="1"/>
    <col min="12797" max="12797" width="11" style="257" customWidth="1"/>
    <col min="12798" max="12798" width="10.42578125" style="257" customWidth="1"/>
    <col min="12799" max="12799" width="11.28515625" style="257" customWidth="1"/>
    <col min="12800" max="12801" width="9.140625" style="257" bestFit="1" customWidth="1"/>
    <col min="12802" max="12803" width="11.140625" style="257" bestFit="1" customWidth="1"/>
    <col min="12804" max="12804" width="11.5703125" style="257" bestFit="1" customWidth="1"/>
    <col min="12805" max="12805" width="9.140625" style="257" bestFit="1" customWidth="1"/>
    <col min="12806" max="12806" width="10.28515625" style="257" customWidth="1"/>
    <col min="12807" max="13045" width="9.140625" style="257"/>
    <col min="13046" max="13046" width="4.28515625" style="257" bestFit="1" customWidth="1"/>
    <col min="13047" max="13047" width="6.85546875" style="257" bestFit="1" customWidth="1"/>
    <col min="13048" max="13048" width="11" style="257" customWidth="1"/>
    <col min="13049" max="13049" width="11.140625" style="257" bestFit="1" customWidth="1"/>
    <col min="13050" max="13050" width="10.85546875" style="257" customWidth="1"/>
    <col min="13051" max="13051" width="11.5703125" style="257" customWidth="1"/>
    <col min="13052" max="13052" width="11.140625" style="257" bestFit="1" customWidth="1"/>
    <col min="13053" max="13053" width="11" style="257" customWidth="1"/>
    <col min="13054" max="13054" width="10.42578125" style="257" customWidth="1"/>
    <col min="13055" max="13055" width="11.28515625" style="257" customWidth="1"/>
    <col min="13056" max="13057" width="9.140625" style="257" bestFit="1" customWidth="1"/>
    <col min="13058" max="13059" width="11.140625" style="257" bestFit="1" customWidth="1"/>
    <col min="13060" max="13060" width="11.5703125" style="257" bestFit="1" customWidth="1"/>
    <col min="13061" max="13061" width="9.140625" style="257" bestFit="1" customWidth="1"/>
    <col min="13062" max="13062" width="10.28515625" style="257" customWidth="1"/>
    <col min="13063" max="13301" width="9.140625" style="257"/>
    <col min="13302" max="13302" width="4.28515625" style="257" bestFit="1" customWidth="1"/>
    <col min="13303" max="13303" width="6.85546875" style="257" bestFit="1" customWidth="1"/>
    <col min="13304" max="13304" width="11" style="257" customWidth="1"/>
    <col min="13305" max="13305" width="11.140625" style="257" bestFit="1" customWidth="1"/>
    <col min="13306" max="13306" width="10.85546875" style="257" customWidth="1"/>
    <col min="13307" max="13307" width="11.5703125" style="257" customWidth="1"/>
    <col min="13308" max="13308" width="11.140625" style="257" bestFit="1" customWidth="1"/>
    <col min="13309" max="13309" width="11" style="257" customWidth="1"/>
    <col min="13310" max="13310" width="10.42578125" style="257" customWidth="1"/>
    <col min="13311" max="13311" width="11.28515625" style="257" customWidth="1"/>
    <col min="13312" max="13313" width="9.140625" style="257" bestFit="1" customWidth="1"/>
    <col min="13314" max="13315" width="11.140625" style="257" bestFit="1" customWidth="1"/>
    <col min="13316" max="13316" width="11.5703125" style="257" bestFit="1" customWidth="1"/>
    <col min="13317" max="13317" width="9.140625" style="257" bestFit="1" customWidth="1"/>
    <col min="13318" max="13318" width="10.28515625" style="257" customWidth="1"/>
    <col min="13319" max="13557" width="9.140625" style="257"/>
    <col min="13558" max="13558" width="4.28515625" style="257" bestFit="1" customWidth="1"/>
    <col min="13559" max="13559" width="6.85546875" style="257" bestFit="1" customWidth="1"/>
    <col min="13560" max="13560" width="11" style="257" customWidth="1"/>
    <col min="13561" max="13561" width="11.140625" style="257" bestFit="1" customWidth="1"/>
    <col min="13562" max="13562" width="10.85546875" style="257" customWidth="1"/>
    <col min="13563" max="13563" width="11.5703125" style="257" customWidth="1"/>
    <col min="13564" max="13564" width="11.140625" style="257" bestFit="1" customWidth="1"/>
    <col min="13565" max="13565" width="11" style="257" customWidth="1"/>
    <col min="13566" max="13566" width="10.42578125" style="257" customWidth="1"/>
    <col min="13567" max="13567" width="11.28515625" style="257" customWidth="1"/>
    <col min="13568" max="13569" width="9.140625" style="257" bestFit="1" customWidth="1"/>
    <col min="13570" max="13571" width="11.140625" style="257" bestFit="1" customWidth="1"/>
    <col min="13572" max="13572" width="11.5703125" style="257" bestFit="1" customWidth="1"/>
    <col min="13573" max="13573" width="9.140625" style="257" bestFit="1" customWidth="1"/>
    <col min="13574" max="13574" width="10.28515625" style="257" customWidth="1"/>
    <col min="13575" max="13813" width="9.140625" style="257"/>
    <col min="13814" max="13814" width="4.28515625" style="257" bestFit="1" customWidth="1"/>
    <col min="13815" max="13815" width="6.85546875" style="257" bestFit="1" customWidth="1"/>
    <col min="13816" max="13816" width="11" style="257" customWidth="1"/>
    <col min="13817" max="13817" width="11.140625" style="257" bestFit="1" customWidth="1"/>
    <col min="13818" max="13818" width="10.85546875" style="257" customWidth="1"/>
    <col min="13819" max="13819" width="11.5703125" style="257" customWidth="1"/>
    <col min="13820" max="13820" width="11.140625" style="257" bestFit="1" customWidth="1"/>
    <col min="13821" max="13821" width="11" style="257" customWidth="1"/>
    <col min="13822" max="13822" width="10.42578125" style="257" customWidth="1"/>
    <col min="13823" max="13823" width="11.28515625" style="257" customWidth="1"/>
    <col min="13824" max="13825" width="9.140625" style="257" bestFit="1" customWidth="1"/>
    <col min="13826" max="13827" width="11.140625" style="257" bestFit="1" customWidth="1"/>
    <col min="13828" max="13828" width="11.5703125" style="257" bestFit="1" customWidth="1"/>
    <col min="13829" max="13829" width="9.140625" style="257" bestFit="1" customWidth="1"/>
    <col min="13830" max="13830" width="10.28515625" style="257" customWidth="1"/>
    <col min="13831" max="14069" width="9.140625" style="257"/>
    <col min="14070" max="14070" width="4.28515625" style="257" bestFit="1" customWidth="1"/>
    <col min="14071" max="14071" width="6.85546875" style="257" bestFit="1" customWidth="1"/>
    <col min="14072" max="14072" width="11" style="257" customWidth="1"/>
    <col min="14073" max="14073" width="11.140625" style="257" bestFit="1" customWidth="1"/>
    <col min="14074" max="14074" width="10.85546875" style="257" customWidth="1"/>
    <col min="14075" max="14075" width="11.5703125" style="257" customWidth="1"/>
    <col min="14076" max="14076" width="11.140625" style="257" bestFit="1" customWidth="1"/>
    <col min="14077" max="14077" width="11" style="257" customWidth="1"/>
    <col min="14078" max="14078" width="10.42578125" style="257" customWidth="1"/>
    <col min="14079" max="14079" width="11.28515625" style="257" customWidth="1"/>
    <col min="14080" max="14081" width="9.140625" style="257" bestFit="1" customWidth="1"/>
    <col min="14082" max="14083" width="11.140625" style="257" bestFit="1" customWidth="1"/>
    <col min="14084" max="14084" width="11.5703125" style="257" bestFit="1" customWidth="1"/>
    <col min="14085" max="14085" width="9.140625" style="257" bestFit="1" customWidth="1"/>
    <col min="14086" max="14086" width="10.28515625" style="257" customWidth="1"/>
    <col min="14087" max="14325" width="9.140625" style="257"/>
    <col min="14326" max="14326" width="4.28515625" style="257" bestFit="1" customWidth="1"/>
    <col min="14327" max="14327" width="6.85546875" style="257" bestFit="1" customWidth="1"/>
    <col min="14328" max="14328" width="11" style="257" customWidth="1"/>
    <col min="14329" max="14329" width="11.140625" style="257" bestFit="1" customWidth="1"/>
    <col min="14330" max="14330" width="10.85546875" style="257" customWidth="1"/>
    <col min="14331" max="14331" width="11.5703125" style="257" customWidth="1"/>
    <col min="14332" max="14332" width="11.140625" style="257" bestFit="1" customWidth="1"/>
    <col min="14333" max="14333" width="11" style="257" customWidth="1"/>
    <col min="14334" max="14334" width="10.42578125" style="257" customWidth="1"/>
    <col min="14335" max="14335" width="11.28515625" style="257" customWidth="1"/>
    <col min="14336" max="14337" width="9.140625" style="257" bestFit="1" customWidth="1"/>
    <col min="14338" max="14339" width="11.140625" style="257" bestFit="1" customWidth="1"/>
    <col min="14340" max="14340" width="11.5703125" style="257" bestFit="1" customWidth="1"/>
    <col min="14341" max="14341" width="9.140625" style="257" bestFit="1" customWidth="1"/>
    <col min="14342" max="14342" width="10.28515625" style="257" customWidth="1"/>
    <col min="14343" max="14581" width="9.140625" style="257"/>
    <col min="14582" max="14582" width="4.28515625" style="257" bestFit="1" customWidth="1"/>
    <col min="14583" max="14583" width="6.85546875" style="257" bestFit="1" customWidth="1"/>
    <col min="14584" max="14584" width="11" style="257" customWidth="1"/>
    <col min="14585" max="14585" width="11.140625" style="257" bestFit="1" customWidth="1"/>
    <col min="14586" max="14586" width="10.85546875" style="257" customWidth="1"/>
    <col min="14587" max="14587" width="11.5703125" style="257" customWidth="1"/>
    <col min="14588" max="14588" width="11.140625" style="257" bestFit="1" customWidth="1"/>
    <col min="14589" max="14589" width="11" style="257" customWidth="1"/>
    <col min="14590" max="14590" width="10.42578125" style="257" customWidth="1"/>
    <col min="14591" max="14591" width="11.28515625" style="257" customWidth="1"/>
    <col min="14592" max="14593" width="9.140625" style="257" bestFit="1" customWidth="1"/>
    <col min="14594" max="14595" width="11.140625" style="257" bestFit="1" customWidth="1"/>
    <col min="14596" max="14596" width="11.5703125" style="257" bestFit="1" customWidth="1"/>
    <col min="14597" max="14597" width="9.140625" style="257" bestFit="1" customWidth="1"/>
    <col min="14598" max="14598" width="10.28515625" style="257" customWidth="1"/>
    <col min="14599" max="14837" width="9.140625" style="257"/>
    <col min="14838" max="14838" width="4.28515625" style="257" bestFit="1" customWidth="1"/>
    <col min="14839" max="14839" width="6.85546875" style="257" bestFit="1" customWidth="1"/>
    <col min="14840" max="14840" width="11" style="257" customWidth="1"/>
    <col min="14841" max="14841" width="11.140625" style="257" bestFit="1" customWidth="1"/>
    <col min="14842" max="14842" width="10.85546875" style="257" customWidth="1"/>
    <col min="14843" max="14843" width="11.5703125" style="257" customWidth="1"/>
    <col min="14844" max="14844" width="11.140625" style="257" bestFit="1" customWidth="1"/>
    <col min="14845" max="14845" width="11" style="257" customWidth="1"/>
    <col min="14846" max="14846" width="10.42578125" style="257" customWidth="1"/>
    <col min="14847" max="14847" width="11.28515625" style="257" customWidth="1"/>
    <col min="14848" max="14849" width="9.140625" style="257" bestFit="1" customWidth="1"/>
    <col min="14850" max="14851" width="11.140625" style="257" bestFit="1" customWidth="1"/>
    <col min="14852" max="14852" width="11.5703125" style="257" bestFit="1" customWidth="1"/>
    <col min="14853" max="14853" width="9.140625" style="257" bestFit="1" customWidth="1"/>
    <col min="14854" max="14854" width="10.28515625" style="257" customWidth="1"/>
    <col min="14855" max="15093" width="9.140625" style="257"/>
    <col min="15094" max="15094" width="4.28515625" style="257" bestFit="1" customWidth="1"/>
    <col min="15095" max="15095" width="6.85546875" style="257" bestFit="1" customWidth="1"/>
    <col min="15096" max="15096" width="11" style="257" customWidth="1"/>
    <col min="15097" max="15097" width="11.140625" style="257" bestFit="1" customWidth="1"/>
    <col min="15098" max="15098" width="10.85546875" style="257" customWidth="1"/>
    <col min="15099" max="15099" width="11.5703125" style="257" customWidth="1"/>
    <col min="15100" max="15100" width="11.140625" style="257" bestFit="1" customWidth="1"/>
    <col min="15101" max="15101" width="11" style="257" customWidth="1"/>
    <col min="15102" max="15102" width="10.42578125" style="257" customWidth="1"/>
    <col min="15103" max="15103" width="11.28515625" style="257" customWidth="1"/>
    <col min="15104" max="15105" width="9.140625" style="257" bestFit="1" customWidth="1"/>
    <col min="15106" max="15107" width="11.140625" style="257" bestFit="1" customWidth="1"/>
    <col min="15108" max="15108" width="11.5703125" style="257" bestFit="1" customWidth="1"/>
    <col min="15109" max="15109" width="9.140625" style="257" bestFit="1" customWidth="1"/>
    <col min="15110" max="15110" width="10.28515625" style="257" customWidth="1"/>
    <col min="15111" max="15349" width="9.140625" style="257"/>
    <col min="15350" max="15350" width="4.28515625" style="257" bestFit="1" customWidth="1"/>
    <col min="15351" max="15351" width="6.85546875" style="257" bestFit="1" customWidth="1"/>
    <col min="15352" max="15352" width="11" style="257" customWidth="1"/>
    <col min="15353" max="15353" width="11.140625" style="257" bestFit="1" customWidth="1"/>
    <col min="15354" max="15354" width="10.85546875" style="257" customWidth="1"/>
    <col min="15355" max="15355" width="11.5703125" style="257" customWidth="1"/>
    <col min="15356" max="15356" width="11.140625" style="257" bestFit="1" customWidth="1"/>
    <col min="15357" max="15357" width="11" style="257" customWidth="1"/>
    <col min="15358" max="15358" width="10.42578125" style="257" customWidth="1"/>
    <col min="15359" max="15359" width="11.28515625" style="257" customWidth="1"/>
    <col min="15360" max="15361" width="9.140625" style="257" bestFit="1" customWidth="1"/>
    <col min="15362" max="15363" width="11.140625" style="257" bestFit="1" customWidth="1"/>
    <col min="15364" max="15364" width="11.5703125" style="257" bestFit="1" customWidth="1"/>
    <col min="15365" max="15365" width="9.140625" style="257" bestFit="1" customWidth="1"/>
    <col min="15366" max="15366" width="10.28515625" style="257" customWidth="1"/>
    <col min="15367" max="15605" width="9.140625" style="257"/>
    <col min="15606" max="15606" width="4.28515625" style="257" bestFit="1" customWidth="1"/>
    <col min="15607" max="15607" width="6.85546875" style="257" bestFit="1" customWidth="1"/>
    <col min="15608" max="15608" width="11" style="257" customWidth="1"/>
    <col min="15609" max="15609" width="11.140625" style="257" bestFit="1" customWidth="1"/>
    <col min="15610" max="15610" width="10.85546875" style="257" customWidth="1"/>
    <col min="15611" max="15611" width="11.5703125" style="257" customWidth="1"/>
    <col min="15612" max="15612" width="11.140625" style="257" bestFit="1" customWidth="1"/>
    <col min="15613" max="15613" width="11" style="257" customWidth="1"/>
    <col min="15614" max="15614" width="10.42578125" style="257" customWidth="1"/>
    <col min="15615" max="15615" width="11.28515625" style="257" customWidth="1"/>
    <col min="15616" max="15617" width="9.140625" style="257" bestFit="1" customWidth="1"/>
    <col min="15618" max="15619" width="11.140625" style="257" bestFit="1" customWidth="1"/>
    <col min="15620" max="15620" width="11.5703125" style="257" bestFit="1" customWidth="1"/>
    <col min="15621" max="15621" width="9.140625" style="257" bestFit="1" customWidth="1"/>
    <col min="15622" max="15622" width="10.28515625" style="257" customWidth="1"/>
    <col min="15623" max="15861" width="9.140625" style="257"/>
    <col min="15862" max="15862" width="4.28515625" style="257" bestFit="1" customWidth="1"/>
    <col min="15863" max="15863" width="6.85546875" style="257" bestFit="1" customWidth="1"/>
    <col min="15864" max="15864" width="11" style="257" customWidth="1"/>
    <col min="15865" max="15865" width="11.140625" style="257" bestFit="1" customWidth="1"/>
    <col min="15866" max="15866" width="10.85546875" style="257" customWidth="1"/>
    <col min="15867" max="15867" width="11.5703125" style="257" customWidth="1"/>
    <col min="15868" max="15868" width="11.140625" style="257" bestFit="1" customWidth="1"/>
    <col min="15869" max="15869" width="11" style="257" customWidth="1"/>
    <col min="15870" max="15870" width="10.42578125" style="257" customWidth="1"/>
    <col min="15871" max="15871" width="11.28515625" style="257" customWidth="1"/>
    <col min="15872" max="15873" width="9.140625" style="257" bestFit="1" customWidth="1"/>
    <col min="15874" max="15875" width="11.140625" style="257" bestFit="1" customWidth="1"/>
    <col min="15876" max="15876" width="11.5703125" style="257" bestFit="1" customWidth="1"/>
    <col min="15877" max="15877" width="9.140625" style="257" bestFit="1" customWidth="1"/>
    <col min="15878" max="15878" width="10.28515625" style="257" customWidth="1"/>
    <col min="15879" max="16117" width="9.140625" style="257"/>
    <col min="16118" max="16118" width="4.28515625" style="257" bestFit="1" customWidth="1"/>
    <col min="16119" max="16119" width="6.85546875" style="257" bestFit="1" customWidth="1"/>
    <col min="16120" max="16120" width="11" style="257" customWidth="1"/>
    <col min="16121" max="16121" width="11.140625" style="257" bestFit="1" customWidth="1"/>
    <col min="16122" max="16122" width="10.85546875" style="257" customWidth="1"/>
    <col min="16123" max="16123" width="11.5703125" style="257" customWidth="1"/>
    <col min="16124" max="16124" width="11.140625" style="257" bestFit="1" customWidth="1"/>
    <col min="16125" max="16125" width="11" style="257" customWidth="1"/>
    <col min="16126" max="16126" width="10.42578125" style="257" customWidth="1"/>
    <col min="16127" max="16127" width="11.28515625" style="257" customWidth="1"/>
    <col min="16128" max="16129" width="9.140625" style="257" bestFit="1" customWidth="1"/>
    <col min="16130" max="16131" width="11.140625" style="257" bestFit="1" customWidth="1"/>
    <col min="16132" max="16132" width="11.5703125" style="257" bestFit="1" customWidth="1"/>
    <col min="16133" max="16133" width="9.140625" style="257" bestFit="1" customWidth="1"/>
    <col min="16134" max="16134" width="10.28515625" style="257" customWidth="1"/>
    <col min="16135" max="16384" width="9.140625" style="257"/>
  </cols>
  <sheetData>
    <row r="1" spans="1:12" ht="72" customHeight="1">
      <c r="A1" s="1983" t="s">
        <v>165</v>
      </c>
      <c r="B1" s="1984"/>
      <c r="C1" s="1984"/>
      <c r="D1" s="1984"/>
      <c r="E1" s="1984"/>
      <c r="F1" s="1984"/>
      <c r="G1" s="1984"/>
      <c r="H1" s="1984"/>
      <c r="I1" s="1984"/>
      <c r="J1" s="1984"/>
      <c r="K1" s="1984"/>
      <c r="L1" s="1984"/>
    </row>
    <row r="2" spans="1:12" ht="16.5" customHeight="1" thickBot="1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992" t="s">
        <v>0</v>
      </c>
    </row>
    <row r="3" spans="1:12" s="279" customFormat="1" ht="12.75" customHeight="1">
      <c r="A3" s="1919" t="s">
        <v>1</v>
      </c>
      <c r="B3" s="1921" t="s">
        <v>2</v>
      </c>
      <c r="C3" s="1921" t="s">
        <v>3</v>
      </c>
      <c r="D3" s="1921" t="s">
        <v>4</v>
      </c>
      <c r="E3" s="2225" t="s">
        <v>161</v>
      </c>
      <c r="F3" s="2225" t="s">
        <v>153</v>
      </c>
      <c r="G3" s="2225" t="s">
        <v>155</v>
      </c>
      <c r="H3" s="2225" t="s">
        <v>180</v>
      </c>
      <c r="I3" s="2225" t="s">
        <v>39</v>
      </c>
      <c r="J3" s="2210" t="s">
        <v>178</v>
      </c>
      <c r="K3" s="2210" t="s">
        <v>166</v>
      </c>
      <c r="L3" s="2563" t="s">
        <v>188</v>
      </c>
    </row>
    <row r="4" spans="1:12" s="279" customFormat="1" ht="50.25" customHeight="1" thickBot="1">
      <c r="A4" s="2528"/>
      <c r="B4" s="1922"/>
      <c r="C4" s="1922"/>
      <c r="D4" s="1922"/>
      <c r="E4" s="2226"/>
      <c r="F4" s="2226"/>
      <c r="G4" s="2226"/>
      <c r="H4" s="2421"/>
      <c r="I4" s="2226"/>
      <c r="J4" s="2211"/>
      <c r="K4" s="2211"/>
      <c r="L4" s="2564"/>
    </row>
    <row r="5" spans="1:12" s="281" customFormat="1" ht="12" customHeight="1" thickBot="1">
      <c r="A5" s="183" t="s">
        <v>6</v>
      </c>
      <c r="B5" s="2565" t="s">
        <v>7</v>
      </c>
      <c r="C5" s="2566"/>
      <c r="D5" s="183" t="s">
        <v>8</v>
      </c>
      <c r="E5" s="183" t="s">
        <v>9</v>
      </c>
      <c r="F5" s="183" t="s">
        <v>10</v>
      </c>
      <c r="G5" s="183" t="s">
        <v>12</v>
      </c>
      <c r="H5" s="183" t="s">
        <v>10</v>
      </c>
      <c r="I5" s="183" t="s">
        <v>12</v>
      </c>
      <c r="J5" s="183" t="s">
        <v>11</v>
      </c>
      <c r="K5" s="183" t="s">
        <v>11</v>
      </c>
      <c r="L5" s="280" t="s">
        <v>12</v>
      </c>
    </row>
    <row r="6" spans="1:12" s="285" customFormat="1">
      <c r="A6" s="271" t="s">
        <v>156</v>
      </c>
      <c r="B6" s="273"/>
      <c r="C6" s="274" t="s">
        <v>157</v>
      </c>
      <c r="D6" s="273"/>
      <c r="E6" s="282">
        <f>SUM(E7+E22)</f>
        <v>18747646</v>
      </c>
      <c r="F6" s="282">
        <f>SUM(F7+F22)</f>
        <v>18747646</v>
      </c>
      <c r="G6" s="282">
        <f>SUM(G7+G22)</f>
        <v>0</v>
      </c>
      <c r="H6" s="282">
        <f>SUM(H7+H22)</f>
        <v>22987025</v>
      </c>
      <c r="I6" s="283">
        <f>H6/E6</f>
        <v>1.2261286030256813</v>
      </c>
      <c r="J6" s="282">
        <f>SUM(J7+J22)</f>
        <v>5600000</v>
      </c>
      <c r="K6" s="282">
        <f>SUM(K7+K22)</f>
        <v>28587025</v>
      </c>
      <c r="L6" s="284"/>
    </row>
    <row r="7" spans="1:12" s="289" customFormat="1" ht="45">
      <c r="A7" s="1929"/>
      <c r="B7" s="2570" t="s">
        <v>158</v>
      </c>
      <c r="C7" s="286" t="s">
        <v>608</v>
      </c>
      <c r="D7" s="287"/>
      <c r="E7" s="258">
        <f>SUM(E8,E17)</f>
        <v>7752608</v>
      </c>
      <c r="F7" s="258">
        <f>SUM(F8,F17)</f>
        <v>7752608</v>
      </c>
      <c r="G7" s="258">
        <f>SUM(G8,G17)</f>
        <v>0</v>
      </c>
      <c r="H7" s="258">
        <f>SUM(H8,H17)</f>
        <v>6901292</v>
      </c>
      <c r="I7" s="288">
        <f>H7/E7</f>
        <v>0.89018972712150546</v>
      </c>
      <c r="J7" s="258">
        <f>SUM(J8,J17)</f>
        <v>5600000</v>
      </c>
      <c r="K7" s="258">
        <f>SUM(K8,K17)</f>
        <v>12501292</v>
      </c>
      <c r="L7" s="2120" t="s">
        <v>602</v>
      </c>
    </row>
    <row r="8" spans="1:12" s="289" customFormat="1" ht="14.25" customHeight="1">
      <c r="A8" s="1930"/>
      <c r="B8" s="2570"/>
      <c r="C8" s="259" t="s">
        <v>18</v>
      </c>
      <c r="D8" s="260"/>
      <c r="E8" s="265">
        <f>E9+E12+E13+E14+E15+E16</f>
        <v>7752608</v>
      </c>
      <c r="F8" s="261">
        <f>F9+F12+F13+F14+F16</f>
        <v>7752608</v>
      </c>
      <c r="G8" s="261">
        <f>G9+G12+G13+G14+G16</f>
        <v>0</v>
      </c>
      <c r="H8" s="261">
        <f>H9+H12+H13+H14+H16</f>
        <v>6901292</v>
      </c>
      <c r="I8" s="290">
        <f>H8/E8</f>
        <v>0.89018972712150546</v>
      </c>
      <c r="J8" s="261">
        <f>J9+J12+J13+J14+J16</f>
        <v>5600000</v>
      </c>
      <c r="K8" s="261">
        <f>K9+K12+K13+K14+K16</f>
        <v>12501292</v>
      </c>
      <c r="L8" s="2571"/>
    </row>
    <row r="9" spans="1:12">
      <c r="A9" s="1930"/>
      <c r="B9" s="2570"/>
      <c r="C9" s="291" t="s">
        <v>19</v>
      </c>
      <c r="D9" s="292"/>
      <c r="E9" s="263"/>
      <c r="F9" s="263"/>
      <c r="G9" s="263"/>
      <c r="H9" s="263"/>
      <c r="I9" s="293"/>
      <c r="J9" s="263"/>
      <c r="K9" s="263"/>
      <c r="L9" s="2571"/>
    </row>
    <row r="10" spans="1:12">
      <c r="A10" s="1930"/>
      <c r="B10" s="2570"/>
      <c r="C10" s="291" t="s">
        <v>20</v>
      </c>
      <c r="D10" s="292"/>
      <c r="E10" s="263"/>
      <c r="F10" s="263"/>
      <c r="G10" s="263"/>
      <c r="H10" s="267"/>
      <c r="I10" s="290"/>
      <c r="J10" s="263"/>
      <c r="K10" s="263"/>
      <c r="L10" s="2571"/>
    </row>
    <row r="11" spans="1:12" ht="22.5">
      <c r="A11" s="1930"/>
      <c r="B11" s="2570"/>
      <c r="C11" s="264" t="s">
        <v>21</v>
      </c>
      <c r="D11" s="294"/>
      <c r="E11" s="263"/>
      <c r="F11" s="263"/>
      <c r="G11" s="263"/>
      <c r="H11" s="263"/>
      <c r="I11" s="293"/>
      <c r="J11" s="263"/>
      <c r="K11" s="263"/>
      <c r="L11" s="2571"/>
    </row>
    <row r="12" spans="1:12">
      <c r="A12" s="1930"/>
      <c r="B12" s="2570"/>
      <c r="C12" s="291" t="s">
        <v>23</v>
      </c>
      <c r="D12" s="292"/>
      <c r="E12" s="263"/>
      <c r="F12" s="263"/>
      <c r="G12" s="263"/>
      <c r="H12" s="267"/>
      <c r="I12" s="290"/>
      <c r="J12" s="263"/>
      <c r="K12" s="263"/>
      <c r="L12" s="2571"/>
    </row>
    <row r="13" spans="1:12">
      <c r="A13" s="1930"/>
      <c r="B13" s="2570"/>
      <c r="C13" s="291" t="s">
        <v>24</v>
      </c>
      <c r="D13" s="292"/>
      <c r="E13" s="263"/>
      <c r="F13" s="263"/>
      <c r="G13" s="263"/>
      <c r="H13" s="267"/>
      <c r="I13" s="290"/>
      <c r="J13" s="263"/>
      <c r="K13" s="263"/>
      <c r="L13" s="2571"/>
    </row>
    <row r="14" spans="1:12" ht="24.75" customHeight="1">
      <c r="A14" s="1930"/>
      <c r="B14" s="2570"/>
      <c r="C14" s="264" t="s">
        <v>90</v>
      </c>
      <c r="D14" s="294"/>
      <c r="E14" s="263"/>
      <c r="F14" s="263"/>
      <c r="G14" s="263"/>
      <c r="H14" s="267"/>
      <c r="I14" s="290"/>
      <c r="J14" s="263"/>
      <c r="K14" s="263"/>
      <c r="L14" s="2571"/>
    </row>
    <row r="15" spans="1:12">
      <c r="A15" s="1930"/>
      <c r="B15" s="2570"/>
      <c r="C15" s="291" t="s">
        <v>26</v>
      </c>
      <c r="D15" s="275"/>
      <c r="E15" s="275"/>
      <c r="F15" s="275"/>
      <c r="G15" s="275"/>
      <c r="H15" s="275"/>
      <c r="I15" s="295"/>
      <c r="J15" s="275"/>
      <c r="K15" s="275"/>
      <c r="L15" s="2571"/>
    </row>
    <row r="16" spans="1:12">
      <c r="A16" s="1930"/>
      <c r="B16" s="2570"/>
      <c r="C16" s="291" t="s">
        <v>27</v>
      </c>
      <c r="D16" s="296">
        <v>8110</v>
      </c>
      <c r="E16" s="266">
        <v>7752608</v>
      </c>
      <c r="F16" s="266">
        <v>7752608</v>
      </c>
      <c r="G16" s="266"/>
      <c r="H16" s="266">
        <v>6901292</v>
      </c>
      <c r="I16" s="293">
        <f>H16/E16</f>
        <v>0.89018972712150546</v>
      </c>
      <c r="J16" s="267">
        <v>5600000</v>
      </c>
      <c r="K16" s="267">
        <f>H16+J16</f>
        <v>12501292</v>
      </c>
      <c r="L16" s="2571"/>
    </row>
    <row r="17" spans="1:12">
      <c r="A17" s="1930"/>
      <c r="B17" s="2570"/>
      <c r="C17" s="297" t="s">
        <v>28</v>
      </c>
      <c r="D17" s="298"/>
      <c r="E17" s="261">
        <f>SUM(E18,E20,E21)</f>
        <v>0</v>
      </c>
      <c r="F17" s="261">
        <f>SUM(F18,F20,F21)</f>
        <v>0</v>
      </c>
      <c r="G17" s="261">
        <f>SUM(G18,G20,G21)</f>
        <v>0</v>
      </c>
      <c r="H17" s="261">
        <f>SUM(H18,H20,H21)</f>
        <v>0</v>
      </c>
      <c r="I17" s="262"/>
      <c r="J17" s="261">
        <v>0</v>
      </c>
      <c r="K17" s="261">
        <f>SUM(K18,K20,K21)</f>
        <v>0</v>
      </c>
      <c r="L17" s="2571"/>
    </row>
    <row r="18" spans="1:12">
      <c r="A18" s="1930"/>
      <c r="B18" s="2570"/>
      <c r="C18" s="291" t="s">
        <v>29</v>
      </c>
      <c r="D18" s="292"/>
      <c r="E18" s="263"/>
      <c r="F18" s="263"/>
      <c r="G18" s="263"/>
      <c r="H18" s="267"/>
      <c r="I18" s="290"/>
      <c r="J18" s="263"/>
      <c r="K18" s="263"/>
      <c r="L18" s="2571"/>
    </row>
    <row r="19" spans="1:12" ht="23.25" customHeight="1">
      <c r="A19" s="1930"/>
      <c r="B19" s="2570"/>
      <c r="C19" s="264" t="s">
        <v>89</v>
      </c>
      <c r="D19" s="272"/>
      <c r="E19" s="263"/>
      <c r="F19" s="263"/>
      <c r="G19" s="263"/>
      <c r="H19" s="267"/>
      <c r="I19" s="290"/>
      <c r="J19" s="263"/>
      <c r="K19" s="263"/>
      <c r="L19" s="2571"/>
    </row>
    <row r="20" spans="1:12">
      <c r="A20" s="1930"/>
      <c r="B20" s="2570"/>
      <c r="C20" s="291" t="s">
        <v>31</v>
      </c>
      <c r="D20" s="292"/>
      <c r="E20" s="263"/>
      <c r="F20" s="263"/>
      <c r="G20" s="263"/>
      <c r="H20" s="267"/>
      <c r="I20" s="290"/>
      <c r="J20" s="263"/>
      <c r="K20" s="263"/>
      <c r="L20" s="2571"/>
    </row>
    <row r="21" spans="1:12" s="289" customFormat="1">
      <c r="A21" s="1930"/>
      <c r="B21" s="1972"/>
      <c r="C21" s="291" t="s">
        <v>32</v>
      </c>
      <c r="D21" s="292"/>
      <c r="E21" s="261"/>
      <c r="F21" s="261"/>
      <c r="G21" s="261"/>
      <c r="H21" s="254"/>
      <c r="I21" s="290"/>
      <c r="J21" s="261"/>
      <c r="K21" s="263"/>
      <c r="L21" s="2572"/>
    </row>
    <row r="22" spans="1:12" s="289" customFormat="1" ht="33.75" customHeight="1">
      <c r="A22" s="1930"/>
      <c r="B22" s="2570" t="s">
        <v>159</v>
      </c>
      <c r="C22" s="299" t="s">
        <v>160</v>
      </c>
      <c r="D22" s="287"/>
      <c r="E22" s="258">
        <f>SUM(E23,E32)</f>
        <v>10995038</v>
      </c>
      <c r="F22" s="258">
        <f>SUM(F23,F32)</f>
        <v>10995038</v>
      </c>
      <c r="G22" s="258">
        <f>SUM(G23,G32)</f>
        <v>0</v>
      </c>
      <c r="H22" s="258">
        <f>SUM(H23,H32)</f>
        <v>16085733</v>
      </c>
      <c r="I22" s="288">
        <f>H22/E22</f>
        <v>1.4629993093248064</v>
      </c>
      <c r="J22" s="258">
        <f>SUM(J23,J32)</f>
        <v>0</v>
      </c>
      <c r="K22" s="258">
        <f>SUM(K23,K32)</f>
        <v>16085733</v>
      </c>
      <c r="L22" s="2120" t="s">
        <v>471</v>
      </c>
    </row>
    <row r="23" spans="1:12">
      <c r="A23" s="1930"/>
      <c r="B23" s="2570"/>
      <c r="C23" s="259" t="s">
        <v>18</v>
      </c>
      <c r="D23" s="260"/>
      <c r="E23" s="261">
        <f>SUM(E24,E27,E28,E29,E30,E31)</f>
        <v>10995038</v>
      </c>
      <c r="F23" s="261">
        <f>SUM(F24,F27,F28,F29,F30,F31)</f>
        <v>10995038</v>
      </c>
      <c r="G23" s="261">
        <f>SUM(G24,G27,G28,G29,G30,G31)</f>
        <v>0</v>
      </c>
      <c r="H23" s="261">
        <f>SUM(H24,H27,H28,H29,H30,H31)</f>
        <v>16085733</v>
      </c>
      <c r="I23" s="290">
        <f>H23/E23</f>
        <v>1.4629993093248064</v>
      </c>
      <c r="J23" s="261">
        <f>SUM(J24,J27,J28,J29,J30,J31)</f>
        <v>0</v>
      </c>
      <c r="K23" s="261">
        <f>SUM(K24,K27,K28,K29,K30,K31)</f>
        <v>16085733</v>
      </c>
      <c r="L23" s="2571"/>
    </row>
    <row r="24" spans="1:12">
      <c r="A24" s="1930"/>
      <c r="B24" s="2570"/>
      <c r="C24" s="291" t="s">
        <v>19</v>
      </c>
      <c r="D24" s="292"/>
      <c r="E24" s="263"/>
      <c r="F24" s="263"/>
      <c r="G24" s="263"/>
      <c r="H24" s="261"/>
      <c r="I24" s="290"/>
      <c r="J24" s="263"/>
      <c r="K24" s="263"/>
      <c r="L24" s="2571"/>
    </row>
    <row r="25" spans="1:12">
      <c r="A25" s="1930"/>
      <c r="B25" s="2570"/>
      <c r="C25" s="291" t="s">
        <v>20</v>
      </c>
      <c r="D25" s="292"/>
      <c r="E25" s="263"/>
      <c r="F25" s="263"/>
      <c r="G25" s="263"/>
      <c r="H25" s="254"/>
      <c r="I25" s="290"/>
      <c r="J25" s="263"/>
      <c r="K25" s="263"/>
      <c r="L25" s="2571"/>
    </row>
    <row r="26" spans="1:12" ht="22.5">
      <c r="A26" s="1930"/>
      <c r="B26" s="2570"/>
      <c r="C26" s="300" t="s">
        <v>21</v>
      </c>
      <c r="D26" s="294"/>
      <c r="E26" s="263"/>
      <c r="F26" s="263"/>
      <c r="G26" s="263"/>
      <c r="H26" s="254"/>
      <c r="I26" s="290"/>
      <c r="J26" s="263"/>
      <c r="K26" s="263"/>
      <c r="L26" s="2571"/>
    </row>
    <row r="27" spans="1:12">
      <c r="A27" s="1930"/>
      <c r="B27" s="2570"/>
      <c r="C27" s="291" t="s">
        <v>23</v>
      </c>
      <c r="D27" s="292"/>
      <c r="E27" s="263"/>
      <c r="F27" s="263"/>
      <c r="G27" s="263"/>
      <c r="H27" s="254"/>
      <c r="I27" s="290"/>
      <c r="J27" s="263"/>
      <c r="K27" s="263"/>
      <c r="L27" s="2571"/>
    </row>
    <row r="28" spans="1:12">
      <c r="A28" s="1930"/>
      <c r="B28" s="2570"/>
      <c r="C28" s="291" t="s">
        <v>24</v>
      </c>
      <c r="D28" s="292"/>
      <c r="E28" s="263"/>
      <c r="F28" s="263"/>
      <c r="G28" s="263"/>
      <c r="H28" s="254"/>
      <c r="I28" s="290"/>
      <c r="J28" s="263"/>
      <c r="K28" s="263"/>
      <c r="L28" s="2571"/>
    </row>
    <row r="29" spans="1:12" ht="24.75" customHeight="1">
      <c r="A29" s="1930"/>
      <c r="B29" s="2570"/>
      <c r="C29" s="264" t="s">
        <v>54</v>
      </c>
      <c r="D29" s="294"/>
      <c r="E29" s="263"/>
      <c r="F29" s="263"/>
      <c r="G29" s="263"/>
      <c r="H29" s="254"/>
      <c r="I29" s="290"/>
      <c r="J29" s="263"/>
      <c r="K29" s="263"/>
      <c r="L29" s="2571"/>
    </row>
    <row r="30" spans="1:12" s="289" customFormat="1">
      <c r="A30" s="1930"/>
      <c r="B30" s="2570"/>
      <c r="C30" s="301" t="s">
        <v>26</v>
      </c>
      <c r="D30" s="292">
        <v>8030</v>
      </c>
      <c r="E30" s="263">
        <v>10995038</v>
      </c>
      <c r="F30" s="263">
        <v>10995038</v>
      </c>
      <c r="G30" s="263"/>
      <c r="H30" s="263">
        <v>16085733</v>
      </c>
      <c r="I30" s="293">
        <f>H30/E30</f>
        <v>1.4629993093248064</v>
      </c>
      <c r="J30" s="263"/>
      <c r="K30" s="263">
        <f t="shared" ref="K30" si="0">H30+J30</f>
        <v>16085733</v>
      </c>
      <c r="L30" s="2571"/>
    </row>
    <row r="31" spans="1:12">
      <c r="A31" s="1930"/>
      <c r="B31" s="2570"/>
      <c r="C31" s="291" t="s">
        <v>27</v>
      </c>
      <c r="D31" s="292"/>
      <c r="E31" s="263"/>
      <c r="F31" s="263"/>
      <c r="G31" s="263"/>
      <c r="H31" s="254"/>
      <c r="I31" s="290"/>
      <c r="J31" s="263"/>
      <c r="K31" s="263"/>
      <c r="L31" s="2571"/>
    </row>
    <row r="32" spans="1:12" s="289" customFormat="1">
      <c r="A32" s="1930"/>
      <c r="B32" s="2570"/>
      <c r="C32" s="297" t="s">
        <v>28</v>
      </c>
      <c r="D32" s="298"/>
      <c r="E32" s="261">
        <f>E33+E35+E36</f>
        <v>0</v>
      </c>
      <c r="F32" s="261">
        <f>F33+F35+F36</f>
        <v>0</v>
      </c>
      <c r="G32" s="261">
        <f>G33+G35+G36</f>
        <v>0</v>
      </c>
      <c r="H32" s="261">
        <f>H33+H35+H36</f>
        <v>0</v>
      </c>
      <c r="I32" s="262"/>
      <c r="J32" s="261"/>
      <c r="K32" s="261">
        <f>K33+K35+K36</f>
        <v>0</v>
      </c>
      <c r="L32" s="2571"/>
    </row>
    <row r="33" spans="1:12" s="289" customFormat="1" ht="13.5" customHeight="1">
      <c r="A33" s="1930"/>
      <c r="B33" s="2570"/>
      <c r="C33" s="291" t="s">
        <v>29</v>
      </c>
      <c r="D33" s="292"/>
      <c r="E33" s="263"/>
      <c r="F33" s="263"/>
      <c r="G33" s="263"/>
      <c r="H33" s="254"/>
      <c r="I33" s="290"/>
      <c r="J33" s="263"/>
      <c r="K33" s="263"/>
      <c r="L33" s="2571"/>
    </row>
    <row r="34" spans="1:12" ht="22.5">
      <c r="A34" s="1930"/>
      <c r="B34" s="2570"/>
      <c r="C34" s="264" t="s">
        <v>89</v>
      </c>
      <c r="D34" s="272"/>
      <c r="E34" s="263"/>
      <c r="F34" s="263"/>
      <c r="G34" s="263"/>
      <c r="H34" s="254"/>
      <c r="I34" s="290"/>
      <c r="J34" s="263"/>
      <c r="K34" s="263"/>
      <c r="L34" s="2571"/>
    </row>
    <row r="35" spans="1:12">
      <c r="A35" s="1930"/>
      <c r="B35" s="2570"/>
      <c r="C35" s="291" t="s">
        <v>31</v>
      </c>
      <c r="D35" s="292"/>
      <c r="E35" s="263"/>
      <c r="F35" s="263"/>
      <c r="G35" s="263"/>
      <c r="H35" s="254"/>
      <c r="I35" s="290"/>
      <c r="J35" s="263"/>
      <c r="K35" s="263"/>
      <c r="L35" s="2571"/>
    </row>
    <row r="36" spans="1:12" ht="13.5" thickBot="1">
      <c r="A36" s="1930"/>
      <c r="B36" s="1972"/>
      <c r="C36" s="301" t="s">
        <v>32</v>
      </c>
      <c r="D36" s="302"/>
      <c r="E36" s="172"/>
      <c r="F36" s="172"/>
      <c r="G36" s="172"/>
      <c r="H36" s="276"/>
      <c r="I36" s="303"/>
      <c r="J36" s="172"/>
      <c r="K36" s="263"/>
      <c r="L36" s="2123"/>
    </row>
    <row r="37" spans="1:12" ht="23.25" customHeight="1" thickBot="1">
      <c r="A37" s="2567" t="s">
        <v>154</v>
      </c>
      <c r="B37" s="2568"/>
      <c r="C37" s="2569"/>
      <c r="D37" s="304"/>
      <c r="E37" s="305">
        <f>SUM(E6)</f>
        <v>18747646</v>
      </c>
      <c r="F37" s="305">
        <f>SUM(F6)</f>
        <v>18747646</v>
      </c>
      <c r="G37" s="305">
        <f>SUM(G6)</f>
        <v>0</v>
      </c>
      <c r="H37" s="269">
        <f>SUM(H6)</f>
        <v>22987025</v>
      </c>
      <c r="I37" s="306">
        <f>H37/E37</f>
        <v>1.2261286030256813</v>
      </c>
      <c r="J37" s="307">
        <f>SUM(J6)</f>
        <v>5600000</v>
      </c>
      <c r="K37" s="307">
        <f>SUM(K6)</f>
        <v>28587025</v>
      </c>
      <c r="L37" s="308"/>
    </row>
    <row r="38" spans="1:12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</row>
  </sheetData>
  <mergeCells count="20">
    <mergeCell ref="B5:C5"/>
    <mergeCell ref="A37:C37"/>
    <mergeCell ref="A7:A36"/>
    <mergeCell ref="B7:B21"/>
    <mergeCell ref="L7:L21"/>
    <mergeCell ref="B22:B36"/>
    <mergeCell ref="L22:L36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" right="0" top="0.59055118110236227" bottom="0" header="0" footer="0"/>
  <pageSetup paperSize="9" scale="79" fitToHeight="0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AK416"/>
  <sheetViews>
    <sheetView view="pageBreakPreview" topLeftCell="A117" zoomScaleNormal="100" zoomScaleSheetLayoutView="100" workbookViewId="0">
      <selection activeCell="O9" sqref="O9"/>
    </sheetView>
  </sheetViews>
  <sheetFormatPr defaultRowHeight="15"/>
  <cols>
    <col min="1" max="1" width="5.42578125" style="732" customWidth="1"/>
    <col min="2" max="2" width="8.85546875" style="732" customWidth="1"/>
    <col min="3" max="3" width="45.7109375" style="732" customWidth="1"/>
    <col min="4" max="4" width="7" style="732" customWidth="1"/>
    <col min="5" max="5" width="12" style="732" customWidth="1"/>
    <col min="6" max="6" width="12.85546875" style="732" customWidth="1"/>
    <col min="7" max="7" width="6.140625" style="732" hidden="1" customWidth="1"/>
    <col min="8" max="8" width="13.28515625" style="732" hidden="1" customWidth="1"/>
    <col min="9" max="9" width="9" style="732" hidden="1" customWidth="1"/>
    <col min="10" max="10" width="10.140625" style="732" hidden="1" customWidth="1"/>
    <col min="11" max="11" width="13" style="732" customWidth="1"/>
    <col min="12" max="12" width="10.28515625" style="732" hidden="1" customWidth="1"/>
    <col min="13" max="13" width="68.140625" style="732" customWidth="1"/>
    <col min="14" max="14" width="2.5703125" style="732" hidden="1" customWidth="1"/>
    <col min="15" max="15" width="17.140625" style="732" customWidth="1"/>
    <col min="16" max="236" width="9.140625" style="732"/>
    <col min="237" max="237" width="4.28515625" style="732" bestFit="1" customWidth="1"/>
    <col min="238" max="238" width="6.85546875" style="732" bestFit="1" customWidth="1"/>
    <col min="239" max="239" width="11" style="732" customWidth="1"/>
    <col min="240" max="240" width="11.140625" style="732" bestFit="1" customWidth="1"/>
    <col min="241" max="241" width="10.85546875" style="732" customWidth="1"/>
    <col min="242" max="242" width="11.5703125" style="732" customWidth="1"/>
    <col min="243" max="243" width="11.140625" style="732" bestFit="1" customWidth="1"/>
    <col min="244" max="244" width="11" style="732" customWidth="1"/>
    <col min="245" max="245" width="10.42578125" style="732" customWidth="1"/>
    <col min="246" max="246" width="11.28515625" style="732" customWidth="1"/>
    <col min="247" max="248" width="9.140625" style="732" bestFit="1" customWidth="1"/>
    <col min="249" max="250" width="11.140625" style="732" bestFit="1" customWidth="1"/>
    <col min="251" max="251" width="11.5703125" style="732" bestFit="1" customWidth="1"/>
    <col min="252" max="252" width="9.140625" style="732" bestFit="1" customWidth="1"/>
    <col min="253" max="253" width="10.28515625" style="732" customWidth="1"/>
    <col min="254" max="492" width="9.140625" style="732"/>
    <col min="493" max="493" width="4.28515625" style="732" bestFit="1" customWidth="1"/>
    <col min="494" max="494" width="6.85546875" style="732" bestFit="1" customWidth="1"/>
    <col min="495" max="495" width="11" style="732" customWidth="1"/>
    <col min="496" max="496" width="11.140625" style="732" bestFit="1" customWidth="1"/>
    <col min="497" max="497" width="10.85546875" style="732" customWidth="1"/>
    <col min="498" max="498" width="11.5703125" style="732" customWidth="1"/>
    <col min="499" max="499" width="11.140625" style="732" bestFit="1" customWidth="1"/>
    <col min="500" max="500" width="11" style="732" customWidth="1"/>
    <col min="501" max="501" width="10.42578125" style="732" customWidth="1"/>
    <col min="502" max="502" width="11.28515625" style="732" customWidth="1"/>
    <col min="503" max="504" width="9.140625" style="732" bestFit="1" customWidth="1"/>
    <col min="505" max="506" width="11.140625" style="732" bestFit="1" customWidth="1"/>
    <col min="507" max="507" width="11.5703125" style="732" bestFit="1" customWidth="1"/>
    <col min="508" max="508" width="9.140625" style="732" bestFit="1" customWidth="1"/>
    <col min="509" max="509" width="10.28515625" style="732" customWidth="1"/>
    <col min="510" max="748" width="9.140625" style="732"/>
    <col min="749" max="749" width="4.28515625" style="732" bestFit="1" customWidth="1"/>
    <col min="750" max="750" width="6.85546875" style="732" bestFit="1" customWidth="1"/>
    <col min="751" max="751" width="11" style="732" customWidth="1"/>
    <col min="752" max="752" width="11.140625" style="732" bestFit="1" customWidth="1"/>
    <col min="753" max="753" width="10.85546875" style="732" customWidth="1"/>
    <col min="754" max="754" width="11.5703125" style="732" customWidth="1"/>
    <col min="755" max="755" width="11.140625" style="732" bestFit="1" customWidth="1"/>
    <col min="756" max="756" width="11" style="732" customWidth="1"/>
    <col min="757" max="757" width="10.42578125" style="732" customWidth="1"/>
    <col min="758" max="758" width="11.28515625" style="732" customWidth="1"/>
    <col min="759" max="760" width="9.140625" style="732" bestFit="1" customWidth="1"/>
    <col min="761" max="762" width="11.140625" style="732" bestFit="1" customWidth="1"/>
    <col min="763" max="763" width="11.5703125" style="732" bestFit="1" customWidth="1"/>
    <col min="764" max="764" width="9.140625" style="732" bestFit="1" customWidth="1"/>
    <col min="765" max="765" width="10.28515625" style="732" customWidth="1"/>
    <col min="766" max="1004" width="9.140625" style="732"/>
    <col min="1005" max="1005" width="4.28515625" style="732" bestFit="1" customWidth="1"/>
    <col min="1006" max="1006" width="6.85546875" style="732" bestFit="1" customWidth="1"/>
    <col min="1007" max="1007" width="11" style="732" customWidth="1"/>
    <col min="1008" max="1008" width="11.140625" style="732" bestFit="1" customWidth="1"/>
    <col min="1009" max="1009" width="10.85546875" style="732" customWidth="1"/>
    <col min="1010" max="1010" width="11.5703125" style="732" customWidth="1"/>
    <col min="1011" max="1011" width="11.140625" style="732" bestFit="1" customWidth="1"/>
    <col min="1012" max="1012" width="11" style="732" customWidth="1"/>
    <col min="1013" max="1013" width="10.42578125" style="732" customWidth="1"/>
    <col min="1014" max="1014" width="11.28515625" style="732" customWidth="1"/>
    <col min="1015" max="1016" width="9.140625" style="732" bestFit="1" customWidth="1"/>
    <col min="1017" max="1018" width="11.140625" style="732" bestFit="1" customWidth="1"/>
    <col min="1019" max="1019" width="11.5703125" style="732" bestFit="1" customWidth="1"/>
    <col min="1020" max="1020" width="9.140625" style="732" bestFit="1" customWidth="1"/>
    <col min="1021" max="1021" width="10.28515625" style="732" customWidth="1"/>
    <col min="1022" max="1260" width="9.140625" style="732"/>
    <col min="1261" max="1261" width="4.28515625" style="732" bestFit="1" customWidth="1"/>
    <col min="1262" max="1262" width="6.85546875" style="732" bestFit="1" customWidth="1"/>
    <col min="1263" max="1263" width="11" style="732" customWidth="1"/>
    <col min="1264" max="1264" width="11.140625" style="732" bestFit="1" customWidth="1"/>
    <col min="1265" max="1265" width="10.85546875" style="732" customWidth="1"/>
    <col min="1266" max="1266" width="11.5703125" style="732" customWidth="1"/>
    <col min="1267" max="1267" width="11.140625" style="732" bestFit="1" customWidth="1"/>
    <col min="1268" max="1268" width="11" style="732" customWidth="1"/>
    <col min="1269" max="1269" width="10.42578125" style="732" customWidth="1"/>
    <col min="1270" max="1270" width="11.28515625" style="732" customWidth="1"/>
    <col min="1271" max="1272" width="9.140625" style="732" bestFit="1" customWidth="1"/>
    <col min="1273" max="1274" width="11.140625" style="732" bestFit="1" customWidth="1"/>
    <col min="1275" max="1275" width="11.5703125" style="732" bestFit="1" customWidth="1"/>
    <col min="1276" max="1276" width="9.140625" style="732" bestFit="1" customWidth="1"/>
    <col min="1277" max="1277" width="10.28515625" style="732" customWidth="1"/>
    <col min="1278" max="1516" width="9.140625" style="732"/>
    <col min="1517" max="1517" width="4.28515625" style="732" bestFit="1" customWidth="1"/>
    <col min="1518" max="1518" width="6.85546875" style="732" bestFit="1" customWidth="1"/>
    <col min="1519" max="1519" width="11" style="732" customWidth="1"/>
    <col min="1520" max="1520" width="11.140625" style="732" bestFit="1" customWidth="1"/>
    <col min="1521" max="1521" width="10.85546875" style="732" customWidth="1"/>
    <col min="1522" max="1522" width="11.5703125" style="732" customWidth="1"/>
    <col min="1523" max="1523" width="11.140625" style="732" bestFit="1" customWidth="1"/>
    <col min="1524" max="1524" width="11" style="732" customWidth="1"/>
    <col min="1525" max="1525" width="10.42578125" style="732" customWidth="1"/>
    <col min="1526" max="1526" width="11.28515625" style="732" customWidth="1"/>
    <col min="1527" max="1528" width="9.140625" style="732" bestFit="1" customWidth="1"/>
    <col min="1529" max="1530" width="11.140625" style="732" bestFit="1" customWidth="1"/>
    <col min="1531" max="1531" width="11.5703125" style="732" bestFit="1" customWidth="1"/>
    <col min="1532" max="1532" width="9.140625" style="732" bestFit="1" customWidth="1"/>
    <col min="1533" max="1533" width="10.28515625" style="732" customWidth="1"/>
    <col min="1534" max="1772" width="9.140625" style="732"/>
    <col min="1773" max="1773" width="4.28515625" style="732" bestFit="1" customWidth="1"/>
    <col min="1774" max="1774" width="6.85546875" style="732" bestFit="1" customWidth="1"/>
    <col min="1775" max="1775" width="11" style="732" customWidth="1"/>
    <col min="1776" max="1776" width="11.140625" style="732" bestFit="1" customWidth="1"/>
    <col min="1777" max="1777" width="10.85546875" style="732" customWidth="1"/>
    <col min="1778" max="1778" width="11.5703125" style="732" customWidth="1"/>
    <col min="1779" max="1779" width="11.140625" style="732" bestFit="1" customWidth="1"/>
    <col min="1780" max="1780" width="11" style="732" customWidth="1"/>
    <col min="1781" max="1781" width="10.42578125" style="732" customWidth="1"/>
    <col min="1782" max="1782" width="11.28515625" style="732" customWidth="1"/>
    <col min="1783" max="1784" width="9.140625" style="732" bestFit="1" customWidth="1"/>
    <col min="1785" max="1786" width="11.140625" style="732" bestFit="1" customWidth="1"/>
    <col min="1787" max="1787" width="11.5703125" style="732" bestFit="1" customWidth="1"/>
    <col min="1788" max="1788" width="9.140625" style="732" bestFit="1" customWidth="1"/>
    <col min="1789" max="1789" width="10.28515625" style="732" customWidth="1"/>
    <col min="1790" max="2028" width="9.140625" style="732"/>
    <col min="2029" max="2029" width="4.28515625" style="732" bestFit="1" customWidth="1"/>
    <col min="2030" max="2030" width="6.85546875" style="732" bestFit="1" customWidth="1"/>
    <col min="2031" max="2031" width="11" style="732" customWidth="1"/>
    <col min="2032" max="2032" width="11.140625" style="732" bestFit="1" customWidth="1"/>
    <col min="2033" max="2033" width="10.85546875" style="732" customWidth="1"/>
    <col min="2034" max="2034" width="11.5703125" style="732" customWidth="1"/>
    <col min="2035" max="2035" width="11.140625" style="732" bestFit="1" customWidth="1"/>
    <col min="2036" max="2036" width="11" style="732" customWidth="1"/>
    <col min="2037" max="2037" width="10.42578125" style="732" customWidth="1"/>
    <col min="2038" max="2038" width="11.28515625" style="732" customWidth="1"/>
    <col min="2039" max="2040" width="9.140625" style="732" bestFit="1" customWidth="1"/>
    <col min="2041" max="2042" width="11.140625" style="732" bestFit="1" customWidth="1"/>
    <col min="2043" max="2043" width="11.5703125" style="732" bestFit="1" customWidth="1"/>
    <col min="2044" max="2044" width="9.140625" style="732" bestFit="1" customWidth="1"/>
    <col min="2045" max="2045" width="10.28515625" style="732" customWidth="1"/>
    <col min="2046" max="2284" width="9.140625" style="732"/>
    <col min="2285" max="2285" width="4.28515625" style="732" bestFit="1" customWidth="1"/>
    <col min="2286" max="2286" width="6.85546875" style="732" bestFit="1" customWidth="1"/>
    <col min="2287" max="2287" width="11" style="732" customWidth="1"/>
    <col min="2288" max="2288" width="11.140625" style="732" bestFit="1" customWidth="1"/>
    <col min="2289" max="2289" width="10.85546875" style="732" customWidth="1"/>
    <col min="2290" max="2290" width="11.5703125" style="732" customWidth="1"/>
    <col min="2291" max="2291" width="11.140625" style="732" bestFit="1" customWidth="1"/>
    <col min="2292" max="2292" width="11" style="732" customWidth="1"/>
    <col min="2293" max="2293" width="10.42578125" style="732" customWidth="1"/>
    <col min="2294" max="2294" width="11.28515625" style="732" customWidth="1"/>
    <col min="2295" max="2296" width="9.140625" style="732" bestFit="1" customWidth="1"/>
    <col min="2297" max="2298" width="11.140625" style="732" bestFit="1" customWidth="1"/>
    <col min="2299" max="2299" width="11.5703125" style="732" bestFit="1" customWidth="1"/>
    <col min="2300" max="2300" width="9.140625" style="732" bestFit="1" customWidth="1"/>
    <col min="2301" max="2301" width="10.28515625" style="732" customWidth="1"/>
    <col min="2302" max="2540" width="9.140625" style="732"/>
    <col min="2541" max="2541" width="4.28515625" style="732" bestFit="1" customWidth="1"/>
    <col min="2542" max="2542" width="6.85546875" style="732" bestFit="1" customWidth="1"/>
    <col min="2543" max="2543" width="11" style="732" customWidth="1"/>
    <col min="2544" max="2544" width="11.140625" style="732" bestFit="1" customWidth="1"/>
    <col min="2545" max="2545" width="10.85546875" style="732" customWidth="1"/>
    <col min="2546" max="2546" width="11.5703125" style="732" customWidth="1"/>
    <col min="2547" max="2547" width="11.140625" style="732" bestFit="1" customWidth="1"/>
    <col min="2548" max="2548" width="11" style="732" customWidth="1"/>
    <col min="2549" max="2549" width="10.42578125" style="732" customWidth="1"/>
    <col min="2550" max="2550" width="11.28515625" style="732" customWidth="1"/>
    <col min="2551" max="2552" width="9.140625" style="732" bestFit="1" customWidth="1"/>
    <col min="2553" max="2554" width="11.140625" style="732" bestFit="1" customWidth="1"/>
    <col min="2555" max="2555" width="11.5703125" style="732" bestFit="1" customWidth="1"/>
    <col min="2556" max="2556" width="9.140625" style="732" bestFit="1" customWidth="1"/>
    <col min="2557" max="2557" width="10.28515625" style="732" customWidth="1"/>
    <col min="2558" max="2796" width="9.140625" style="732"/>
    <col min="2797" max="2797" width="4.28515625" style="732" bestFit="1" customWidth="1"/>
    <col min="2798" max="2798" width="6.85546875" style="732" bestFit="1" customWidth="1"/>
    <col min="2799" max="2799" width="11" style="732" customWidth="1"/>
    <col min="2800" max="2800" width="11.140625" style="732" bestFit="1" customWidth="1"/>
    <col min="2801" max="2801" width="10.85546875" style="732" customWidth="1"/>
    <col min="2802" max="2802" width="11.5703125" style="732" customWidth="1"/>
    <col min="2803" max="2803" width="11.140625" style="732" bestFit="1" customWidth="1"/>
    <col min="2804" max="2804" width="11" style="732" customWidth="1"/>
    <col min="2805" max="2805" width="10.42578125" style="732" customWidth="1"/>
    <col min="2806" max="2806" width="11.28515625" style="732" customWidth="1"/>
    <col min="2807" max="2808" width="9.140625" style="732" bestFit="1" customWidth="1"/>
    <col min="2809" max="2810" width="11.140625" style="732" bestFit="1" customWidth="1"/>
    <col min="2811" max="2811" width="11.5703125" style="732" bestFit="1" customWidth="1"/>
    <col min="2812" max="2812" width="9.140625" style="732" bestFit="1" customWidth="1"/>
    <col min="2813" max="2813" width="10.28515625" style="732" customWidth="1"/>
    <col min="2814" max="3052" width="9.140625" style="732"/>
    <col min="3053" max="3053" width="4.28515625" style="732" bestFit="1" customWidth="1"/>
    <col min="3054" max="3054" width="6.85546875" style="732" bestFit="1" customWidth="1"/>
    <col min="3055" max="3055" width="11" style="732" customWidth="1"/>
    <col min="3056" max="3056" width="11.140625" style="732" bestFit="1" customWidth="1"/>
    <col min="3057" max="3057" width="10.85546875" style="732" customWidth="1"/>
    <col min="3058" max="3058" width="11.5703125" style="732" customWidth="1"/>
    <col min="3059" max="3059" width="11.140625" style="732" bestFit="1" customWidth="1"/>
    <col min="3060" max="3060" width="11" style="732" customWidth="1"/>
    <col min="3061" max="3061" width="10.42578125" style="732" customWidth="1"/>
    <col min="3062" max="3062" width="11.28515625" style="732" customWidth="1"/>
    <col min="3063" max="3064" width="9.140625" style="732" bestFit="1" customWidth="1"/>
    <col min="3065" max="3066" width="11.140625" style="732" bestFit="1" customWidth="1"/>
    <col min="3067" max="3067" width="11.5703125" style="732" bestFit="1" customWidth="1"/>
    <col min="3068" max="3068" width="9.140625" style="732" bestFit="1" customWidth="1"/>
    <col min="3069" max="3069" width="10.28515625" style="732" customWidth="1"/>
    <col min="3070" max="3308" width="9.140625" style="732"/>
    <col min="3309" max="3309" width="4.28515625" style="732" bestFit="1" customWidth="1"/>
    <col min="3310" max="3310" width="6.85546875" style="732" bestFit="1" customWidth="1"/>
    <col min="3311" max="3311" width="11" style="732" customWidth="1"/>
    <col min="3312" max="3312" width="11.140625" style="732" bestFit="1" customWidth="1"/>
    <col min="3313" max="3313" width="10.85546875" style="732" customWidth="1"/>
    <col min="3314" max="3314" width="11.5703125" style="732" customWidth="1"/>
    <col min="3315" max="3315" width="11.140625" style="732" bestFit="1" customWidth="1"/>
    <col min="3316" max="3316" width="11" style="732" customWidth="1"/>
    <col min="3317" max="3317" width="10.42578125" style="732" customWidth="1"/>
    <col min="3318" max="3318" width="11.28515625" style="732" customWidth="1"/>
    <col min="3319" max="3320" width="9.140625" style="732" bestFit="1" customWidth="1"/>
    <col min="3321" max="3322" width="11.140625" style="732" bestFit="1" customWidth="1"/>
    <col min="3323" max="3323" width="11.5703125" style="732" bestFit="1" customWidth="1"/>
    <col min="3324" max="3324" width="9.140625" style="732" bestFit="1" customWidth="1"/>
    <col min="3325" max="3325" width="10.28515625" style="732" customWidth="1"/>
    <col min="3326" max="3564" width="9.140625" style="732"/>
    <col min="3565" max="3565" width="4.28515625" style="732" bestFit="1" customWidth="1"/>
    <col min="3566" max="3566" width="6.85546875" style="732" bestFit="1" customWidth="1"/>
    <col min="3567" max="3567" width="11" style="732" customWidth="1"/>
    <col min="3568" max="3568" width="11.140625" style="732" bestFit="1" customWidth="1"/>
    <col min="3569" max="3569" width="10.85546875" style="732" customWidth="1"/>
    <col min="3570" max="3570" width="11.5703125" style="732" customWidth="1"/>
    <col min="3571" max="3571" width="11.140625" style="732" bestFit="1" customWidth="1"/>
    <col min="3572" max="3572" width="11" style="732" customWidth="1"/>
    <col min="3573" max="3573" width="10.42578125" style="732" customWidth="1"/>
    <col min="3574" max="3574" width="11.28515625" style="732" customWidth="1"/>
    <col min="3575" max="3576" width="9.140625" style="732" bestFit="1" customWidth="1"/>
    <col min="3577" max="3578" width="11.140625" style="732" bestFit="1" customWidth="1"/>
    <col min="3579" max="3579" width="11.5703125" style="732" bestFit="1" customWidth="1"/>
    <col min="3580" max="3580" width="9.140625" style="732" bestFit="1" customWidth="1"/>
    <col min="3581" max="3581" width="10.28515625" style="732" customWidth="1"/>
    <col min="3582" max="3820" width="9.140625" style="732"/>
    <col min="3821" max="3821" width="4.28515625" style="732" bestFit="1" customWidth="1"/>
    <col min="3822" max="3822" width="6.85546875" style="732" bestFit="1" customWidth="1"/>
    <col min="3823" max="3823" width="11" style="732" customWidth="1"/>
    <col min="3824" max="3824" width="11.140625" style="732" bestFit="1" customWidth="1"/>
    <col min="3825" max="3825" width="10.85546875" style="732" customWidth="1"/>
    <col min="3826" max="3826" width="11.5703125" style="732" customWidth="1"/>
    <col min="3827" max="3827" width="11.140625" style="732" bestFit="1" customWidth="1"/>
    <col min="3828" max="3828" width="11" style="732" customWidth="1"/>
    <col min="3829" max="3829" width="10.42578125" style="732" customWidth="1"/>
    <col min="3830" max="3830" width="11.28515625" style="732" customWidth="1"/>
    <col min="3831" max="3832" width="9.140625" style="732" bestFit="1" customWidth="1"/>
    <col min="3833" max="3834" width="11.140625" style="732" bestFit="1" customWidth="1"/>
    <col min="3835" max="3835" width="11.5703125" style="732" bestFit="1" customWidth="1"/>
    <col min="3836" max="3836" width="9.140625" style="732" bestFit="1" customWidth="1"/>
    <col min="3837" max="3837" width="10.28515625" style="732" customWidth="1"/>
    <col min="3838" max="4076" width="9.140625" style="732"/>
    <col min="4077" max="4077" width="4.28515625" style="732" bestFit="1" customWidth="1"/>
    <col min="4078" max="4078" width="6.85546875" style="732" bestFit="1" customWidth="1"/>
    <col min="4079" max="4079" width="11" style="732" customWidth="1"/>
    <col min="4080" max="4080" width="11.140625" style="732" bestFit="1" customWidth="1"/>
    <col min="4081" max="4081" width="10.85546875" style="732" customWidth="1"/>
    <col min="4082" max="4082" width="11.5703125" style="732" customWidth="1"/>
    <col min="4083" max="4083" width="11.140625" style="732" bestFit="1" customWidth="1"/>
    <col min="4084" max="4084" width="11" style="732" customWidth="1"/>
    <col min="4085" max="4085" width="10.42578125" style="732" customWidth="1"/>
    <col min="4086" max="4086" width="11.28515625" style="732" customWidth="1"/>
    <col min="4087" max="4088" width="9.140625" style="732" bestFit="1" customWidth="1"/>
    <col min="4089" max="4090" width="11.140625" style="732" bestFit="1" customWidth="1"/>
    <col min="4091" max="4091" width="11.5703125" style="732" bestFit="1" customWidth="1"/>
    <col min="4092" max="4092" width="9.140625" style="732" bestFit="1" customWidth="1"/>
    <col min="4093" max="4093" width="10.28515625" style="732" customWidth="1"/>
    <col min="4094" max="4332" width="9.140625" style="732"/>
    <col min="4333" max="4333" width="4.28515625" style="732" bestFit="1" customWidth="1"/>
    <col min="4334" max="4334" width="6.85546875" style="732" bestFit="1" customWidth="1"/>
    <col min="4335" max="4335" width="11" style="732" customWidth="1"/>
    <col min="4336" max="4336" width="11.140625" style="732" bestFit="1" customWidth="1"/>
    <col min="4337" max="4337" width="10.85546875" style="732" customWidth="1"/>
    <col min="4338" max="4338" width="11.5703125" style="732" customWidth="1"/>
    <col min="4339" max="4339" width="11.140625" style="732" bestFit="1" customWidth="1"/>
    <col min="4340" max="4340" width="11" style="732" customWidth="1"/>
    <col min="4341" max="4341" width="10.42578125" style="732" customWidth="1"/>
    <col min="4342" max="4342" width="11.28515625" style="732" customWidth="1"/>
    <col min="4343" max="4344" width="9.140625" style="732" bestFit="1" customWidth="1"/>
    <col min="4345" max="4346" width="11.140625" style="732" bestFit="1" customWidth="1"/>
    <col min="4347" max="4347" width="11.5703125" style="732" bestFit="1" customWidth="1"/>
    <col min="4348" max="4348" width="9.140625" style="732" bestFit="1" customWidth="1"/>
    <col min="4349" max="4349" width="10.28515625" style="732" customWidth="1"/>
    <col min="4350" max="4588" width="9.140625" style="732"/>
    <col min="4589" max="4589" width="4.28515625" style="732" bestFit="1" customWidth="1"/>
    <col min="4590" max="4590" width="6.85546875" style="732" bestFit="1" customWidth="1"/>
    <col min="4591" max="4591" width="11" style="732" customWidth="1"/>
    <col min="4592" max="4592" width="11.140625" style="732" bestFit="1" customWidth="1"/>
    <col min="4593" max="4593" width="10.85546875" style="732" customWidth="1"/>
    <col min="4594" max="4594" width="11.5703125" style="732" customWidth="1"/>
    <col min="4595" max="4595" width="11.140625" style="732" bestFit="1" customWidth="1"/>
    <col min="4596" max="4596" width="11" style="732" customWidth="1"/>
    <col min="4597" max="4597" width="10.42578125" style="732" customWidth="1"/>
    <col min="4598" max="4598" width="11.28515625" style="732" customWidth="1"/>
    <col min="4599" max="4600" width="9.140625" style="732" bestFit="1" customWidth="1"/>
    <col min="4601" max="4602" width="11.140625" style="732" bestFit="1" customWidth="1"/>
    <col min="4603" max="4603" width="11.5703125" style="732" bestFit="1" customWidth="1"/>
    <col min="4604" max="4604" width="9.140625" style="732" bestFit="1" customWidth="1"/>
    <col min="4605" max="4605" width="10.28515625" style="732" customWidth="1"/>
    <col min="4606" max="4844" width="9.140625" style="732"/>
    <col min="4845" max="4845" width="4.28515625" style="732" bestFit="1" customWidth="1"/>
    <col min="4846" max="4846" width="6.85546875" style="732" bestFit="1" customWidth="1"/>
    <col min="4847" max="4847" width="11" style="732" customWidth="1"/>
    <col min="4848" max="4848" width="11.140625" style="732" bestFit="1" customWidth="1"/>
    <col min="4849" max="4849" width="10.85546875" style="732" customWidth="1"/>
    <col min="4850" max="4850" width="11.5703125" style="732" customWidth="1"/>
    <col min="4851" max="4851" width="11.140625" style="732" bestFit="1" customWidth="1"/>
    <col min="4852" max="4852" width="11" style="732" customWidth="1"/>
    <col min="4853" max="4853" width="10.42578125" style="732" customWidth="1"/>
    <col min="4854" max="4854" width="11.28515625" style="732" customWidth="1"/>
    <col min="4855" max="4856" width="9.140625" style="732" bestFit="1" customWidth="1"/>
    <col min="4857" max="4858" width="11.140625" style="732" bestFit="1" customWidth="1"/>
    <col min="4859" max="4859" width="11.5703125" style="732" bestFit="1" customWidth="1"/>
    <col min="4860" max="4860" width="9.140625" style="732" bestFit="1" customWidth="1"/>
    <col min="4861" max="4861" width="10.28515625" style="732" customWidth="1"/>
    <col min="4862" max="5100" width="9.140625" style="732"/>
    <col min="5101" max="5101" width="4.28515625" style="732" bestFit="1" customWidth="1"/>
    <col min="5102" max="5102" width="6.85546875" style="732" bestFit="1" customWidth="1"/>
    <col min="5103" max="5103" width="11" style="732" customWidth="1"/>
    <col min="5104" max="5104" width="11.140625" style="732" bestFit="1" customWidth="1"/>
    <col min="5105" max="5105" width="10.85546875" style="732" customWidth="1"/>
    <col min="5106" max="5106" width="11.5703125" style="732" customWidth="1"/>
    <col min="5107" max="5107" width="11.140625" style="732" bestFit="1" customWidth="1"/>
    <col min="5108" max="5108" width="11" style="732" customWidth="1"/>
    <col min="5109" max="5109" width="10.42578125" style="732" customWidth="1"/>
    <col min="5110" max="5110" width="11.28515625" style="732" customWidth="1"/>
    <col min="5111" max="5112" width="9.140625" style="732" bestFit="1" customWidth="1"/>
    <col min="5113" max="5114" width="11.140625" style="732" bestFit="1" customWidth="1"/>
    <col min="5115" max="5115" width="11.5703125" style="732" bestFit="1" customWidth="1"/>
    <col min="5116" max="5116" width="9.140625" style="732" bestFit="1" customWidth="1"/>
    <col min="5117" max="5117" width="10.28515625" style="732" customWidth="1"/>
    <col min="5118" max="5356" width="9.140625" style="732"/>
    <col min="5357" max="5357" width="4.28515625" style="732" bestFit="1" customWidth="1"/>
    <col min="5358" max="5358" width="6.85546875" style="732" bestFit="1" customWidth="1"/>
    <col min="5359" max="5359" width="11" style="732" customWidth="1"/>
    <col min="5360" max="5360" width="11.140625" style="732" bestFit="1" customWidth="1"/>
    <col min="5361" max="5361" width="10.85546875" style="732" customWidth="1"/>
    <col min="5362" max="5362" width="11.5703125" style="732" customWidth="1"/>
    <col min="5363" max="5363" width="11.140625" style="732" bestFit="1" customWidth="1"/>
    <col min="5364" max="5364" width="11" style="732" customWidth="1"/>
    <col min="5365" max="5365" width="10.42578125" style="732" customWidth="1"/>
    <col min="5366" max="5366" width="11.28515625" style="732" customWidth="1"/>
    <col min="5367" max="5368" width="9.140625" style="732" bestFit="1" customWidth="1"/>
    <col min="5369" max="5370" width="11.140625" style="732" bestFit="1" customWidth="1"/>
    <col min="5371" max="5371" width="11.5703125" style="732" bestFit="1" customWidth="1"/>
    <col min="5372" max="5372" width="9.140625" style="732" bestFit="1" customWidth="1"/>
    <col min="5373" max="5373" width="10.28515625" style="732" customWidth="1"/>
    <col min="5374" max="5612" width="9.140625" style="732"/>
    <col min="5613" max="5613" width="4.28515625" style="732" bestFit="1" customWidth="1"/>
    <col min="5614" max="5614" width="6.85546875" style="732" bestFit="1" customWidth="1"/>
    <col min="5615" max="5615" width="11" style="732" customWidth="1"/>
    <col min="5616" max="5616" width="11.140625" style="732" bestFit="1" customWidth="1"/>
    <col min="5617" max="5617" width="10.85546875" style="732" customWidth="1"/>
    <col min="5618" max="5618" width="11.5703125" style="732" customWidth="1"/>
    <col min="5619" max="5619" width="11.140625" style="732" bestFit="1" customWidth="1"/>
    <col min="5620" max="5620" width="11" style="732" customWidth="1"/>
    <col min="5621" max="5621" width="10.42578125" style="732" customWidth="1"/>
    <col min="5622" max="5622" width="11.28515625" style="732" customWidth="1"/>
    <col min="5623" max="5624" width="9.140625" style="732" bestFit="1" customWidth="1"/>
    <col min="5625" max="5626" width="11.140625" style="732" bestFit="1" customWidth="1"/>
    <col min="5627" max="5627" width="11.5703125" style="732" bestFit="1" customWidth="1"/>
    <col min="5628" max="5628" width="9.140625" style="732" bestFit="1" customWidth="1"/>
    <col min="5629" max="5629" width="10.28515625" style="732" customWidth="1"/>
    <col min="5630" max="5868" width="9.140625" style="732"/>
    <col min="5869" max="5869" width="4.28515625" style="732" bestFit="1" customWidth="1"/>
    <col min="5870" max="5870" width="6.85546875" style="732" bestFit="1" customWidth="1"/>
    <col min="5871" max="5871" width="11" style="732" customWidth="1"/>
    <col min="5872" max="5872" width="11.140625" style="732" bestFit="1" customWidth="1"/>
    <col min="5873" max="5873" width="10.85546875" style="732" customWidth="1"/>
    <col min="5874" max="5874" width="11.5703125" style="732" customWidth="1"/>
    <col min="5875" max="5875" width="11.140625" style="732" bestFit="1" customWidth="1"/>
    <col min="5876" max="5876" width="11" style="732" customWidth="1"/>
    <col min="5877" max="5877" width="10.42578125" style="732" customWidth="1"/>
    <col min="5878" max="5878" width="11.28515625" style="732" customWidth="1"/>
    <col min="5879" max="5880" width="9.140625" style="732" bestFit="1" customWidth="1"/>
    <col min="5881" max="5882" width="11.140625" style="732" bestFit="1" customWidth="1"/>
    <col min="5883" max="5883" width="11.5703125" style="732" bestFit="1" customWidth="1"/>
    <col min="5884" max="5884" width="9.140625" style="732" bestFit="1" customWidth="1"/>
    <col min="5885" max="5885" width="10.28515625" style="732" customWidth="1"/>
    <col min="5886" max="6124" width="9.140625" style="732"/>
    <col min="6125" max="6125" width="4.28515625" style="732" bestFit="1" customWidth="1"/>
    <col min="6126" max="6126" width="6.85546875" style="732" bestFit="1" customWidth="1"/>
    <col min="6127" max="6127" width="11" style="732" customWidth="1"/>
    <col min="6128" max="6128" width="11.140625" style="732" bestFit="1" customWidth="1"/>
    <col min="6129" max="6129" width="10.85546875" style="732" customWidth="1"/>
    <col min="6130" max="6130" width="11.5703125" style="732" customWidth="1"/>
    <col min="6131" max="6131" width="11.140625" style="732" bestFit="1" customWidth="1"/>
    <col min="6132" max="6132" width="11" style="732" customWidth="1"/>
    <col min="6133" max="6133" width="10.42578125" style="732" customWidth="1"/>
    <col min="6134" max="6134" width="11.28515625" style="732" customWidth="1"/>
    <col min="6135" max="6136" width="9.140625" style="732" bestFit="1" customWidth="1"/>
    <col min="6137" max="6138" width="11.140625" style="732" bestFit="1" customWidth="1"/>
    <col min="6139" max="6139" width="11.5703125" style="732" bestFit="1" customWidth="1"/>
    <col min="6140" max="6140" width="9.140625" style="732" bestFit="1" customWidth="1"/>
    <col min="6141" max="6141" width="10.28515625" style="732" customWidth="1"/>
    <col min="6142" max="6380" width="9.140625" style="732"/>
    <col min="6381" max="6381" width="4.28515625" style="732" bestFit="1" customWidth="1"/>
    <col min="6382" max="6382" width="6.85546875" style="732" bestFit="1" customWidth="1"/>
    <col min="6383" max="6383" width="11" style="732" customWidth="1"/>
    <col min="6384" max="6384" width="11.140625" style="732" bestFit="1" customWidth="1"/>
    <col min="6385" max="6385" width="10.85546875" style="732" customWidth="1"/>
    <col min="6386" max="6386" width="11.5703125" style="732" customWidth="1"/>
    <col min="6387" max="6387" width="11.140625" style="732" bestFit="1" customWidth="1"/>
    <col min="6388" max="6388" width="11" style="732" customWidth="1"/>
    <col min="6389" max="6389" width="10.42578125" style="732" customWidth="1"/>
    <col min="6390" max="6390" width="11.28515625" style="732" customWidth="1"/>
    <col min="6391" max="6392" width="9.140625" style="732" bestFit="1" customWidth="1"/>
    <col min="6393" max="6394" width="11.140625" style="732" bestFit="1" customWidth="1"/>
    <col min="6395" max="6395" width="11.5703125" style="732" bestFit="1" customWidth="1"/>
    <col min="6396" max="6396" width="9.140625" style="732" bestFit="1" customWidth="1"/>
    <col min="6397" max="6397" width="10.28515625" style="732" customWidth="1"/>
    <col min="6398" max="6636" width="9.140625" style="732"/>
    <col min="6637" max="6637" width="4.28515625" style="732" bestFit="1" customWidth="1"/>
    <col min="6638" max="6638" width="6.85546875" style="732" bestFit="1" customWidth="1"/>
    <col min="6639" max="6639" width="11" style="732" customWidth="1"/>
    <col min="6640" max="6640" width="11.140625" style="732" bestFit="1" customWidth="1"/>
    <col min="6641" max="6641" width="10.85546875" style="732" customWidth="1"/>
    <col min="6642" max="6642" width="11.5703125" style="732" customWidth="1"/>
    <col min="6643" max="6643" width="11.140625" style="732" bestFit="1" customWidth="1"/>
    <col min="6644" max="6644" width="11" style="732" customWidth="1"/>
    <col min="6645" max="6645" width="10.42578125" style="732" customWidth="1"/>
    <col min="6646" max="6646" width="11.28515625" style="732" customWidth="1"/>
    <col min="6647" max="6648" width="9.140625" style="732" bestFit="1" customWidth="1"/>
    <col min="6649" max="6650" width="11.140625" style="732" bestFit="1" customWidth="1"/>
    <col min="6651" max="6651" width="11.5703125" style="732" bestFit="1" customWidth="1"/>
    <col min="6652" max="6652" width="9.140625" style="732" bestFit="1" customWidth="1"/>
    <col min="6653" max="6653" width="10.28515625" style="732" customWidth="1"/>
    <col min="6654" max="6892" width="9.140625" style="732"/>
    <col min="6893" max="6893" width="4.28515625" style="732" bestFit="1" customWidth="1"/>
    <col min="6894" max="6894" width="6.85546875" style="732" bestFit="1" customWidth="1"/>
    <col min="6895" max="6895" width="11" style="732" customWidth="1"/>
    <col min="6896" max="6896" width="11.140625" style="732" bestFit="1" customWidth="1"/>
    <col min="6897" max="6897" width="10.85546875" style="732" customWidth="1"/>
    <col min="6898" max="6898" width="11.5703125" style="732" customWidth="1"/>
    <col min="6899" max="6899" width="11.140625" style="732" bestFit="1" customWidth="1"/>
    <col min="6900" max="6900" width="11" style="732" customWidth="1"/>
    <col min="6901" max="6901" width="10.42578125" style="732" customWidth="1"/>
    <col min="6902" max="6902" width="11.28515625" style="732" customWidth="1"/>
    <col min="6903" max="6904" width="9.140625" style="732" bestFit="1" customWidth="1"/>
    <col min="6905" max="6906" width="11.140625" style="732" bestFit="1" customWidth="1"/>
    <col min="6907" max="6907" width="11.5703125" style="732" bestFit="1" customWidth="1"/>
    <col min="6908" max="6908" width="9.140625" style="732" bestFit="1" customWidth="1"/>
    <col min="6909" max="6909" width="10.28515625" style="732" customWidth="1"/>
    <col min="6910" max="7148" width="9.140625" style="732"/>
    <col min="7149" max="7149" width="4.28515625" style="732" bestFit="1" customWidth="1"/>
    <col min="7150" max="7150" width="6.85546875" style="732" bestFit="1" customWidth="1"/>
    <col min="7151" max="7151" width="11" style="732" customWidth="1"/>
    <col min="7152" max="7152" width="11.140625" style="732" bestFit="1" customWidth="1"/>
    <col min="7153" max="7153" width="10.85546875" style="732" customWidth="1"/>
    <col min="7154" max="7154" width="11.5703125" style="732" customWidth="1"/>
    <col min="7155" max="7155" width="11.140625" style="732" bestFit="1" customWidth="1"/>
    <col min="7156" max="7156" width="11" style="732" customWidth="1"/>
    <col min="7157" max="7157" width="10.42578125" style="732" customWidth="1"/>
    <col min="7158" max="7158" width="11.28515625" style="732" customWidth="1"/>
    <col min="7159" max="7160" width="9.140625" style="732" bestFit="1" customWidth="1"/>
    <col min="7161" max="7162" width="11.140625" style="732" bestFit="1" customWidth="1"/>
    <col min="7163" max="7163" width="11.5703125" style="732" bestFit="1" customWidth="1"/>
    <col min="7164" max="7164" width="9.140625" style="732" bestFit="1" customWidth="1"/>
    <col min="7165" max="7165" width="10.28515625" style="732" customWidth="1"/>
    <col min="7166" max="7404" width="9.140625" style="732"/>
    <col min="7405" max="7405" width="4.28515625" style="732" bestFit="1" customWidth="1"/>
    <col min="7406" max="7406" width="6.85546875" style="732" bestFit="1" customWidth="1"/>
    <col min="7407" max="7407" width="11" style="732" customWidth="1"/>
    <col min="7408" max="7408" width="11.140625" style="732" bestFit="1" customWidth="1"/>
    <col min="7409" max="7409" width="10.85546875" style="732" customWidth="1"/>
    <col min="7410" max="7410" width="11.5703125" style="732" customWidth="1"/>
    <col min="7411" max="7411" width="11.140625" style="732" bestFit="1" customWidth="1"/>
    <col min="7412" max="7412" width="11" style="732" customWidth="1"/>
    <col min="7413" max="7413" width="10.42578125" style="732" customWidth="1"/>
    <col min="7414" max="7414" width="11.28515625" style="732" customWidth="1"/>
    <col min="7415" max="7416" width="9.140625" style="732" bestFit="1" customWidth="1"/>
    <col min="7417" max="7418" width="11.140625" style="732" bestFit="1" customWidth="1"/>
    <col min="7419" max="7419" width="11.5703125" style="732" bestFit="1" customWidth="1"/>
    <col min="7420" max="7420" width="9.140625" style="732" bestFit="1" customWidth="1"/>
    <col min="7421" max="7421" width="10.28515625" style="732" customWidth="1"/>
    <col min="7422" max="7660" width="9.140625" style="732"/>
    <col min="7661" max="7661" width="4.28515625" style="732" bestFit="1" customWidth="1"/>
    <col min="7662" max="7662" width="6.85546875" style="732" bestFit="1" customWidth="1"/>
    <col min="7663" max="7663" width="11" style="732" customWidth="1"/>
    <col min="7664" max="7664" width="11.140625" style="732" bestFit="1" customWidth="1"/>
    <col min="7665" max="7665" width="10.85546875" style="732" customWidth="1"/>
    <col min="7666" max="7666" width="11.5703125" style="732" customWidth="1"/>
    <col min="7667" max="7667" width="11.140625" style="732" bestFit="1" customWidth="1"/>
    <col min="7668" max="7668" width="11" style="732" customWidth="1"/>
    <col min="7669" max="7669" width="10.42578125" style="732" customWidth="1"/>
    <col min="7670" max="7670" width="11.28515625" style="732" customWidth="1"/>
    <col min="7671" max="7672" width="9.140625" style="732" bestFit="1" customWidth="1"/>
    <col min="7673" max="7674" width="11.140625" style="732" bestFit="1" customWidth="1"/>
    <col min="7675" max="7675" width="11.5703125" style="732" bestFit="1" customWidth="1"/>
    <col min="7676" max="7676" width="9.140625" style="732" bestFit="1" customWidth="1"/>
    <col min="7677" max="7677" width="10.28515625" style="732" customWidth="1"/>
    <col min="7678" max="7916" width="9.140625" style="732"/>
    <col min="7917" max="7917" width="4.28515625" style="732" bestFit="1" customWidth="1"/>
    <col min="7918" max="7918" width="6.85546875" style="732" bestFit="1" customWidth="1"/>
    <col min="7919" max="7919" width="11" style="732" customWidth="1"/>
    <col min="7920" max="7920" width="11.140625" style="732" bestFit="1" customWidth="1"/>
    <col min="7921" max="7921" width="10.85546875" style="732" customWidth="1"/>
    <col min="7922" max="7922" width="11.5703125" style="732" customWidth="1"/>
    <col min="7923" max="7923" width="11.140625" style="732" bestFit="1" customWidth="1"/>
    <col min="7924" max="7924" width="11" style="732" customWidth="1"/>
    <col min="7925" max="7925" width="10.42578125" style="732" customWidth="1"/>
    <col min="7926" max="7926" width="11.28515625" style="732" customWidth="1"/>
    <col min="7927" max="7928" width="9.140625" style="732" bestFit="1" customWidth="1"/>
    <col min="7929" max="7930" width="11.140625" style="732" bestFit="1" customWidth="1"/>
    <col min="7931" max="7931" width="11.5703125" style="732" bestFit="1" customWidth="1"/>
    <col min="7932" max="7932" width="9.140625" style="732" bestFit="1" customWidth="1"/>
    <col min="7933" max="7933" width="10.28515625" style="732" customWidth="1"/>
    <col min="7934" max="8172" width="9.140625" style="732"/>
    <col min="8173" max="8173" width="4.28515625" style="732" bestFit="1" customWidth="1"/>
    <col min="8174" max="8174" width="6.85546875" style="732" bestFit="1" customWidth="1"/>
    <col min="8175" max="8175" width="11" style="732" customWidth="1"/>
    <col min="8176" max="8176" width="11.140625" style="732" bestFit="1" customWidth="1"/>
    <col min="8177" max="8177" width="10.85546875" style="732" customWidth="1"/>
    <col min="8178" max="8178" width="11.5703125" style="732" customWidth="1"/>
    <col min="8179" max="8179" width="11.140625" style="732" bestFit="1" customWidth="1"/>
    <col min="8180" max="8180" width="11" style="732" customWidth="1"/>
    <col min="8181" max="8181" width="10.42578125" style="732" customWidth="1"/>
    <col min="8182" max="8182" width="11.28515625" style="732" customWidth="1"/>
    <col min="8183" max="8184" width="9.140625" style="732" bestFit="1" customWidth="1"/>
    <col min="8185" max="8186" width="11.140625" style="732" bestFit="1" customWidth="1"/>
    <col min="8187" max="8187" width="11.5703125" style="732" bestFit="1" customWidth="1"/>
    <col min="8188" max="8188" width="9.140625" style="732" bestFit="1" customWidth="1"/>
    <col min="8189" max="8189" width="10.28515625" style="732" customWidth="1"/>
    <col min="8190" max="8428" width="9.140625" style="732"/>
    <col min="8429" max="8429" width="4.28515625" style="732" bestFit="1" customWidth="1"/>
    <col min="8430" max="8430" width="6.85546875" style="732" bestFit="1" customWidth="1"/>
    <col min="8431" max="8431" width="11" style="732" customWidth="1"/>
    <col min="8432" max="8432" width="11.140625" style="732" bestFit="1" customWidth="1"/>
    <col min="8433" max="8433" width="10.85546875" style="732" customWidth="1"/>
    <col min="8434" max="8434" width="11.5703125" style="732" customWidth="1"/>
    <col min="8435" max="8435" width="11.140625" style="732" bestFit="1" customWidth="1"/>
    <col min="8436" max="8436" width="11" style="732" customWidth="1"/>
    <col min="8437" max="8437" width="10.42578125" style="732" customWidth="1"/>
    <col min="8438" max="8438" width="11.28515625" style="732" customWidth="1"/>
    <col min="8439" max="8440" width="9.140625" style="732" bestFit="1" customWidth="1"/>
    <col min="8441" max="8442" width="11.140625" style="732" bestFit="1" customWidth="1"/>
    <col min="8443" max="8443" width="11.5703125" style="732" bestFit="1" customWidth="1"/>
    <col min="8444" max="8444" width="9.140625" style="732" bestFit="1" customWidth="1"/>
    <col min="8445" max="8445" width="10.28515625" style="732" customWidth="1"/>
    <col min="8446" max="8684" width="9.140625" style="732"/>
    <col min="8685" max="8685" width="4.28515625" style="732" bestFit="1" customWidth="1"/>
    <col min="8686" max="8686" width="6.85546875" style="732" bestFit="1" customWidth="1"/>
    <col min="8687" max="8687" width="11" style="732" customWidth="1"/>
    <col min="8688" max="8688" width="11.140625" style="732" bestFit="1" customWidth="1"/>
    <col min="8689" max="8689" width="10.85546875" style="732" customWidth="1"/>
    <col min="8690" max="8690" width="11.5703125" style="732" customWidth="1"/>
    <col min="8691" max="8691" width="11.140625" style="732" bestFit="1" customWidth="1"/>
    <col min="8692" max="8692" width="11" style="732" customWidth="1"/>
    <col min="8693" max="8693" width="10.42578125" style="732" customWidth="1"/>
    <col min="8694" max="8694" width="11.28515625" style="732" customWidth="1"/>
    <col min="8695" max="8696" width="9.140625" style="732" bestFit="1" customWidth="1"/>
    <col min="8697" max="8698" width="11.140625" style="732" bestFit="1" customWidth="1"/>
    <col min="8699" max="8699" width="11.5703125" style="732" bestFit="1" customWidth="1"/>
    <col min="8700" max="8700" width="9.140625" style="732" bestFit="1" customWidth="1"/>
    <col min="8701" max="8701" width="10.28515625" style="732" customWidth="1"/>
    <col min="8702" max="8940" width="9.140625" style="732"/>
    <col min="8941" max="8941" width="4.28515625" style="732" bestFit="1" customWidth="1"/>
    <col min="8942" max="8942" width="6.85546875" style="732" bestFit="1" customWidth="1"/>
    <col min="8943" max="8943" width="11" style="732" customWidth="1"/>
    <col min="8944" max="8944" width="11.140625" style="732" bestFit="1" customWidth="1"/>
    <col min="8945" max="8945" width="10.85546875" style="732" customWidth="1"/>
    <col min="8946" max="8946" width="11.5703125" style="732" customWidth="1"/>
    <col min="8947" max="8947" width="11.140625" style="732" bestFit="1" customWidth="1"/>
    <col min="8948" max="8948" width="11" style="732" customWidth="1"/>
    <col min="8949" max="8949" width="10.42578125" style="732" customWidth="1"/>
    <col min="8950" max="8950" width="11.28515625" style="732" customWidth="1"/>
    <col min="8951" max="8952" width="9.140625" style="732" bestFit="1" customWidth="1"/>
    <col min="8953" max="8954" width="11.140625" style="732" bestFit="1" customWidth="1"/>
    <col min="8955" max="8955" width="11.5703125" style="732" bestFit="1" customWidth="1"/>
    <col min="8956" max="8956" width="9.140625" style="732" bestFit="1" customWidth="1"/>
    <col min="8957" max="8957" width="10.28515625" style="732" customWidth="1"/>
    <col min="8958" max="9196" width="9.140625" style="732"/>
    <col min="9197" max="9197" width="4.28515625" style="732" bestFit="1" customWidth="1"/>
    <col min="9198" max="9198" width="6.85546875" style="732" bestFit="1" customWidth="1"/>
    <col min="9199" max="9199" width="11" style="732" customWidth="1"/>
    <col min="9200" max="9200" width="11.140625" style="732" bestFit="1" customWidth="1"/>
    <col min="9201" max="9201" width="10.85546875" style="732" customWidth="1"/>
    <col min="9202" max="9202" width="11.5703125" style="732" customWidth="1"/>
    <col min="9203" max="9203" width="11.140625" style="732" bestFit="1" customWidth="1"/>
    <col min="9204" max="9204" width="11" style="732" customWidth="1"/>
    <col min="9205" max="9205" width="10.42578125" style="732" customWidth="1"/>
    <col min="9206" max="9206" width="11.28515625" style="732" customWidth="1"/>
    <col min="9207" max="9208" width="9.140625" style="732" bestFit="1" customWidth="1"/>
    <col min="9209" max="9210" width="11.140625" style="732" bestFit="1" customWidth="1"/>
    <col min="9211" max="9211" width="11.5703125" style="732" bestFit="1" customWidth="1"/>
    <col min="9212" max="9212" width="9.140625" style="732" bestFit="1" customWidth="1"/>
    <col min="9213" max="9213" width="10.28515625" style="732" customWidth="1"/>
    <col min="9214" max="9452" width="9.140625" style="732"/>
    <col min="9453" max="9453" width="4.28515625" style="732" bestFit="1" customWidth="1"/>
    <col min="9454" max="9454" width="6.85546875" style="732" bestFit="1" customWidth="1"/>
    <col min="9455" max="9455" width="11" style="732" customWidth="1"/>
    <col min="9456" max="9456" width="11.140625" style="732" bestFit="1" customWidth="1"/>
    <col min="9457" max="9457" width="10.85546875" style="732" customWidth="1"/>
    <col min="9458" max="9458" width="11.5703125" style="732" customWidth="1"/>
    <col min="9459" max="9459" width="11.140625" style="732" bestFit="1" customWidth="1"/>
    <col min="9460" max="9460" width="11" style="732" customWidth="1"/>
    <col min="9461" max="9461" width="10.42578125" style="732" customWidth="1"/>
    <col min="9462" max="9462" width="11.28515625" style="732" customWidth="1"/>
    <col min="9463" max="9464" width="9.140625" style="732" bestFit="1" customWidth="1"/>
    <col min="9465" max="9466" width="11.140625" style="732" bestFit="1" customWidth="1"/>
    <col min="9467" max="9467" width="11.5703125" style="732" bestFit="1" customWidth="1"/>
    <col min="9468" max="9468" width="9.140625" style="732" bestFit="1" customWidth="1"/>
    <col min="9469" max="9469" width="10.28515625" style="732" customWidth="1"/>
    <col min="9470" max="9708" width="9.140625" style="732"/>
    <col min="9709" max="9709" width="4.28515625" style="732" bestFit="1" customWidth="1"/>
    <col min="9710" max="9710" width="6.85546875" style="732" bestFit="1" customWidth="1"/>
    <col min="9711" max="9711" width="11" style="732" customWidth="1"/>
    <col min="9712" max="9712" width="11.140625" style="732" bestFit="1" customWidth="1"/>
    <col min="9713" max="9713" width="10.85546875" style="732" customWidth="1"/>
    <col min="9714" max="9714" width="11.5703125" style="732" customWidth="1"/>
    <col min="9715" max="9715" width="11.140625" style="732" bestFit="1" customWidth="1"/>
    <col min="9716" max="9716" width="11" style="732" customWidth="1"/>
    <col min="9717" max="9717" width="10.42578125" style="732" customWidth="1"/>
    <col min="9718" max="9718" width="11.28515625" style="732" customWidth="1"/>
    <col min="9719" max="9720" width="9.140625" style="732" bestFit="1" customWidth="1"/>
    <col min="9721" max="9722" width="11.140625" style="732" bestFit="1" customWidth="1"/>
    <col min="9723" max="9723" width="11.5703125" style="732" bestFit="1" customWidth="1"/>
    <col min="9724" max="9724" width="9.140625" style="732" bestFit="1" customWidth="1"/>
    <col min="9725" max="9725" width="10.28515625" style="732" customWidth="1"/>
    <col min="9726" max="9964" width="9.140625" style="732"/>
    <col min="9965" max="9965" width="4.28515625" style="732" bestFit="1" customWidth="1"/>
    <col min="9966" max="9966" width="6.85546875" style="732" bestFit="1" customWidth="1"/>
    <col min="9967" max="9967" width="11" style="732" customWidth="1"/>
    <col min="9968" max="9968" width="11.140625" style="732" bestFit="1" customWidth="1"/>
    <col min="9969" max="9969" width="10.85546875" style="732" customWidth="1"/>
    <col min="9970" max="9970" width="11.5703125" style="732" customWidth="1"/>
    <col min="9971" max="9971" width="11.140625" style="732" bestFit="1" customWidth="1"/>
    <col min="9972" max="9972" width="11" style="732" customWidth="1"/>
    <col min="9973" max="9973" width="10.42578125" style="732" customWidth="1"/>
    <col min="9974" max="9974" width="11.28515625" style="732" customWidth="1"/>
    <col min="9975" max="9976" width="9.140625" style="732" bestFit="1" customWidth="1"/>
    <col min="9977" max="9978" width="11.140625" style="732" bestFit="1" customWidth="1"/>
    <col min="9979" max="9979" width="11.5703125" style="732" bestFit="1" customWidth="1"/>
    <col min="9980" max="9980" width="9.140625" style="732" bestFit="1" customWidth="1"/>
    <col min="9981" max="9981" width="10.28515625" style="732" customWidth="1"/>
    <col min="9982" max="10220" width="9.140625" style="732"/>
    <col min="10221" max="10221" width="4.28515625" style="732" bestFit="1" customWidth="1"/>
    <col min="10222" max="10222" width="6.85546875" style="732" bestFit="1" customWidth="1"/>
    <col min="10223" max="10223" width="11" style="732" customWidth="1"/>
    <col min="10224" max="10224" width="11.140625" style="732" bestFit="1" customWidth="1"/>
    <col min="10225" max="10225" width="10.85546875" style="732" customWidth="1"/>
    <col min="10226" max="10226" width="11.5703125" style="732" customWidth="1"/>
    <col min="10227" max="10227" width="11.140625" style="732" bestFit="1" customWidth="1"/>
    <col min="10228" max="10228" width="11" style="732" customWidth="1"/>
    <col min="10229" max="10229" width="10.42578125" style="732" customWidth="1"/>
    <col min="10230" max="10230" width="11.28515625" style="732" customWidth="1"/>
    <col min="10231" max="10232" width="9.140625" style="732" bestFit="1" customWidth="1"/>
    <col min="10233" max="10234" width="11.140625" style="732" bestFit="1" customWidth="1"/>
    <col min="10235" max="10235" width="11.5703125" style="732" bestFit="1" customWidth="1"/>
    <col min="10236" max="10236" width="9.140625" style="732" bestFit="1" customWidth="1"/>
    <col min="10237" max="10237" width="10.28515625" style="732" customWidth="1"/>
    <col min="10238" max="10476" width="9.140625" style="732"/>
    <col min="10477" max="10477" width="4.28515625" style="732" bestFit="1" customWidth="1"/>
    <col min="10478" max="10478" width="6.85546875" style="732" bestFit="1" customWidth="1"/>
    <col min="10479" max="10479" width="11" style="732" customWidth="1"/>
    <col min="10480" max="10480" width="11.140625" style="732" bestFit="1" customWidth="1"/>
    <col min="10481" max="10481" width="10.85546875" style="732" customWidth="1"/>
    <col min="10482" max="10482" width="11.5703125" style="732" customWidth="1"/>
    <col min="10483" max="10483" width="11.140625" style="732" bestFit="1" customWidth="1"/>
    <col min="10484" max="10484" width="11" style="732" customWidth="1"/>
    <col min="10485" max="10485" width="10.42578125" style="732" customWidth="1"/>
    <col min="10486" max="10486" width="11.28515625" style="732" customWidth="1"/>
    <col min="10487" max="10488" width="9.140625" style="732" bestFit="1" customWidth="1"/>
    <col min="10489" max="10490" width="11.140625" style="732" bestFit="1" customWidth="1"/>
    <col min="10491" max="10491" width="11.5703125" style="732" bestFit="1" customWidth="1"/>
    <col min="10492" max="10492" width="9.140625" style="732" bestFit="1" customWidth="1"/>
    <col min="10493" max="10493" width="10.28515625" style="732" customWidth="1"/>
    <col min="10494" max="10732" width="9.140625" style="732"/>
    <col min="10733" max="10733" width="4.28515625" style="732" bestFit="1" customWidth="1"/>
    <col min="10734" max="10734" width="6.85546875" style="732" bestFit="1" customWidth="1"/>
    <col min="10735" max="10735" width="11" style="732" customWidth="1"/>
    <col min="10736" max="10736" width="11.140625" style="732" bestFit="1" customWidth="1"/>
    <col min="10737" max="10737" width="10.85546875" style="732" customWidth="1"/>
    <col min="10738" max="10738" width="11.5703125" style="732" customWidth="1"/>
    <col min="10739" max="10739" width="11.140625" style="732" bestFit="1" customWidth="1"/>
    <col min="10740" max="10740" width="11" style="732" customWidth="1"/>
    <col min="10741" max="10741" width="10.42578125" style="732" customWidth="1"/>
    <col min="10742" max="10742" width="11.28515625" style="732" customWidth="1"/>
    <col min="10743" max="10744" width="9.140625" style="732" bestFit="1" customWidth="1"/>
    <col min="10745" max="10746" width="11.140625" style="732" bestFit="1" customWidth="1"/>
    <col min="10747" max="10747" width="11.5703125" style="732" bestFit="1" customWidth="1"/>
    <col min="10748" max="10748" width="9.140625" style="732" bestFit="1" customWidth="1"/>
    <col min="10749" max="10749" width="10.28515625" style="732" customWidth="1"/>
    <col min="10750" max="10988" width="9.140625" style="732"/>
    <col min="10989" max="10989" width="4.28515625" style="732" bestFit="1" customWidth="1"/>
    <col min="10990" max="10990" width="6.85546875" style="732" bestFit="1" customWidth="1"/>
    <col min="10991" max="10991" width="11" style="732" customWidth="1"/>
    <col min="10992" max="10992" width="11.140625" style="732" bestFit="1" customWidth="1"/>
    <col min="10993" max="10993" width="10.85546875" style="732" customWidth="1"/>
    <col min="10994" max="10994" width="11.5703125" style="732" customWidth="1"/>
    <col min="10995" max="10995" width="11.140625" style="732" bestFit="1" customWidth="1"/>
    <col min="10996" max="10996" width="11" style="732" customWidth="1"/>
    <col min="10997" max="10997" width="10.42578125" style="732" customWidth="1"/>
    <col min="10998" max="10998" width="11.28515625" style="732" customWidth="1"/>
    <col min="10999" max="11000" width="9.140625" style="732" bestFit="1" customWidth="1"/>
    <col min="11001" max="11002" width="11.140625" style="732" bestFit="1" customWidth="1"/>
    <col min="11003" max="11003" width="11.5703125" style="732" bestFit="1" customWidth="1"/>
    <col min="11004" max="11004" width="9.140625" style="732" bestFit="1" customWidth="1"/>
    <col min="11005" max="11005" width="10.28515625" style="732" customWidth="1"/>
    <col min="11006" max="11244" width="9.140625" style="732"/>
    <col min="11245" max="11245" width="4.28515625" style="732" bestFit="1" customWidth="1"/>
    <col min="11246" max="11246" width="6.85546875" style="732" bestFit="1" customWidth="1"/>
    <col min="11247" max="11247" width="11" style="732" customWidth="1"/>
    <col min="11248" max="11248" width="11.140625" style="732" bestFit="1" customWidth="1"/>
    <col min="11249" max="11249" width="10.85546875" style="732" customWidth="1"/>
    <col min="11250" max="11250" width="11.5703125" style="732" customWidth="1"/>
    <col min="11251" max="11251" width="11.140625" style="732" bestFit="1" customWidth="1"/>
    <col min="11252" max="11252" width="11" style="732" customWidth="1"/>
    <col min="11253" max="11253" width="10.42578125" style="732" customWidth="1"/>
    <col min="11254" max="11254" width="11.28515625" style="732" customWidth="1"/>
    <col min="11255" max="11256" width="9.140625" style="732" bestFit="1" customWidth="1"/>
    <col min="11257" max="11258" width="11.140625" style="732" bestFit="1" customWidth="1"/>
    <col min="11259" max="11259" width="11.5703125" style="732" bestFit="1" customWidth="1"/>
    <col min="11260" max="11260" width="9.140625" style="732" bestFit="1" customWidth="1"/>
    <col min="11261" max="11261" width="10.28515625" style="732" customWidth="1"/>
    <col min="11262" max="11500" width="9.140625" style="732"/>
    <col min="11501" max="11501" width="4.28515625" style="732" bestFit="1" customWidth="1"/>
    <col min="11502" max="11502" width="6.85546875" style="732" bestFit="1" customWidth="1"/>
    <col min="11503" max="11503" width="11" style="732" customWidth="1"/>
    <col min="11504" max="11504" width="11.140625" style="732" bestFit="1" customWidth="1"/>
    <col min="11505" max="11505" width="10.85546875" style="732" customWidth="1"/>
    <col min="11506" max="11506" width="11.5703125" style="732" customWidth="1"/>
    <col min="11507" max="11507" width="11.140625" style="732" bestFit="1" customWidth="1"/>
    <col min="11508" max="11508" width="11" style="732" customWidth="1"/>
    <col min="11509" max="11509" width="10.42578125" style="732" customWidth="1"/>
    <col min="11510" max="11510" width="11.28515625" style="732" customWidth="1"/>
    <col min="11511" max="11512" width="9.140625" style="732" bestFit="1" customWidth="1"/>
    <col min="11513" max="11514" width="11.140625" style="732" bestFit="1" customWidth="1"/>
    <col min="11515" max="11515" width="11.5703125" style="732" bestFit="1" customWidth="1"/>
    <col min="11516" max="11516" width="9.140625" style="732" bestFit="1" customWidth="1"/>
    <col min="11517" max="11517" width="10.28515625" style="732" customWidth="1"/>
    <col min="11518" max="11756" width="9.140625" style="732"/>
    <col min="11757" max="11757" width="4.28515625" style="732" bestFit="1" customWidth="1"/>
    <col min="11758" max="11758" width="6.85546875" style="732" bestFit="1" customWidth="1"/>
    <col min="11759" max="11759" width="11" style="732" customWidth="1"/>
    <col min="11760" max="11760" width="11.140625" style="732" bestFit="1" customWidth="1"/>
    <col min="11761" max="11761" width="10.85546875" style="732" customWidth="1"/>
    <col min="11762" max="11762" width="11.5703125" style="732" customWidth="1"/>
    <col min="11763" max="11763" width="11.140625" style="732" bestFit="1" customWidth="1"/>
    <col min="11764" max="11764" width="11" style="732" customWidth="1"/>
    <col min="11765" max="11765" width="10.42578125" style="732" customWidth="1"/>
    <col min="11766" max="11766" width="11.28515625" style="732" customWidth="1"/>
    <col min="11767" max="11768" width="9.140625" style="732" bestFit="1" customWidth="1"/>
    <col min="11769" max="11770" width="11.140625" style="732" bestFit="1" customWidth="1"/>
    <col min="11771" max="11771" width="11.5703125" style="732" bestFit="1" customWidth="1"/>
    <col min="11772" max="11772" width="9.140625" style="732" bestFit="1" customWidth="1"/>
    <col min="11773" max="11773" width="10.28515625" style="732" customWidth="1"/>
    <col min="11774" max="12012" width="9.140625" style="732"/>
    <col min="12013" max="12013" width="4.28515625" style="732" bestFit="1" customWidth="1"/>
    <col min="12014" max="12014" width="6.85546875" style="732" bestFit="1" customWidth="1"/>
    <col min="12015" max="12015" width="11" style="732" customWidth="1"/>
    <col min="12016" max="12016" width="11.140625" style="732" bestFit="1" customWidth="1"/>
    <col min="12017" max="12017" width="10.85546875" style="732" customWidth="1"/>
    <col min="12018" max="12018" width="11.5703125" style="732" customWidth="1"/>
    <col min="12019" max="12019" width="11.140625" style="732" bestFit="1" customWidth="1"/>
    <col min="12020" max="12020" width="11" style="732" customWidth="1"/>
    <col min="12021" max="12021" width="10.42578125" style="732" customWidth="1"/>
    <col min="12022" max="12022" width="11.28515625" style="732" customWidth="1"/>
    <col min="12023" max="12024" width="9.140625" style="732" bestFit="1" customWidth="1"/>
    <col min="12025" max="12026" width="11.140625" style="732" bestFit="1" customWidth="1"/>
    <col min="12027" max="12027" width="11.5703125" style="732" bestFit="1" customWidth="1"/>
    <col min="12028" max="12028" width="9.140625" style="732" bestFit="1" customWidth="1"/>
    <col min="12029" max="12029" width="10.28515625" style="732" customWidth="1"/>
    <col min="12030" max="12268" width="9.140625" style="732"/>
    <col min="12269" max="12269" width="4.28515625" style="732" bestFit="1" customWidth="1"/>
    <col min="12270" max="12270" width="6.85546875" style="732" bestFit="1" customWidth="1"/>
    <col min="12271" max="12271" width="11" style="732" customWidth="1"/>
    <col min="12272" max="12272" width="11.140625" style="732" bestFit="1" customWidth="1"/>
    <col min="12273" max="12273" width="10.85546875" style="732" customWidth="1"/>
    <col min="12274" max="12274" width="11.5703125" style="732" customWidth="1"/>
    <col min="12275" max="12275" width="11.140625" style="732" bestFit="1" customWidth="1"/>
    <col min="12276" max="12276" width="11" style="732" customWidth="1"/>
    <col min="12277" max="12277" width="10.42578125" style="732" customWidth="1"/>
    <col min="12278" max="12278" width="11.28515625" style="732" customWidth="1"/>
    <col min="12279" max="12280" width="9.140625" style="732" bestFit="1" customWidth="1"/>
    <col min="12281" max="12282" width="11.140625" style="732" bestFit="1" customWidth="1"/>
    <col min="12283" max="12283" width="11.5703125" style="732" bestFit="1" customWidth="1"/>
    <col min="12284" max="12284" width="9.140625" style="732" bestFit="1" customWidth="1"/>
    <col min="12285" max="12285" width="10.28515625" style="732" customWidth="1"/>
    <col min="12286" max="12524" width="9.140625" style="732"/>
    <col min="12525" max="12525" width="4.28515625" style="732" bestFit="1" customWidth="1"/>
    <col min="12526" max="12526" width="6.85546875" style="732" bestFit="1" customWidth="1"/>
    <col min="12527" max="12527" width="11" style="732" customWidth="1"/>
    <col min="12528" max="12528" width="11.140625" style="732" bestFit="1" customWidth="1"/>
    <col min="12529" max="12529" width="10.85546875" style="732" customWidth="1"/>
    <col min="12530" max="12530" width="11.5703125" style="732" customWidth="1"/>
    <col min="12531" max="12531" width="11.140625" style="732" bestFit="1" customWidth="1"/>
    <col min="12532" max="12532" width="11" style="732" customWidth="1"/>
    <col min="12533" max="12533" width="10.42578125" style="732" customWidth="1"/>
    <col min="12534" max="12534" width="11.28515625" style="732" customWidth="1"/>
    <col min="12535" max="12536" width="9.140625" style="732" bestFit="1" customWidth="1"/>
    <col min="12537" max="12538" width="11.140625" style="732" bestFit="1" customWidth="1"/>
    <col min="12539" max="12539" width="11.5703125" style="732" bestFit="1" customWidth="1"/>
    <col min="12540" max="12540" width="9.140625" style="732" bestFit="1" customWidth="1"/>
    <col min="12541" max="12541" width="10.28515625" style="732" customWidth="1"/>
    <col min="12542" max="12780" width="9.140625" style="732"/>
    <col min="12781" max="12781" width="4.28515625" style="732" bestFit="1" customWidth="1"/>
    <col min="12782" max="12782" width="6.85546875" style="732" bestFit="1" customWidth="1"/>
    <col min="12783" max="12783" width="11" style="732" customWidth="1"/>
    <col min="12784" max="12784" width="11.140625" style="732" bestFit="1" customWidth="1"/>
    <col min="12785" max="12785" width="10.85546875" style="732" customWidth="1"/>
    <col min="12786" max="12786" width="11.5703125" style="732" customWidth="1"/>
    <col min="12787" max="12787" width="11.140625" style="732" bestFit="1" customWidth="1"/>
    <col min="12788" max="12788" width="11" style="732" customWidth="1"/>
    <col min="12789" max="12789" width="10.42578125" style="732" customWidth="1"/>
    <col min="12790" max="12790" width="11.28515625" style="732" customWidth="1"/>
    <col min="12791" max="12792" width="9.140625" style="732" bestFit="1" customWidth="1"/>
    <col min="12793" max="12794" width="11.140625" style="732" bestFit="1" customWidth="1"/>
    <col min="12795" max="12795" width="11.5703125" style="732" bestFit="1" customWidth="1"/>
    <col min="12796" max="12796" width="9.140625" style="732" bestFit="1" customWidth="1"/>
    <col min="12797" max="12797" width="10.28515625" style="732" customWidth="1"/>
    <col min="12798" max="13036" width="9.140625" style="732"/>
    <col min="13037" max="13037" width="4.28515625" style="732" bestFit="1" customWidth="1"/>
    <col min="13038" max="13038" width="6.85546875" style="732" bestFit="1" customWidth="1"/>
    <col min="13039" max="13039" width="11" style="732" customWidth="1"/>
    <col min="13040" max="13040" width="11.140625" style="732" bestFit="1" customWidth="1"/>
    <col min="13041" max="13041" width="10.85546875" style="732" customWidth="1"/>
    <col min="13042" max="13042" width="11.5703125" style="732" customWidth="1"/>
    <col min="13043" max="13043" width="11.140625" style="732" bestFit="1" customWidth="1"/>
    <col min="13044" max="13044" width="11" style="732" customWidth="1"/>
    <col min="13045" max="13045" width="10.42578125" style="732" customWidth="1"/>
    <col min="13046" max="13046" width="11.28515625" style="732" customWidth="1"/>
    <col min="13047" max="13048" width="9.140625" style="732" bestFit="1" customWidth="1"/>
    <col min="13049" max="13050" width="11.140625" style="732" bestFit="1" customWidth="1"/>
    <col min="13051" max="13051" width="11.5703125" style="732" bestFit="1" customWidth="1"/>
    <col min="13052" max="13052" width="9.140625" style="732" bestFit="1" customWidth="1"/>
    <col min="13053" max="13053" width="10.28515625" style="732" customWidth="1"/>
    <col min="13054" max="13292" width="9.140625" style="732"/>
    <col min="13293" max="13293" width="4.28515625" style="732" bestFit="1" customWidth="1"/>
    <col min="13294" max="13294" width="6.85546875" style="732" bestFit="1" customWidth="1"/>
    <col min="13295" max="13295" width="11" style="732" customWidth="1"/>
    <col min="13296" max="13296" width="11.140625" style="732" bestFit="1" customWidth="1"/>
    <col min="13297" max="13297" width="10.85546875" style="732" customWidth="1"/>
    <col min="13298" max="13298" width="11.5703125" style="732" customWidth="1"/>
    <col min="13299" max="13299" width="11.140625" style="732" bestFit="1" customWidth="1"/>
    <col min="13300" max="13300" width="11" style="732" customWidth="1"/>
    <col min="13301" max="13301" width="10.42578125" style="732" customWidth="1"/>
    <col min="13302" max="13302" width="11.28515625" style="732" customWidth="1"/>
    <col min="13303" max="13304" width="9.140625" style="732" bestFit="1" customWidth="1"/>
    <col min="13305" max="13306" width="11.140625" style="732" bestFit="1" customWidth="1"/>
    <col min="13307" max="13307" width="11.5703125" style="732" bestFit="1" customWidth="1"/>
    <col min="13308" max="13308" width="9.140625" style="732" bestFit="1" customWidth="1"/>
    <col min="13309" max="13309" width="10.28515625" style="732" customWidth="1"/>
    <col min="13310" max="13548" width="9.140625" style="732"/>
    <col min="13549" max="13549" width="4.28515625" style="732" bestFit="1" customWidth="1"/>
    <col min="13550" max="13550" width="6.85546875" style="732" bestFit="1" customWidth="1"/>
    <col min="13551" max="13551" width="11" style="732" customWidth="1"/>
    <col min="13552" max="13552" width="11.140625" style="732" bestFit="1" customWidth="1"/>
    <col min="13553" max="13553" width="10.85546875" style="732" customWidth="1"/>
    <col min="13554" max="13554" width="11.5703125" style="732" customWidth="1"/>
    <col min="13555" max="13555" width="11.140625" style="732" bestFit="1" customWidth="1"/>
    <col min="13556" max="13556" width="11" style="732" customWidth="1"/>
    <col min="13557" max="13557" width="10.42578125" style="732" customWidth="1"/>
    <col min="13558" max="13558" width="11.28515625" style="732" customWidth="1"/>
    <col min="13559" max="13560" width="9.140625" style="732" bestFit="1" customWidth="1"/>
    <col min="13561" max="13562" width="11.140625" style="732" bestFit="1" customWidth="1"/>
    <col min="13563" max="13563" width="11.5703125" style="732" bestFit="1" customWidth="1"/>
    <col min="13564" max="13564" width="9.140625" style="732" bestFit="1" customWidth="1"/>
    <col min="13565" max="13565" width="10.28515625" style="732" customWidth="1"/>
    <col min="13566" max="13804" width="9.140625" style="732"/>
    <col min="13805" max="13805" width="4.28515625" style="732" bestFit="1" customWidth="1"/>
    <col min="13806" max="13806" width="6.85546875" style="732" bestFit="1" customWidth="1"/>
    <col min="13807" max="13807" width="11" style="732" customWidth="1"/>
    <col min="13808" max="13808" width="11.140625" style="732" bestFit="1" customWidth="1"/>
    <col min="13809" max="13809" width="10.85546875" style="732" customWidth="1"/>
    <col min="13810" max="13810" width="11.5703125" style="732" customWidth="1"/>
    <col min="13811" max="13811" width="11.140625" style="732" bestFit="1" customWidth="1"/>
    <col min="13812" max="13812" width="11" style="732" customWidth="1"/>
    <col min="13813" max="13813" width="10.42578125" style="732" customWidth="1"/>
    <col min="13814" max="13814" width="11.28515625" style="732" customWidth="1"/>
    <col min="13815" max="13816" width="9.140625" style="732" bestFit="1" customWidth="1"/>
    <col min="13817" max="13818" width="11.140625" style="732" bestFit="1" customWidth="1"/>
    <col min="13819" max="13819" width="11.5703125" style="732" bestFit="1" customWidth="1"/>
    <col min="13820" max="13820" width="9.140625" style="732" bestFit="1" customWidth="1"/>
    <col min="13821" max="13821" width="10.28515625" style="732" customWidth="1"/>
    <col min="13822" max="14060" width="9.140625" style="732"/>
    <col min="14061" max="14061" width="4.28515625" style="732" bestFit="1" customWidth="1"/>
    <col min="14062" max="14062" width="6.85546875" style="732" bestFit="1" customWidth="1"/>
    <col min="14063" max="14063" width="11" style="732" customWidth="1"/>
    <col min="14064" max="14064" width="11.140625" style="732" bestFit="1" customWidth="1"/>
    <col min="14065" max="14065" width="10.85546875" style="732" customWidth="1"/>
    <col min="14066" max="14066" width="11.5703125" style="732" customWidth="1"/>
    <col min="14067" max="14067" width="11.140625" style="732" bestFit="1" customWidth="1"/>
    <col min="14068" max="14068" width="11" style="732" customWidth="1"/>
    <col min="14069" max="14069" width="10.42578125" style="732" customWidth="1"/>
    <col min="14070" max="14070" width="11.28515625" style="732" customWidth="1"/>
    <col min="14071" max="14072" width="9.140625" style="732" bestFit="1" customWidth="1"/>
    <col min="14073" max="14074" width="11.140625" style="732" bestFit="1" customWidth="1"/>
    <col min="14075" max="14075" width="11.5703125" style="732" bestFit="1" customWidth="1"/>
    <col min="14076" max="14076" width="9.140625" style="732" bestFit="1" customWidth="1"/>
    <col min="14077" max="14077" width="10.28515625" style="732" customWidth="1"/>
    <col min="14078" max="14316" width="9.140625" style="732"/>
    <col min="14317" max="14317" width="4.28515625" style="732" bestFit="1" customWidth="1"/>
    <col min="14318" max="14318" width="6.85546875" style="732" bestFit="1" customWidth="1"/>
    <col min="14319" max="14319" width="11" style="732" customWidth="1"/>
    <col min="14320" max="14320" width="11.140625" style="732" bestFit="1" customWidth="1"/>
    <col min="14321" max="14321" width="10.85546875" style="732" customWidth="1"/>
    <col min="14322" max="14322" width="11.5703125" style="732" customWidth="1"/>
    <col min="14323" max="14323" width="11.140625" style="732" bestFit="1" customWidth="1"/>
    <col min="14324" max="14324" width="11" style="732" customWidth="1"/>
    <col min="14325" max="14325" width="10.42578125" style="732" customWidth="1"/>
    <col min="14326" max="14326" width="11.28515625" style="732" customWidth="1"/>
    <col min="14327" max="14328" width="9.140625" style="732" bestFit="1" customWidth="1"/>
    <col min="14329" max="14330" width="11.140625" style="732" bestFit="1" customWidth="1"/>
    <col min="14331" max="14331" width="11.5703125" style="732" bestFit="1" customWidth="1"/>
    <col min="14332" max="14332" width="9.140625" style="732" bestFit="1" customWidth="1"/>
    <col min="14333" max="14333" width="10.28515625" style="732" customWidth="1"/>
    <col min="14334" max="14572" width="9.140625" style="732"/>
    <col min="14573" max="14573" width="4.28515625" style="732" bestFit="1" customWidth="1"/>
    <col min="14574" max="14574" width="6.85546875" style="732" bestFit="1" customWidth="1"/>
    <col min="14575" max="14575" width="11" style="732" customWidth="1"/>
    <col min="14576" max="14576" width="11.140625" style="732" bestFit="1" customWidth="1"/>
    <col min="14577" max="14577" width="10.85546875" style="732" customWidth="1"/>
    <col min="14578" max="14578" width="11.5703125" style="732" customWidth="1"/>
    <col min="14579" max="14579" width="11.140625" style="732" bestFit="1" customWidth="1"/>
    <col min="14580" max="14580" width="11" style="732" customWidth="1"/>
    <col min="14581" max="14581" width="10.42578125" style="732" customWidth="1"/>
    <col min="14582" max="14582" width="11.28515625" style="732" customWidth="1"/>
    <col min="14583" max="14584" width="9.140625" style="732" bestFit="1" customWidth="1"/>
    <col min="14585" max="14586" width="11.140625" style="732" bestFit="1" customWidth="1"/>
    <col min="14587" max="14587" width="11.5703125" style="732" bestFit="1" customWidth="1"/>
    <col min="14588" max="14588" width="9.140625" style="732" bestFit="1" customWidth="1"/>
    <col min="14589" max="14589" width="10.28515625" style="732" customWidth="1"/>
    <col min="14590" max="14828" width="9.140625" style="732"/>
    <col min="14829" max="14829" width="4.28515625" style="732" bestFit="1" customWidth="1"/>
    <col min="14830" max="14830" width="6.85546875" style="732" bestFit="1" customWidth="1"/>
    <col min="14831" max="14831" width="11" style="732" customWidth="1"/>
    <col min="14832" max="14832" width="11.140625" style="732" bestFit="1" customWidth="1"/>
    <col min="14833" max="14833" width="10.85546875" style="732" customWidth="1"/>
    <col min="14834" max="14834" width="11.5703125" style="732" customWidth="1"/>
    <col min="14835" max="14835" width="11.140625" style="732" bestFit="1" customWidth="1"/>
    <col min="14836" max="14836" width="11" style="732" customWidth="1"/>
    <col min="14837" max="14837" width="10.42578125" style="732" customWidth="1"/>
    <col min="14838" max="14838" width="11.28515625" style="732" customWidth="1"/>
    <col min="14839" max="14840" width="9.140625" style="732" bestFit="1" customWidth="1"/>
    <col min="14841" max="14842" width="11.140625" style="732" bestFit="1" customWidth="1"/>
    <col min="14843" max="14843" width="11.5703125" style="732" bestFit="1" customWidth="1"/>
    <col min="14844" max="14844" width="9.140625" style="732" bestFit="1" customWidth="1"/>
    <col min="14845" max="14845" width="10.28515625" style="732" customWidth="1"/>
    <col min="14846" max="15084" width="9.140625" style="732"/>
    <col min="15085" max="15085" width="4.28515625" style="732" bestFit="1" customWidth="1"/>
    <col min="15086" max="15086" width="6.85546875" style="732" bestFit="1" customWidth="1"/>
    <col min="15087" max="15087" width="11" style="732" customWidth="1"/>
    <col min="15088" max="15088" width="11.140625" style="732" bestFit="1" customWidth="1"/>
    <col min="15089" max="15089" width="10.85546875" style="732" customWidth="1"/>
    <col min="15090" max="15090" width="11.5703125" style="732" customWidth="1"/>
    <col min="15091" max="15091" width="11.140625" style="732" bestFit="1" customWidth="1"/>
    <col min="15092" max="15092" width="11" style="732" customWidth="1"/>
    <col min="15093" max="15093" width="10.42578125" style="732" customWidth="1"/>
    <col min="15094" max="15094" width="11.28515625" style="732" customWidth="1"/>
    <col min="15095" max="15096" width="9.140625" style="732" bestFit="1" customWidth="1"/>
    <col min="15097" max="15098" width="11.140625" style="732" bestFit="1" customWidth="1"/>
    <col min="15099" max="15099" width="11.5703125" style="732" bestFit="1" customWidth="1"/>
    <col min="15100" max="15100" width="9.140625" style="732" bestFit="1" customWidth="1"/>
    <col min="15101" max="15101" width="10.28515625" style="732" customWidth="1"/>
    <col min="15102" max="15340" width="9.140625" style="732"/>
    <col min="15341" max="15341" width="4.28515625" style="732" bestFit="1" customWidth="1"/>
    <col min="15342" max="15342" width="6.85546875" style="732" bestFit="1" customWidth="1"/>
    <col min="15343" max="15343" width="11" style="732" customWidth="1"/>
    <col min="15344" max="15344" width="11.140625" style="732" bestFit="1" customWidth="1"/>
    <col min="15345" max="15345" width="10.85546875" style="732" customWidth="1"/>
    <col min="15346" max="15346" width="11.5703125" style="732" customWidth="1"/>
    <col min="15347" max="15347" width="11.140625" style="732" bestFit="1" customWidth="1"/>
    <col min="15348" max="15348" width="11" style="732" customWidth="1"/>
    <col min="15349" max="15349" width="10.42578125" style="732" customWidth="1"/>
    <col min="15350" max="15350" width="11.28515625" style="732" customWidth="1"/>
    <col min="15351" max="15352" width="9.140625" style="732" bestFit="1" customWidth="1"/>
    <col min="15353" max="15354" width="11.140625" style="732" bestFit="1" customWidth="1"/>
    <col min="15355" max="15355" width="11.5703125" style="732" bestFit="1" customWidth="1"/>
    <col min="15356" max="15356" width="9.140625" style="732" bestFit="1" customWidth="1"/>
    <col min="15357" max="15357" width="10.28515625" style="732" customWidth="1"/>
    <col min="15358" max="15596" width="9.140625" style="732"/>
    <col min="15597" max="15597" width="4.28515625" style="732" bestFit="1" customWidth="1"/>
    <col min="15598" max="15598" width="6.85546875" style="732" bestFit="1" customWidth="1"/>
    <col min="15599" max="15599" width="11" style="732" customWidth="1"/>
    <col min="15600" max="15600" width="11.140625" style="732" bestFit="1" customWidth="1"/>
    <col min="15601" max="15601" width="10.85546875" style="732" customWidth="1"/>
    <col min="15602" max="15602" width="11.5703125" style="732" customWidth="1"/>
    <col min="15603" max="15603" width="11.140625" style="732" bestFit="1" customWidth="1"/>
    <col min="15604" max="15604" width="11" style="732" customWidth="1"/>
    <col min="15605" max="15605" width="10.42578125" style="732" customWidth="1"/>
    <col min="15606" max="15606" width="11.28515625" style="732" customWidth="1"/>
    <col min="15607" max="15608" width="9.140625" style="732" bestFit="1" customWidth="1"/>
    <col min="15609" max="15610" width="11.140625" style="732" bestFit="1" customWidth="1"/>
    <col min="15611" max="15611" width="11.5703125" style="732" bestFit="1" customWidth="1"/>
    <col min="15612" max="15612" width="9.140625" style="732" bestFit="1" customWidth="1"/>
    <col min="15613" max="15613" width="10.28515625" style="732" customWidth="1"/>
    <col min="15614" max="15852" width="9.140625" style="732"/>
    <col min="15853" max="15853" width="4.28515625" style="732" bestFit="1" customWidth="1"/>
    <col min="15854" max="15854" width="6.85546875" style="732" bestFit="1" customWidth="1"/>
    <col min="15855" max="15855" width="11" style="732" customWidth="1"/>
    <col min="15856" max="15856" width="11.140625" style="732" bestFit="1" customWidth="1"/>
    <col min="15857" max="15857" width="10.85546875" style="732" customWidth="1"/>
    <col min="15858" max="15858" width="11.5703125" style="732" customWidth="1"/>
    <col min="15859" max="15859" width="11.140625" style="732" bestFit="1" customWidth="1"/>
    <col min="15860" max="15860" width="11" style="732" customWidth="1"/>
    <col min="15861" max="15861" width="10.42578125" style="732" customWidth="1"/>
    <col min="15862" max="15862" width="11.28515625" style="732" customWidth="1"/>
    <col min="15863" max="15864" width="9.140625" style="732" bestFit="1" customWidth="1"/>
    <col min="15865" max="15866" width="11.140625" style="732" bestFit="1" customWidth="1"/>
    <col min="15867" max="15867" width="11.5703125" style="732" bestFit="1" customWidth="1"/>
    <col min="15868" max="15868" width="9.140625" style="732" bestFit="1" customWidth="1"/>
    <col min="15869" max="15869" width="10.28515625" style="732" customWidth="1"/>
    <col min="15870" max="16108" width="9.140625" style="732"/>
    <col min="16109" max="16109" width="4.28515625" style="732" bestFit="1" customWidth="1"/>
    <col min="16110" max="16110" width="6.85546875" style="732" bestFit="1" customWidth="1"/>
    <col min="16111" max="16111" width="11" style="732" customWidth="1"/>
    <col min="16112" max="16112" width="11.140625" style="732" bestFit="1" customWidth="1"/>
    <col min="16113" max="16113" width="10.85546875" style="732" customWidth="1"/>
    <col min="16114" max="16114" width="11.5703125" style="732" customWidth="1"/>
    <col min="16115" max="16115" width="11.140625" style="732" bestFit="1" customWidth="1"/>
    <col min="16116" max="16116" width="11" style="732" customWidth="1"/>
    <col min="16117" max="16117" width="10.42578125" style="732" customWidth="1"/>
    <col min="16118" max="16118" width="11.28515625" style="732" customWidth="1"/>
    <col min="16119" max="16120" width="9.140625" style="732" bestFit="1" customWidth="1"/>
    <col min="16121" max="16122" width="11.140625" style="732" bestFit="1" customWidth="1"/>
    <col min="16123" max="16123" width="11.5703125" style="732" bestFit="1" customWidth="1"/>
    <col min="16124" max="16124" width="9.140625" style="732" bestFit="1" customWidth="1"/>
    <col min="16125" max="16125" width="10.28515625" style="732" customWidth="1"/>
    <col min="16126" max="16384" width="9.140625" style="732"/>
  </cols>
  <sheetData>
    <row r="1" spans="1:14" s="251" customFormat="1" ht="66.75" customHeight="1">
      <c r="A1" s="2100" t="s">
        <v>370</v>
      </c>
      <c r="B1" s="2100"/>
      <c r="C1" s="2100"/>
      <c r="D1" s="2100"/>
      <c r="E1" s="2100"/>
      <c r="F1" s="2100"/>
      <c r="G1" s="2100"/>
      <c r="H1" s="2100"/>
      <c r="I1" s="2100"/>
      <c r="J1" s="2100"/>
      <c r="K1" s="2100"/>
      <c r="L1" s="2100"/>
      <c r="M1" s="2100"/>
      <c r="N1" s="2100"/>
    </row>
    <row r="2" spans="1:14" s="251" customFormat="1" ht="18.75" thickBot="1">
      <c r="A2" s="719"/>
      <c r="B2" s="720"/>
      <c r="C2" s="720"/>
      <c r="D2" s="720"/>
      <c r="E2" s="721"/>
      <c r="F2" s="720"/>
      <c r="G2" s="721"/>
      <c r="H2" s="721"/>
      <c r="I2" s="722"/>
      <c r="J2" s="722"/>
      <c r="K2" s="722"/>
      <c r="L2" s="723"/>
      <c r="M2" s="1373" t="s">
        <v>0</v>
      </c>
      <c r="N2" s="724" t="s">
        <v>0</v>
      </c>
    </row>
    <row r="3" spans="1:14" s="431" customFormat="1" ht="12.75" customHeight="1">
      <c r="A3" s="2101" t="s">
        <v>1</v>
      </c>
      <c r="B3" s="2103" t="s">
        <v>371</v>
      </c>
      <c r="C3" s="2103" t="s">
        <v>3</v>
      </c>
      <c r="D3" s="2105" t="s">
        <v>4</v>
      </c>
      <c r="E3" s="2105" t="s">
        <v>372</v>
      </c>
      <c r="F3" s="2105" t="s">
        <v>153</v>
      </c>
      <c r="G3" s="2105" t="s">
        <v>373</v>
      </c>
      <c r="H3" s="2105" t="s">
        <v>179</v>
      </c>
      <c r="I3" s="2090" t="s">
        <v>39</v>
      </c>
      <c r="J3" s="2088" t="s">
        <v>190</v>
      </c>
      <c r="K3" s="2090" t="s">
        <v>166</v>
      </c>
      <c r="L3" s="2092" t="s">
        <v>374</v>
      </c>
      <c r="M3" s="2094" t="s">
        <v>188</v>
      </c>
      <c r="N3" s="2096" t="s">
        <v>188</v>
      </c>
    </row>
    <row r="4" spans="1:14" s="431" customFormat="1" ht="84.75" customHeight="1" thickBot="1">
      <c r="A4" s="2102"/>
      <c r="B4" s="2104"/>
      <c r="C4" s="2104"/>
      <c r="D4" s="2106"/>
      <c r="E4" s="2106"/>
      <c r="F4" s="2106"/>
      <c r="G4" s="2106"/>
      <c r="H4" s="2107"/>
      <c r="I4" s="2108"/>
      <c r="J4" s="2089"/>
      <c r="K4" s="2091"/>
      <c r="L4" s="2093"/>
      <c r="M4" s="2095"/>
      <c r="N4" s="2097"/>
    </row>
    <row r="5" spans="1:14" s="728" customFormat="1" ht="12" customHeight="1" thickBot="1">
      <c r="A5" s="1706" t="s">
        <v>6</v>
      </c>
      <c r="B5" s="2098" t="s">
        <v>7</v>
      </c>
      <c r="C5" s="2099"/>
      <c r="D5" s="1706" t="s">
        <v>8</v>
      </c>
      <c r="E5" s="1706" t="s">
        <v>9</v>
      </c>
      <c r="F5" s="1706" t="s">
        <v>10</v>
      </c>
      <c r="G5" s="1706" t="s">
        <v>12</v>
      </c>
      <c r="H5" s="1706" t="s">
        <v>10</v>
      </c>
      <c r="I5" s="725" t="s">
        <v>11</v>
      </c>
      <c r="J5" s="725" t="s">
        <v>11</v>
      </c>
      <c r="K5" s="725" t="s">
        <v>11</v>
      </c>
      <c r="L5" s="726" t="s">
        <v>202</v>
      </c>
      <c r="M5" s="727" t="s">
        <v>12</v>
      </c>
      <c r="N5" s="1889" t="s">
        <v>202</v>
      </c>
    </row>
    <row r="6" spans="1:14">
      <c r="A6" s="1012" t="s">
        <v>40</v>
      </c>
      <c r="B6" s="1445"/>
      <c r="C6" s="1887" t="s">
        <v>41</v>
      </c>
      <c r="D6" s="1882"/>
      <c r="E6" s="1498">
        <f>E8+E24</f>
        <v>1400826</v>
      </c>
      <c r="F6" s="1498">
        <f>F8+F24</f>
        <v>1400826</v>
      </c>
      <c r="G6" s="1364">
        <f>G8+G24</f>
        <v>0</v>
      </c>
      <c r="H6" s="1498">
        <f>H8+H24</f>
        <v>1245250</v>
      </c>
      <c r="I6" s="1888">
        <f t="shared" ref="I6:I15" si="0">H6/E6</f>
        <v>0.88893981122566257</v>
      </c>
      <c r="J6" s="1369">
        <f>J8+J24</f>
        <v>598817</v>
      </c>
      <c r="K6" s="1369">
        <f>K8+K24</f>
        <v>1844067</v>
      </c>
      <c r="L6" s="1497">
        <f>K6/E6</f>
        <v>1.3164140300080096</v>
      </c>
      <c r="M6" s="1890"/>
      <c r="N6" s="731"/>
    </row>
    <row r="7" spans="1:14" ht="12.75" customHeight="1">
      <c r="A7" s="2077"/>
      <c r="B7" s="2078" t="s">
        <v>49</v>
      </c>
      <c r="C7" s="1447" t="s">
        <v>17</v>
      </c>
      <c r="D7" s="1876"/>
      <c r="E7" s="1449">
        <f>SUM(E8+E24)</f>
        <v>1400826</v>
      </c>
      <c r="F7" s="1449">
        <f>SUM(F8+F24)</f>
        <v>1400826</v>
      </c>
      <c r="G7" s="1336">
        <f>SUM(G8+G24)</f>
        <v>0</v>
      </c>
      <c r="H7" s="1449">
        <f>SUM(H8+H24)</f>
        <v>1245250</v>
      </c>
      <c r="I7" s="1825">
        <f t="shared" si="0"/>
        <v>0.88893981122566257</v>
      </c>
      <c r="J7" s="1321">
        <f>SUM(J8+J24)</f>
        <v>598817</v>
      </c>
      <c r="K7" s="1321">
        <f>SUM(K8+K24)</f>
        <v>1844067</v>
      </c>
      <c r="L7" s="1799">
        <f>K7/E7</f>
        <v>1.3164140300080096</v>
      </c>
      <c r="M7" s="2009" t="s">
        <v>610</v>
      </c>
      <c r="N7" s="2010" t="s">
        <v>375</v>
      </c>
    </row>
    <row r="8" spans="1:14" ht="27" customHeight="1">
      <c r="A8" s="2077"/>
      <c r="B8" s="2078"/>
      <c r="C8" s="1418" t="s">
        <v>18</v>
      </c>
      <c r="D8" s="1877"/>
      <c r="E8" s="1452">
        <f>E9+E19+E20+E21+E22+E23</f>
        <v>1400826</v>
      </c>
      <c r="F8" s="1452">
        <f>F9+F19+F20+F21+F22+F23</f>
        <v>1400826</v>
      </c>
      <c r="G8" s="1341">
        <f>G9+G19+G20+G21+G22+G23</f>
        <v>0</v>
      </c>
      <c r="H8" s="1452">
        <f>H9+H19+H20+H21+H22+H23</f>
        <v>1245250</v>
      </c>
      <c r="I8" s="1781">
        <f t="shared" si="0"/>
        <v>0.88893981122566257</v>
      </c>
      <c r="J8" s="903">
        <f>SUM(J9,J19,J20,J21,J22,J23)</f>
        <v>598817</v>
      </c>
      <c r="K8" s="903">
        <f>K9+K19+K20+K21+K22+K23</f>
        <v>1844067</v>
      </c>
      <c r="L8" s="1782">
        <f>K8/E8</f>
        <v>1.3164140300080096</v>
      </c>
      <c r="M8" s="2009"/>
      <c r="N8" s="2011"/>
    </row>
    <row r="9" spans="1:14" ht="12.75" customHeight="1">
      <c r="A9" s="2077"/>
      <c r="B9" s="2078"/>
      <c r="C9" s="1422" t="s">
        <v>19</v>
      </c>
      <c r="D9" s="1877"/>
      <c r="E9" s="1454">
        <f>E10+E16</f>
        <v>1400826</v>
      </c>
      <c r="F9" s="1454">
        <f>F10+F16</f>
        <v>1400826</v>
      </c>
      <c r="G9" s="1345">
        <f>G10+G16</f>
        <v>0</v>
      </c>
      <c r="H9" s="1454">
        <f>H10+H16</f>
        <v>1245250</v>
      </c>
      <c r="I9" s="1312">
        <f t="shared" si="0"/>
        <v>0.88893981122566257</v>
      </c>
      <c r="J9" s="906">
        <f>J10+J16</f>
        <v>598817</v>
      </c>
      <c r="K9" s="906">
        <f>K10+K16</f>
        <v>1844067</v>
      </c>
      <c r="L9" s="1749">
        <f t="shared" ref="L9:L15" si="1">K9/E9</f>
        <v>1.3164140300080096</v>
      </c>
      <c r="M9" s="2009"/>
      <c r="N9" s="2011"/>
    </row>
    <row r="10" spans="1:14" ht="12.75" customHeight="1">
      <c r="A10" s="2077"/>
      <c r="B10" s="2078"/>
      <c r="C10" s="2013" t="s">
        <v>20</v>
      </c>
      <c r="D10" s="1878" t="s">
        <v>366</v>
      </c>
      <c r="E10" s="1454">
        <f>SUM(E11:E15)</f>
        <v>1400826</v>
      </c>
      <c r="F10" s="1454">
        <f>SUM(F11:F15)</f>
        <v>1400826</v>
      </c>
      <c r="G10" s="1345">
        <f t="shared" ref="G10" si="2">SUM(G11:G15)</f>
        <v>0</v>
      </c>
      <c r="H10" s="1454">
        <f>SUM(H11:H15)</f>
        <v>1245250</v>
      </c>
      <c r="I10" s="1312">
        <f>H10/E10</f>
        <v>0.88893981122566257</v>
      </c>
      <c r="J10" s="906">
        <f>SUM(J11:J15)</f>
        <v>598817</v>
      </c>
      <c r="K10" s="906">
        <f>SUM(K11:K15)</f>
        <v>1844067</v>
      </c>
      <c r="L10" s="1749">
        <f t="shared" si="1"/>
        <v>1.3164140300080096</v>
      </c>
      <c r="M10" s="2009"/>
      <c r="N10" s="2011"/>
    </row>
    <row r="11" spans="1:14" ht="12.75" customHeight="1">
      <c r="A11" s="2077"/>
      <c r="B11" s="2078"/>
      <c r="C11" s="2013"/>
      <c r="D11" s="1885">
        <v>4010</v>
      </c>
      <c r="E11" s="1881">
        <v>1093947</v>
      </c>
      <c r="F11" s="1881">
        <v>1093947</v>
      </c>
      <c r="G11" s="1787"/>
      <c r="H11" s="1881">
        <v>970980</v>
      </c>
      <c r="I11" s="1786">
        <f t="shared" si="0"/>
        <v>0.88759327462847837</v>
      </c>
      <c r="J11" s="1329">
        <v>478580</v>
      </c>
      <c r="K11" s="1329">
        <f>J11+H11</f>
        <v>1449560</v>
      </c>
      <c r="L11" s="1749">
        <f t="shared" si="1"/>
        <v>1.325073335362682</v>
      </c>
      <c r="M11" s="2009"/>
      <c r="N11" s="2011"/>
    </row>
    <row r="12" spans="1:14" ht="12.75" customHeight="1">
      <c r="A12" s="2077"/>
      <c r="B12" s="2078"/>
      <c r="C12" s="2013"/>
      <c r="D12" s="1885">
        <v>4040</v>
      </c>
      <c r="E12" s="1881">
        <v>73884</v>
      </c>
      <c r="F12" s="1881">
        <v>73884</v>
      </c>
      <c r="G12" s="1787"/>
      <c r="H12" s="1881">
        <v>70683</v>
      </c>
      <c r="I12" s="1786">
        <f t="shared" si="0"/>
        <v>0.9566753288939418</v>
      </c>
      <c r="J12" s="1329">
        <v>23853</v>
      </c>
      <c r="K12" s="1329">
        <f t="shared" ref="K12:K15" si="3">J12+H12</f>
        <v>94536</v>
      </c>
      <c r="L12" s="1749">
        <f t="shared" si="1"/>
        <v>1.279519246386227</v>
      </c>
      <c r="M12" s="2009"/>
      <c r="N12" s="2011"/>
    </row>
    <row r="13" spans="1:14" ht="12.75" customHeight="1">
      <c r="A13" s="2077"/>
      <c r="B13" s="2078"/>
      <c r="C13" s="2013"/>
      <c r="D13" s="1885">
        <v>4110</v>
      </c>
      <c r="E13" s="1881">
        <v>202142</v>
      </c>
      <c r="F13" s="1881">
        <v>202142</v>
      </c>
      <c r="G13" s="1787"/>
      <c r="H13" s="1881">
        <v>172357</v>
      </c>
      <c r="I13" s="1786">
        <f t="shared" si="0"/>
        <v>0.85265308545477936</v>
      </c>
      <c r="J13" s="1329">
        <v>82267</v>
      </c>
      <c r="K13" s="1329">
        <f t="shared" si="3"/>
        <v>254624</v>
      </c>
      <c r="L13" s="1749">
        <f t="shared" si="1"/>
        <v>1.2596293694531566</v>
      </c>
      <c r="M13" s="2009"/>
      <c r="N13" s="2011"/>
    </row>
    <row r="14" spans="1:14" ht="12.75" customHeight="1">
      <c r="A14" s="2077"/>
      <c r="B14" s="2078"/>
      <c r="C14" s="2013"/>
      <c r="D14" s="1885">
        <v>4120</v>
      </c>
      <c r="E14" s="1881">
        <v>28853</v>
      </c>
      <c r="F14" s="1881">
        <v>28853</v>
      </c>
      <c r="G14" s="1787"/>
      <c r="H14" s="1881">
        <v>29230</v>
      </c>
      <c r="I14" s="1786">
        <f t="shared" si="0"/>
        <v>1.0130662322808721</v>
      </c>
      <c r="J14" s="1329">
        <v>11725</v>
      </c>
      <c r="K14" s="1329">
        <f t="shared" si="3"/>
        <v>40955</v>
      </c>
      <c r="L14" s="1749">
        <f t="shared" si="1"/>
        <v>1.4194364537483104</v>
      </c>
      <c r="M14" s="2009"/>
      <c r="N14" s="2011"/>
    </row>
    <row r="15" spans="1:14" ht="12.75" customHeight="1">
      <c r="A15" s="2077"/>
      <c r="B15" s="2078"/>
      <c r="C15" s="2013"/>
      <c r="D15" s="1885">
        <v>4710</v>
      </c>
      <c r="E15" s="1881">
        <v>2000</v>
      </c>
      <c r="F15" s="1881">
        <v>2000</v>
      </c>
      <c r="G15" s="1787"/>
      <c r="H15" s="1881">
        <v>2000</v>
      </c>
      <c r="I15" s="1786">
        <f t="shared" si="0"/>
        <v>1</v>
      </c>
      <c r="J15" s="1329">
        <v>2392</v>
      </c>
      <c r="K15" s="1329">
        <f t="shared" si="3"/>
        <v>4392</v>
      </c>
      <c r="L15" s="1749">
        <f t="shared" si="1"/>
        <v>2.1960000000000002</v>
      </c>
      <c r="M15" s="2009"/>
      <c r="N15" s="2011"/>
    </row>
    <row r="16" spans="1:14" ht="12.75" customHeight="1">
      <c r="A16" s="2077"/>
      <c r="B16" s="2078"/>
      <c r="C16" s="2014" t="s">
        <v>376</v>
      </c>
      <c r="D16" s="1878"/>
      <c r="E16" s="1345"/>
      <c r="F16" s="1454"/>
      <c r="G16" s="1345"/>
      <c r="H16" s="1454"/>
      <c r="I16" s="1312"/>
      <c r="J16" s="906"/>
      <c r="K16" s="906"/>
      <c r="L16" s="1749"/>
      <c r="M16" s="2009"/>
      <c r="N16" s="2011"/>
    </row>
    <row r="17" spans="1:14" ht="12.75" hidden="1" customHeight="1">
      <c r="A17" s="2077"/>
      <c r="B17" s="2078"/>
      <c r="C17" s="2014"/>
      <c r="D17" s="1885">
        <v>4140</v>
      </c>
      <c r="E17" s="1891"/>
      <c r="F17" s="1881"/>
      <c r="G17" s="1787"/>
      <c r="H17" s="1881">
        <f>G17+E17</f>
        <v>0</v>
      </c>
      <c r="I17" s="1312" t="e">
        <f>H17/E17</f>
        <v>#DIV/0!</v>
      </c>
      <c r="J17" s="1329"/>
      <c r="K17" s="1329">
        <f>J17+H17</f>
        <v>0</v>
      </c>
      <c r="L17" s="1886"/>
      <c r="M17" s="2009"/>
      <c r="N17" s="2011"/>
    </row>
    <row r="18" spans="1:14" ht="12.75" hidden="1" customHeight="1">
      <c r="A18" s="2077"/>
      <c r="B18" s="2078"/>
      <c r="C18" s="2014"/>
      <c r="D18" s="1885">
        <v>4440</v>
      </c>
      <c r="E18" s="1891"/>
      <c r="F18" s="1881"/>
      <c r="G18" s="1787"/>
      <c r="H18" s="1881">
        <f>G18+E18</f>
        <v>0</v>
      </c>
      <c r="I18" s="1786" t="e">
        <f>H18/E18</f>
        <v>#DIV/0!</v>
      </c>
      <c r="J18" s="1329"/>
      <c r="K18" s="1329">
        <f>J18+H18</f>
        <v>0</v>
      </c>
      <c r="L18" s="1886"/>
      <c r="M18" s="2009"/>
      <c r="N18" s="2011"/>
    </row>
    <row r="19" spans="1:14" ht="12.75" customHeight="1">
      <c r="A19" s="2077"/>
      <c r="B19" s="2078"/>
      <c r="C19" s="1422" t="s">
        <v>23</v>
      </c>
      <c r="D19" s="1879"/>
      <c r="E19" s="1892"/>
      <c r="F19" s="1880"/>
      <c r="G19" s="1789"/>
      <c r="H19" s="1454"/>
      <c r="I19" s="1312"/>
      <c r="J19" s="906"/>
      <c r="K19" s="906"/>
      <c r="L19" s="1749"/>
      <c r="M19" s="2009"/>
      <c r="N19" s="2011"/>
    </row>
    <row r="20" spans="1:14" ht="12.75" customHeight="1">
      <c r="A20" s="2077"/>
      <c r="B20" s="2078"/>
      <c r="C20" s="1422" t="s">
        <v>24</v>
      </c>
      <c r="D20" s="1309"/>
      <c r="E20" s="1893"/>
      <c r="F20" s="1457"/>
      <c r="G20" s="1789"/>
      <c r="H20" s="1454"/>
      <c r="I20" s="1312"/>
      <c r="J20" s="906"/>
      <c r="K20" s="906"/>
      <c r="L20" s="1749"/>
      <c r="M20" s="2009"/>
      <c r="N20" s="2011"/>
    </row>
    <row r="21" spans="1:14" ht="23.25" customHeight="1">
      <c r="A21" s="2077"/>
      <c r="B21" s="2078"/>
      <c r="C21" s="1428" t="s">
        <v>25</v>
      </c>
      <c r="D21" s="1309"/>
      <c r="E21" s="1783"/>
      <c r="F21" s="1425"/>
      <c r="G21" s="1789"/>
      <c r="H21" s="1454"/>
      <c r="I21" s="1312"/>
      <c r="J21" s="906"/>
      <c r="K21" s="906"/>
      <c r="L21" s="1749"/>
      <c r="M21" s="2009"/>
      <c r="N21" s="2011"/>
    </row>
    <row r="22" spans="1:14" ht="12.75" customHeight="1">
      <c r="A22" s="2077"/>
      <c r="B22" s="2078"/>
      <c r="C22" s="1422" t="s">
        <v>26</v>
      </c>
      <c r="D22" s="1309"/>
      <c r="E22" s="1783"/>
      <c r="F22" s="1425"/>
      <c r="G22" s="1789"/>
      <c r="H22" s="1454"/>
      <c r="I22" s="1312"/>
      <c r="J22" s="906"/>
      <c r="K22" s="906"/>
      <c r="L22" s="1749"/>
      <c r="M22" s="2009"/>
      <c r="N22" s="2011"/>
    </row>
    <row r="23" spans="1:14" ht="12.75" customHeight="1">
      <c r="A23" s="2077"/>
      <c r="B23" s="2078"/>
      <c r="C23" s="1422" t="s">
        <v>27</v>
      </c>
      <c r="D23" s="1309"/>
      <c r="E23" s="1783"/>
      <c r="F23" s="1425"/>
      <c r="G23" s="1789"/>
      <c r="H23" s="1454"/>
      <c r="I23" s="1312"/>
      <c r="J23" s="906"/>
      <c r="K23" s="906"/>
      <c r="L23" s="1749"/>
      <c r="M23" s="2009"/>
      <c r="N23" s="2011"/>
    </row>
    <row r="24" spans="1:14" ht="12.75" customHeight="1">
      <c r="A24" s="2077"/>
      <c r="B24" s="2078"/>
      <c r="C24" s="1308" t="s">
        <v>28</v>
      </c>
      <c r="D24" s="1309"/>
      <c r="E24" s="1310">
        <f>SUM(E25+E27+E28)</f>
        <v>0</v>
      </c>
      <c r="F24" s="1310">
        <f>SUM(F25+F27+F28)</f>
        <v>0</v>
      </c>
      <c r="G24" s="1311">
        <f>SUM(G25+G27+G28)</f>
        <v>0</v>
      </c>
      <c r="H24" s="1310">
        <f>SUM(H25+H27+H28)</f>
        <v>0</v>
      </c>
      <c r="I24" s="1781"/>
      <c r="J24" s="1313">
        <f>SUM(J25+J27+J28)</f>
        <v>0</v>
      </c>
      <c r="K24" s="1313">
        <f>SUM(K25+K27+K28)</f>
        <v>0</v>
      </c>
      <c r="L24" s="1314"/>
      <c r="M24" s="2009"/>
      <c r="N24" s="2011"/>
    </row>
    <row r="25" spans="1:14" ht="12.75" customHeight="1">
      <c r="A25" s="2077"/>
      <c r="B25" s="2078"/>
      <c r="C25" s="1422" t="s">
        <v>29</v>
      </c>
      <c r="D25" s="1309"/>
      <c r="E25" s="1783"/>
      <c r="F25" s="1425"/>
      <c r="G25" s="1789"/>
      <c r="H25" s="1454"/>
      <c r="I25" s="1312"/>
      <c r="J25" s="906"/>
      <c r="K25" s="906"/>
      <c r="L25" s="1749"/>
      <c r="M25" s="2009"/>
      <c r="N25" s="2011"/>
    </row>
    <row r="26" spans="1:14" ht="22.5">
      <c r="A26" s="2077"/>
      <c r="B26" s="2078"/>
      <c r="C26" s="1428" t="s">
        <v>30</v>
      </c>
      <c r="D26" s="1309"/>
      <c r="E26" s="1783"/>
      <c r="F26" s="1425"/>
      <c r="G26" s="1789"/>
      <c r="H26" s="1454"/>
      <c r="I26" s="1312"/>
      <c r="J26" s="906"/>
      <c r="K26" s="906"/>
      <c r="L26" s="1749"/>
      <c r="M26" s="2009"/>
      <c r="N26" s="2011"/>
    </row>
    <row r="27" spans="1:14" ht="12.75" customHeight="1">
      <c r="A27" s="2077"/>
      <c r="B27" s="2078"/>
      <c r="C27" s="1422" t="s">
        <v>31</v>
      </c>
      <c r="D27" s="1309"/>
      <c r="E27" s="1783"/>
      <c r="F27" s="1425"/>
      <c r="G27" s="1789"/>
      <c r="H27" s="1454"/>
      <c r="I27" s="1312"/>
      <c r="J27" s="906"/>
      <c r="K27" s="906"/>
      <c r="L27" s="1749"/>
      <c r="M27" s="2009"/>
      <c r="N27" s="2011"/>
    </row>
    <row r="28" spans="1:14" ht="27" customHeight="1" thickBot="1">
      <c r="A28" s="2085"/>
      <c r="B28" s="2086"/>
      <c r="C28" s="1039" t="s">
        <v>32</v>
      </c>
      <c r="D28" s="1633"/>
      <c r="E28" s="1861"/>
      <c r="F28" s="1637"/>
      <c r="G28" s="1806"/>
      <c r="H28" s="1650"/>
      <c r="I28" s="1894"/>
      <c r="J28" s="681"/>
      <c r="K28" s="681"/>
      <c r="L28" s="1869"/>
      <c r="M28" s="2021"/>
      <c r="N28" s="2012"/>
    </row>
    <row r="29" spans="1:14" ht="12.75" customHeight="1">
      <c r="A29" s="438" t="s">
        <v>55</v>
      </c>
      <c r="B29" s="439"/>
      <c r="C29" s="1871" t="s">
        <v>56</v>
      </c>
      <c r="D29" s="1872"/>
      <c r="E29" s="1873">
        <f>E30</f>
        <v>630603</v>
      </c>
      <c r="F29" s="1873">
        <f>F30</f>
        <v>630603</v>
      </c>
      <c r="G29" s="1874">
        <f>G30</f>
        <v>0</v>
      </c>
      <c r="H29" s="1873">
        <f>H30</f>
        <v>587193</v>
      </c>
      <c r="I29" s="396">
        <f t="shared" ref="I29:I37" si="4">H29/E29</f>
        <v>0.9311611267310812</v>
      </c>
      <c r="J29" s="395">
        <f>J30</f>
        <v>72412</v>
      </c>
      <c r="K29" s="395">
        <f>K30</f>
        <v>659605</v>
      </c>
      <c r="L29" s="1813">
        <f>K29/E29</f>
        <v>1.0459909007727524</v>
      </c>
      <c r="M29" s="1875"/>
      <c r="N29" s="736"/>
    </row>
    <row r="30" spans="1:14" ht="15.75" customHeight="1">
      <c r="A30" s="2077"/>
      <c r="B30" s="2078" t="s">
        <v>134</v>
      </c>
      <c r="C30" s="1447" t="s">
        <v>17</v>
      </c>
      <c r="D30" s="1876"/>
      <c r="E30" s="1449">
        <f>SUM(E31+E47)</f>
        <v>630603</v>
      </c>
      <c r="F30" s="1449">
        <f>SUM(F31+F47)</f>
        <v>630603</v>
      </c>
      <c r="G30" s="1336">
        <f>SUM(G31+G47)</f>
        <v>0</v>
      </c>
      <c r="H30" s="1449">
        <f>SUM(H31+H47)</f>
        <v>587193</v>
      </c>
      <c r="I30" s="1825">
        <f t="shared" si="4"/>
        <v>0.9311611267310812</v>
      </c>
      <c r="J30" s="1321">
        <f>SUM(J31+J47)</f>
        <v>72412</v>
      </c>
      <c r="K30" s="1321">
        <f>SUM(K31+K47)</f>
        <v>659605</v>
      </c>
      <c r="L30" s="1799">
        <f>K30/E30</f>
        <v>1.0459909007727524</v>
      </c>
      <c r="M30" s="2068" t="s">
        <v>377</v>
      </c>
      <c r="N30" s="2010" t="s">
        <v>378</v>
      </c>
    </row>
    <row r="31" spans="1:14" ht="21" customHeight="1">
      <c r="A31" s="2077"/>
      <c r="B31" s="2078"/>
      <c r="C31" s="1418" t="s">
        <v>18</v>
      </c>
      <c r="D31" s="1877"/>
      <c r="E31" s="1452">
        <f>E32+E42+E43+E44+E45+E46</f>
        <v>630603</v>
      </c>
      <c r="F31" s="1452">
        <f>F32+F42+F43+F44+F45+F46</f>
        <v>630603</v>
      </c>
      <c r="G31" s="1341">
        <f>G32+G42+G43+G44+G45+G46</f>
        <v>0</v>
      </c>
      <c r="H31" s="1452">
        <f>H32+H42+H43+H44+H45+H46</f>
        <v>587193</v>
      </c>
      <c r="I31" s="1781">
        <f t="shared" si="4"/>
        <v>0.9311611267310812</v>
      </c>
      <c r="J31" s="903">
        <f>J32+J42+J43+J44+J45+J46</f>
        <v>72412</v>
      </c>
      <c r="K31" s="903">
        <f>K32+K42+K43+K44+K45+K46</f>
        <v>659605</v>
      </c>
      <c r="L31" s="1782">
        <f>K31/E31</f>
        <v>1.0459909007727524</v>
      </c>
      <c r="M31" s="2009"/>
      <c r="N31" s="2011"/>
    </row>
    <row r="32" spans="1:14" ht="19.5" customHeight="1">
      <c r="A32" s="2077"/>
      <c r="B32" s="2078"/>
      <c r="C32" s="1422" t="s">
        <v>19</v>
      </c>
      <c r="D32" s="1877"/>
      <c r="E32" s="1454">
        <f>E33+E39</f>
        <v>630603</v>
      </c>
      <c r="F32" s="1454">
        <f>F33+F39</f>
        <v>630603</v>
      </c>
      <c r="G32" s="1345">
        <f>G33+G39</f>
        <v>0</v>
      </c>
      <c r="H32" s="1454">
        <f>H33+H39</f>
        <v>587193</v>
      </c>
      <c r="I32" s="1312">
        <f t="shared" si="4"/>
        <v>0.9311611267310812</v>
      </c>
      <c r="J32" s="906">
        <f>J33+J39</f>
        <v>72412</v>
      </c>
      <c r="K32" s="906">
        <f>K33+K39</f>
        <v>659605</v>
      </c>
      <c r="L32" s="1749">
        <f t="shared" ref="L32:L37" si="5">K32/E32</f>
        <v>1.0459909007727524</v>
      </c>
      <c r="M32" s="2009"/>
      <c r="N32" s="2011"/>
    </row>
    <row r="33" spans="1:14" ht="12.75" customHeight="1">
      <c r="A33" s="2077"/>
      <c r="B33" s="2078"/>
      <c r="C33" s="2087" t="s">
        <v>20</v>
      </c>
      <c r="D33" s="1878" t="s">
        <v>366</v>
      </c>
      <c r="E33" s="1454">
        <f>SUM(E34:E37)</f>
        <v>630603</v>
      </c>
      <c r="F33" s="1454">
        <f>SUM(F34:F38)</f>
        <v>630603</v>
      </c>
      <c r="G33" s="1345">
        <f>SUM(G34:G37)</f>
        <v>0</v>
      </c>
      <c r="H33" s="1454">
        <f>SUM(H34:H37)</f>
        <v>587193</v>
      </c>
      <c r="I33" s="1312">
        <f t="shared" si="4"/>
        <v>0.9311611267310812</v>
      </c>
      <c r="J33" s="906">
        <f>SUM(J34:J38)</f>
        <v>72412</v>
      </c>
      <c r="K33" s="906">
        <f>SUM(K34:K38)</f>
        <v>659605</v>
      </c>
      <c r="L33" s="1749">
        <f t="shared" si="5"/>
        <v>1.0459909007727524</v>
      </c>
      <c r="M33" s="2009"/>
      <c r="N33" s="2011"/>
    </row>
    <row r="34" spans="1:14" ht="12.75" customHeight="1">
      <c r="A34" s="2077"/>
      <c r="B34" s="2078"/>
      <c r="C34" s="2087"/>
      <c r="D34" s="1885">
        <v>4010</v>
      </c>
      <c r="E34" s="1881">
        <v>491976</v>
      </c>
      <c r="F34" s="1881">
        <v>491976</v>
      </c>
      <c r="G34" s="1787"/>
      <c r="H34" s="1881">
        <v>455116</v>
      </c>
      <c r="I34" s="1786">
        <f t="shared" si="4"/>
        <v>0.92507764606403564</v>
      </c>
      <c r="J34" s="1329">
        <v>60274</v>
      </c>
      <c r="K34" s="1329">
        <f>J34+H34</f>
        <v>515390</v>
      </c>
      <c r="L34" s="1749">
        <f t="shared" si="5"/>
        <v>1.0475917524432086</v>
      </c>
      <c r="M34" s="2009"/>
      <c r="N34" s="2011"/>
    </row>
    <row r="35" spans="1:14" ht="12.75" customHeight="1">
      <c r="A35" s="2077"/>
      <c r="B35" s="2078"/>
      <c r="C35" s="2087"/>
      <c r="D35" s="1885">
        <v>4040</v>
      </c>
      <c r="E35" s="1881">
        <v>35109</v>
      </c>
      <c r="F35" s="1881">
        <v>35109</v>
      </c>
      <c r="G35" s="1787"/>
      <c r="H35" s="1881">
        <v>38620</v>
      </c>
      <c r="I35" s="1786">
        <f t="shared" si="4"/>
        <v>1.1000028482725228</v>
      </c>
      <c r="J35" s="1329">
        <v>0</v>
      </c>
      <c r="K35" s="1329">
        <f t="shared" ref="K35:K38" si="6">J35+H35</f>
        <v>38620</v>
      </c>
      <c r="L35" s="1749">
        <f t="shared" si="5"/>
        <v>1.1000028482725228</v>
      </c>
      <c r="M35" s="2009"/>
      <c r="N35" s="2011"/>
    </row>
    <row r="36" spans="1:14" ht="12.75" customHeight="1">
      <c r="A36" s="2077"/>
      <c r="B36" s="2078"/>
      <c r="C36" s="2087"/>
      <c r="D36" s="1885">
        <v>4110</v>
      </c>
      <c r="E36" s="1881">
        <v>90602</v>
      </c>
      <c r="F36" s="1881">
        <v>88602</v>
      </c>
      <c r="G36" s="1787"/>
      <c r="H36" s="1881">
        <v>79906</v>
      </c>
      <c r="I36" s="1786">
        <f t="shared" si="4"/>
        <v>0.88194521092249623</v>
      </c>
      <c r="J36" s="1329">
        <v>10361</v>
      </c>
      <c r="K36" s="1329">
        <f t="shared" si="6"/>
        <v>90267</v>
      </c>
      <c r="L36" s="1749">
        <f t="shared" si="5"/>
        <v>0.9963025098783691</v>
      </c>
      <c r="M36" s="2009"/>
      <c r="N36" s="2011"/>
    </row>
    <row r="37" spans="1:14" ht="12.75" customHeight="1">
      <c r="A37" s="2077"/>
      <c r="B37" s="2078"/>
      <c r="C37" s="2087"/>
      <c r="D37" s="1885">
        <v>4120</v>
      </c>
      <c r="E37" s="1881">
        <v>12916</v>
      </c>
      <c r="F37" s="1881">
        <v>12916</v>
      </c>
      <c r="G37" s="1787"/>
      <c r="H37" s="1881">
        <v>13551</v>
      </c>
      <c r="I37" s="1786">
        <f t="shared" si="4"/>
        <v>1.0491638278104676</v>
      </c>
      <c r="J37" s="1329">
        <v>1476</v>
      </c>
      <c r="K37" s="1329">
        <f t="shared" si="6"/>
        <v>15027</v>
      </c>
      <c r="L37" s="1749">
        <f t="shared" si="5"/>
        <v>1.163440693713224</v>
      </c>
      <c r="M37" s="2009"/>
      <c r="N37" s="2011"/>
    </row>
    <row r="38" spans="1:14" ht="12.75" customHeight="1">
      <c r="A38" s="2077"/>
      <c r="B38" s="2078"/>
      <c r="C38" s="2087"/>
      <c r="D38" s="1885">
        <v>4710</v>
      </c>
      <c r="E38" s="1881">
        <v>0</v>
      </c>
      <c r="F38" s="1881">
        <v>2000</v>
      </c>
      <c r="G38" s="1787"/>
      <c r="H38" s="1881">
        <v>0</v>
      </c>
      <c r="I38" s="1786"/>
      <c r="J38" s="1329">
        <v>301</v>
      </c>
      <c r="K38" s="1329">
        <f t="shared" si="6"/>
        <v>301</v>
      </c>
      <c r="L38" s="1749"/>
      <c r="M38" s="2009"/>
      <c r="N38" s="2011"/>
    </row>
    <row r="39" spans="1:14" ht="12.75" customHeight="1">
      <c r="A39" s="2077"/>
      <c r="B39" s="2078"/>
      <c r="C39" s="2014" t="s">
        <v>376</v>
      </c>
      <c r="D39" s="1878"/>
      <c r="E39" s="1454"/>
      <c r="F39" s="1454"/>
      <c r="G39" s="1345"/>
      <c r="H39" s="1454"/>
      <c r="I39" s="1786"/>
      <c r="J39" s="906"/>
      <c r="K39" s="906"/>
      <c r="L39" s="1749"/>
      <c r="M39" s="2009"/>
      <c r="N39" s="2011"/>
    </row>
    <row r="40" spans="1:14" ht="12.75" hidden="1" customHeight="1">
      <c r="A40" s="2077"/>
      <c r="B40" s="2078"/>
      <c r="C40" s="2014"/>
      <c r="D40" s="1885">
        <v>4140</v>
      </c>
      <c r="E40" s="1881"/>
      <c r="F40" s="1881"/>
      <c r="G40" s="1787"/>
      <c r="H40" s="1881">
        <f>G40+E40</f>
        <v>0</v>
      </c>
      <c r="I40" s="1312" t="e">
        <f>H40/E40</f>
        <v>#DIV/0!</v>
      </c>
      <c r="J40" s="1329"/>
      <c r="K40" s="1329">
        <f>J40+H40</f>
        <v>0</v>
      </c>
      <c r="L40" s="1886"/>
      <c r="M40" s="2009"/>
      <c r="N40" s="2011"/>
    </row>
    <row r="41" spans="1:14" ht="12.75" hidden="1" customHeight="1">
      <c r="A41" s="2077"/>
      <c r="B41" s="2078"/>
      <c r="C41" s="2014"/>
      <c r="D41" s="1885">
        <v>4440</v>
      </c>
      <c r="E41" s="1881"/>
      <c r="F41" s="1881"/>
      <c r="G41" s="1787"/>
      <c r="H41" s="1881">
        <f>G41+E41</f>
        <v>0</v>
      </c>
      <c r="I41" s="1786" t="e">
        <f>H41/E41</f>
        <v>#DIV/0!</v>
      </c>
      <c r="J41" s="1329"/>
      <c r="K41" s="1329">
        <f>J41+H41</f>
        <v>0</v>
      </c>
      <c r="L41" s="1886"/>
      <c r="M41" s="2009"/>
      <c r="N41" s="2011"/>
    </row>
    <row r="42" spans="1:14" ht="12.75" customHeight="1">
      <c r="A42" s="2077"/>
      <c r="B42" s="2078"/>
      <c r="C42" s="1422" t="s">
        <v>23</v>
      </c>
      <c r="D42" s="1879"/>
      <c r="E42" s="1880"/>
      <c r="F42" s="1880"/>
      <c r="G42" s="1789"/>
      <c r="H42" s="1454"/>
      <c r="I42" s="1312"/>
      <c r="J42" s="906"/>
      <c r="K42" s="906"/>
      <c r="L42" s="1749"/>
      <c r="M42" s="2009"/>
      <c r="N42" s="2011"/>
    </row>
    <row r="43" spans="1:14" ht="12.75" customHeight="1">
      <c r="A43" s="2077"/>
      <c r="B43" s="2078"/>
      <c r="C43" s="1422" t="s">
        <v>24</v>
      </c>
      <c r="D43" s="1309"/>
      <c r="E43" s="1457"/>
      <c r="F43" s="1457"/>
      <c r="G43" s="1789"/>
      <c r="H43" s="1454"/>
      <c r="I43" s="1781"/>
      <c r="J43" s="906"/>
      <c r="K43" s="906"/>
      <c r="L43" s="1749"/>
      <c r="M43" s="2009"/>
      <c r="N43" s="2011"/>
    </row>
    <row r="44" spans="1:14" ht="21" customHeight="1">
      <c r="A44" s="2077"/>
      <c r="B44" s="2078"/>
      <c r="C44" s="1428" t="s">
        <v>25</v>
      </c>
      <c r="D44" s="1309"/>
      <c r="E44" s="1425"/>
      <c r="F44" s="1425"/>
      <c r="G44" s="1789"/>
      <c r="H44" s="1454"/>
      <c r="I44" s="1781"/>
      <c r="J44" s="906"/>
      <c r="K44" s="906"/>
      <c r="L44" s="1749"/>
      <c r="M44" s="2009"/>
      <c r="N44" s="2011"/>
    </row>
    <row r="45" spans="1:14" ht="12.75" customHeight="1">
      <c r="A45" s="2077"/>
      <c r="B45" s="2078"/>
      <c r="C45" s="1422" t="s">
        <v>26</v>
      </c>
      <c r="D45" s="1309"/>
      <c r="E45" s="1425"/>
      <c r="F45" s="1425"/>
      <c r="G45" s="1789"/>
      <c r="H45" s="1454"/>
      <c r="I45" s="1781"/>
      <c r="J45" s="906"/>
      <c r="K45" s="906"/>
      <c r="L45" s="1749"/>
      <c r="M45" s="2009"/>
      <c r="N45" s="2011"/>
    </row>
    <row r="46" spans="1:14" ht="12.75" customHeight="1">
      <c r="A46" s="2077"/>
      <c r="B46" s="2078"/>
      <c r="C46" s="1422" t="s">
        <v>27</v>
      </c>
      <c r="D46" s="1309"/>
      <c r="E46" s="1425"/>
      <c r="F46" s="1425"/>
      <c r="G46" s="1789"/>
      <c r="H46" s="1454"/>
      <c r="I46" s="1781"/>
      <c r="J46" s="906"/>
      <c r="K46" s="906"/>
      <c r="L46" s="1749"/>
      <c r="M46" s="2009"/>
      <c r="N46" s="2011"/>
    </row>
    <row r="47" spans="1:14" ht="12.75" customHeight="1">
      <c r="A47" s="2077"/>
      <c r="B47" s="2078"/>
      <c r="C47" s="1308" t="s">
        <v>28</v>
      </c>
      <c r="D47" s="1309"/>
      <c r="E47" s="1310">
        <f>SUM(E48+E50+E51)</f>
        <v>0</v>
      </c>
      <c r="F47" s="1310">
        <f>SUM(F48+F50+F51)</f>
        <v>0</v>
      </c>
      <c r="G47" s="1311">
        <f>SUM(G48+G50+G51)</f>
        <v>0</v>
      </c>
      <c r="H47" s="1310">
        <f>SUM(H48+H50+H51)</f>
        <v>0</v>
      </c>
      <c r="I47" s="1420"/>
      <c r="J47" s="1313">
        <f>SUM(J48+J50+J51)</f>
        <v>0</v>
      </c>
      <c r="K47" s="1313">
        <f>SUM(K48+K50+K51)</f>
        <v>0</v>
      </c>
      <c r="L47" s="1314"/>
      <c r="M47" s="2009"/>
      <c r="N47" s="2011"/>
    </row>
    <row r="48" spans="1:14" ht="12.75" customHeight="1">
      <c r="A48" s="2077"/>
      <c r="B48" s="2078"/>
      <c r="C48" s="1422" t="s">
        <v>29</v>
      </c>
      <c r="D48" s="1309"/>
      <c r="E48" s="1425"/>
      <c r="F48" s="1425"/>
      <c r="G48" s="1789"/>
      <c r="H48" s="1454"/>
      <c r="I48" s="1781"/>
      <c r="J48" s="906"/>
      <c r="K48" s="906"/>
      <c r="L48" s="1749"/>
      <c r="M48" s="2009"/>
      <c r="N48" s="2011"/>
    </row>
    <row r="49" spans="1:14" ht="22.5" customHeight="1">
      <c r="A49" s="2077"/>
      <c r="B49" s="2078"/>
      <c r="C49" s="1428" t="s">
        <v>30</v>
      </c>
      <c r="D49" s="1309"/>
      <c r="E49" s="1425"/>
      <c r="F49" s="1425"/>
      <c r="G49" s="1789"/>
      <c r="H49" s="1454"/>
      <c r="I49" s="1781"/>
      <c r="J49" s="906"/>
      <c r="K49" s="906"/>
      <c r="L49" s="1749"/>
      <c r="M49" s="2009"/>
      <c r="N49" s="2011"/>
    </row>
    <row r="50" spans="1:14" ht="12.75" customHeight="1">
      <c r="A50" s="2077"/>
      <c r="B50" s="2078"/>
      <c r="C50" s="1422" t="s">
        <v>31</v>
      </c>
      <c r="D50" s="1309"/>
      <c r="E50" s="1425"/>
      <c r="F50" s="1425"/>
      <c r="G50" s="1789"/>
      <c r="H50" s="1454"/>
      <c r="I50" s="1781"/>
      <c r="J50" s="906"/>
      <c r="K50" s="906"/>
      <c r="L50" s="1749"/>
      <c r="M50" s="2009"/>
      <c r="N50" s="2011"/>
    </row>
    <row r="51" spans="1:14" ht="15.75" thickBot="1">
      <c r="A51" s="2077"/>
      <c r="B51" s="2078"/>
      <c r="C51" s="1422" t="s">
        <v>32</v>
      </c>
      <c r="D51" s="1309"/>
      <c r="E51" s="1783"/>
      <c r="F51" s="1425"/>
      <c r="G51" s="1789"/>
      <c r="H51" s="1454"/>
      <c r="I51" s="1781"/>
      <c r="J51" s="906"/>
      <c r="K51" s="906"/>
      <c r="L51" s="1749"/>
      <c r="M51" s="2009"/>
      <c r="N51" s="2023"/>
    </row>
    <row r="52" spans="1:14" ht="13.5" customHeight="1">
      <c r="A52" s="1012" t="s">
        <v>57</v>
      </c>
      <c r="B52" s="1445"/>
      <c r="C52" s="1887" t="s">
        <v>58</v>
      </c>
      <c r="D52" s="1882"/>
      <c r="E52" s="1498">
        <f>E53</f>
        <v>473151</v>
      </c>
      <c r="F52" s="1498">
        <f>F53</f>
        <v>473151</v>
      </c>
      <c r="G52" s="1364">
        <f>G53</f>
        <v>0</v>
      </c>
      <c r="H52" s="1498">
        <f>H53</f>
        <v>486624</v>
      </c>
      <c r="I52" s="1888">
        <f t="shared" ref="I52:I61" si="7">H52/E52</f>
        <v>1.0284750534184648</v>
      </c>
      <c r="J52" s="1369">
        <f>J53</f>
        <v>90518</v>
      </c>
      <c r="K52" s="1369">
        <f>K53</f>
        <v>577142</v>
      </c>
      <c r="L52" s="1497">
        <f>K52/E52</f>
        <v>1.219783959032106</v>
      </c>
      <c r="M52" s="1884"/>
      <c r="N52" s="737"/>
    </row>
    <row r="53" spans="1:14" ht="15.75" customHeight="1">
      <c r="A53" s="2077"/>
      <c r="B53" s="2078" t="s">
        <v>121</v>
      </c>
      <c r="C53" s="1447" t="s">
        <v>17</v>
      </c>
      <c r="D53" s="1876"/>
      <c r="E53" s="1449">
        <f>SUM(E54+E70)</f>
        <v>473151</v>
      </c>
      <c r="F53" s="1449">
        <f>SUM(F54+F70)</f>
        <v>473151</v>
      </c>
      <c r="G53" s="1336">
        <f>SUM(G54+G70)</f>
        <v>0</v>
      </c>
      <c r="H53" s="1449">
        <f>SUM(H54+H70)</f>
        <v>486624</v>
      </c>
      <c r="I53" s="1825">
        <f t="shared" si="7"/>
        <v>1.0284750534184648</v>
      </c>
      <c r="J53" s="1321">
        <f>SUM(J54+J70)</f>
        <v>90518</v>
      </c>
      <c r="K53" s="1321">
        <f>SUM(K54+K70)</f>
        <v>577142</v>
      </c>
      <c r="L53" s="1799">
        <f>K53/E53</f>
        <v>1.219783959032106</v>
      </c>
      <c r="M53" s="2068" t="s">
        <v>379</v>
      </c>
      <c r="N53" s="2010" t="s">
        <v>380</v>
      </c>
    </row>
    <row r="54" spans="1:14" ht="13.5" customHeight="1">
      <c r="A54" s="2077"/>
      <c r="B54" s="2078"/>
      <c r="C54" s="1418" t="s">
        <v>18</v>
      </c>
      <c r="D54" s="1877"/>
      <c r="E54" s="1452">
        <f>E55+E65+E66+E67+E68+E69</f>
        <v>473151</v>
      </c>
      <c r="F54" s="1452">
        <f>F55+F65+F66+F67+F68+F69</f>
        <v>473151</v>
      </c>
      <c r="G54" s="1341">
        <f>G55+G65+G66+G67+G68+G69</f>
        <v>0</v>
      </c>
      <c r="H54" s="1452">
        <f>H55+H65+H66+H67+H68+H69</f>
        <v>486624</v>
      </c>
      <c r="I54" s="1781">
        <f t="shared" si="7"/>
        <v>1.0284750534184648</v>
      </c>
      <c r="J54" s="903">
        <f>J55+J65+J66+J67+J68+J69</f>
        <v>90518</v>
      </c>
      <c r="K54" s="903">
        <f>K55+K65+K66+K67+K68+K69</f>
        <v>577142</v>
      </c>
      <c r="L54" s="1782">
        <f>K54/E54</f>
        <v>1.219783959032106</v>
      </c>
      <c r="M54" s="2068"/>
      <c r="N54" s="2011"/>
    </row>
    <row r="55" spans="1:14" ht="16.5" customHeight="1">
      <c r="A55" s="2077"/>
      <c r="B55" s="2078"/>
      <c r="C55" s="1422" t="s">
        <v>19</v>
      </c>
      <c r="D55" s="1877"/>
      <c r="E55" s="1454">
        <f>E56+E62</f>
        <v>473151</v>
      </c>
      <c r="F55" s="1454">
        <f>F56+F62</f>
        <v>473151</v>
      </c>
      <c r="G55" s="1345">
        <f>G56+G62</f>
        <v>0</v>
      </c>
      <c r="H55" s="1454">
        <f>H56+H62</f>
        <v>486624</v>
      </c>
      <c r="I55" s="1312">
        <f t="shared" si="7"/>
        <v>1.0284750534184648</v>
      </c>
      <c r="J55" s="906">
        <f>J56+J62</f>
        <v>90518</v>
      </c>
      <c r="K55" s="906">
        <f>K56+K62</f>
        <v>577142</v>
      </c>
      <c r="L55" s="1749">
        <f t="shared" ref="L55:L61" si="8">K55/E55</f>
        <v>1.219783959032106</v>
      </c>
      <c r="M55" s="2068"/>
      <c r="N55" s="2011"/>
    </row>
    <row r="56" spans="1:14" ht="12.75" customHeight="1">
      <c r="A56" s="2077"/>
      <c r="B56" s="2078"/>
      <c r="C56" s="2013" t="s">
        <v>20</v>
      </c>
      <c r="D56" s="1878" t="s">
        <v>366</v>
      </c>
      <c r="E56" s="1454">
        <f>SUM(E57:E61)</f>
        <v>473151</v>
      </c>
      <c r="F56" s="1454">
        <f>SUM(F57:F61)</f>
        <v>473151</v>
      </c>
      <c r="G56" s="1345">
        <f t="shared" ref="G56:H56" si="9">SUM(G57:G61)</f>
        <v>0</v>
      </c>
      <c r="H56" s="1454">
        <f t="shared" si="9"/>
        <v>486624</v>
      </c>
      <c r="I56" s="1312">
        <f t="shared" si="7"/>
        <v>1.0284750534184648</v>
      </c>
      <c r="J56" s="906">
        <f t="shared" ref="J56:K56" si="10">SUM(J57:J61)</f>
        <v>90518</v>
      </c>
      <c r="K56" s="906">
        <f t="shared" si="10"/>
        <v>577142</v>
      </c>
      <c r="L56" s="1749">
        <f t="shared" si="8"/>
        <v>1.219783959032106</v>
      </c>
      <c r="M56" s="2068"/>
      <c r="N56" s="2011"/>
    </row>
    <row r="57" spans="1:14" ht="12.75" customHeight="1">
      <c r="A57" s="2077"/>
      <c r="B57" s="2078"/>
      <c r="C57" s="2013"/>
      <c r="D57" s="1885">
        <v>4010</v>
      </c>
      <c r="E57" s="1881">
        <v>370849</v>
      </c>
      <c r="F57" s="1881">
        <v>370709</v>
      </c>
      <c r="G57" s="1787"/>
      <c r="H57" s="1881">
        <v>382465</v>
      </c>
      <c r="I57" s="1786">
        <f t="shared" si="7"/>
        <v>1.0313227216468157</v>
      </c>
      <c r="J57" s="1329">
        <v>73983</v>
      </c>
      <c r="K57" s="1329">
        <f>J57+H57</f>
        <v>456448</v>
      </c>
      <c r="L57" s="1749">
        <f t="shared" si="8"/>
        <v>1.23081901259003</v>
      </c>
      <c r="M57" s="2068"/>
      <c r="N57" s="2011"/>
    </row>
    <row r="58" spans="1:14" ht="11.25" customHeight="1">
      <c r="A58" s="2077"/>
      <c r="B58" s="2078"/>
      <c r="C58" s="2013"/>
      <c r="D58" s="1885">
        <v>4040</v>
      </c>
      <c r="E58" s="1881">
        <v>24692</v>
      </c>
      <c r="F58" s="1881">
        <v>24832</v>
      </c>
      <c r="G58" s="1787"/>
      <c r="H58" s="1881">
        <v>26640</v>
      </c>
      <c r="I58" s="1786">
        <f t="shared" si="7"/>
        <v>1.0788919488093309</v>
      </c>
      <c r="J58" s="1329">
        <v>1638</v>
      </c>
      <c r="K58" s="1329">
        <f t="shared" ref="K58:K61" si="11">J58+H58</f>
        <v>28278</v>
      </c>
      <c r="L58" s="1749">
        <f t="shared" si="8"/>
        <v>1.1452292240401749</v>
      </c>
      <c r="M58" s="2068"/>
      <c r="N58" s="2011"/>
    </row>
    <row r="59" spans="1:14" ht="12.75" customHeight="1">
      <c r="A59" s="2077"/>
      <c r="B59" s="2078"/>
      <c r="C59" s="2013"/>
      <c r="D59" s="1885">
        <v>4110</v>
      </c>
      <c r="E59" s="1881">
        <v>64420</v>
      </c>
      <c r="F59" s="1881">
        <v>64420</v>
      </c>
      <c r="G59" s="1787"/>
      <c r="H59" s="1881">
        <v>63287</v>
      </c>
      <c r="I59" s="1786">
        <f t="shared" si="7"/>
        <v>0.98241229431853461</v>
      </c>
      <c r="J59" s="1329">
        <v>12716</v>
      </c>
      <c r="K59" s="1329">
        <f t="shared" si="11"/>
        <v>76003</v>
      </c>
      <c r="L59" s="1749">
        <f t="shared" si="8"/>
        <v>1.1798044085687676</v>
      </c>
      <c r="M59" s="2068"/>
      <c r="N59" s="2011"/>
    </row>
    <row r="60" spans="1:14" ht="12.75" customHeight="1">
      <c r="A60" s="2077"/>
      <c r="B60" s="2078"/>
      <c r="C60" s="2013"/>
      <c r="D60" s="1885">
        <v>4120</v>
      </c>
      <c r="E60" s="1881">
        <v>9690</v>
      </c>
      <c r="F60" s="1881">
        <v>9690</v>
      </c>
      <c r="G60" s="1787"/>
      <c r="H60" s="1881">
        <v>10732</v>
      </c>
      <c r="I60" s="1786">
        <f t="shared" si="7"/>
        <v>1.1075335397316821</v>
      </c>
      <c r="J60" s="1329">
        <v>1812</v>
      </c>
      <c r="K60" s="1329">
        <f t="shared" si="11"/>
        <v>12544</v>
      </c>
      <c r="L60" s="1749">
        <f t="shared" si="8"/>
        <v>1.29453044375645</v>
      </c>
      <c r="M60" s="2068"/>
      <c r="N60" s="2011"/>
    </row>
    <row r="61" spans="1:14" ht="12.75" customHeight="1">
      <c r="A61" s="2077"/>
      <c r="B61" s="2078"/>
      <c r="C61" s="2013"/>
      <c r="D61" s="1885">
        <v>4710</v>
      </c>
      <c r="E61" s="1881">
        <v>3500</v>
      </c>
      <c r="F61" s="1881">
        <v>3500</v>
      </c>
      <c r="G61" s="1787"/>
      <c r="H61" s="1881">
        <v>3500</v>
      </c>
      <c r="I61" s="1786">
        <f t="shared" si="7"/>
        <v>1</v>
      </c>
      <c r="J61" s="1329">
        <v>369</v>
      </c>
      <c r="K61" s="1329">
        <f t="shared" si="11"/>
        <v>3869</v>
      </c>
      <c r="L61" s="1749">
        <f t="shared" si="8"/>
        <v>1.1054285714285714</v>
      </c>
      <c r="M61" s="2068"/>
      <c r="N61" s="2011"/>
    </row>
    <row r="62" spans="1:14" ht="12.75" customHeight="1">
      <c r="A62" s="2077"/>
      <c r="B62" s="2078"/>
      <c r="C62" s="2014" t="s">
        <v>376</v>
      </c>
      <c r="D62" s="1878"/>
      <c r="E62" s="1454"/>
      <c r="F62" s="1454"/>
      <c r="G62" s="1345"/>
      <c r="H62" s="1454"/>
      <c r="I62" s="1786"/>
      <c r="J62" s="906"/>
      <c r="K62" s="906"/>
      <c r="L62" s="1749"/>
      <c r="M62" s="2068"/>
      <c r="N62" s="2011"/>
    </row>
    <row r="63" spans="1:14" ht="12.75" hidden="1" customHeight="1">
      <c r="A63" s="2077"/>
      <c r="B63" s="2078"/>
      <c r="C63" s="2014"/>
      <c r="D63" s="1885">
        <v>4140</v>
      </c>
      <c r="E63" s="1881"/>
      <c r="F63" s="1881"/>
      <c r="G63" s="1787"/>
      <c r="H63" s="1881">
        <f>G63+E63</f>
        <v>0</v>
      </c>
      <c r="I63" s="1312" t="e">
        <f>H63/E63</f>
        <v>#DIV/0!</v>
      </c>
      <c r="J63" s="1329"/>
      <c r="K63" s="1329">
        <f>J63+H63</f>
        <v>0</v>
      </c>
      <c r="L63" s="1886"/>
      <c r="M63" s="2068"/>
      <c r="N63" s="2011"/>
    </row>
    <row r="64" spans="1:14" ht="12.75" hidden="1" customHeight="1">
      <c r="A64" s="2077"/>
      <c r="B64" s="2078"/>
      <c r="C64" s="2014"/>
      <c r="D64" s="1885">
        <v>4440</v>
      </c>
      <c r="E64" s="1881"/>
      <c r="F64" s="1881"/>
      <c r="G64" s="1787"/>
      <c r="H64" s="1881">
        <f>G64+E64</f>
        <v>0</v>
      </c>
      <c r="I64" s="1786" t="e">
        <f>H64/E64</f>
        <v>#DIV/0!</v>
      </c>
      <c r="J64" s="1329"/>
      <c r="K64" s="1329">
        <f>J64+H64</f>
        <v>0</v>
      </c>
      <c r="L64" s="1886"/>
      <c r="M64" s="2068"/>
      <c r="N64" s="2011"/>
    </row>
    <row r="65" spans="1:14" ht="12.75" customHeight="1">
      <c r="A65" s="2077"/>
      <c r="B65" s="2078"/>
      <c r="C65" s="1422" t="s">
        <v>23</v>
      </c>
      <c r="D65" s="1879"/>
      <c r="E65" s="1880"/>
      <c r="F65" s="1880"/>
      <c r="G65" s="1789"/>
      <c r="H65" s="1454"/>
      <c r="I65" s="1781"/>
      <c r="J65" s="906"/>
      <c r="K65" s="906"/>
      <c r="L65" s="1749"/>
      <c r="M65" s="2068"/>
      <c r="N65" s="2011"/>
    </row>
    <row r="66" spans="1:14" ht="12.75" customHeight="1">
      <c r="A66" s="2077"/>
      <c r="B66" s="2078"/>
      <c r="C66" s="1422" t="s">
        <v>24</v>
      </c>
      <c r="D66" s="1309"/>
      <c r="E66" s="1457"/>
      <c r="F66" s="1457"/>
      <c r="G66" s="1789"/>
      <c r="H66" s="1454"/>
      <c r="I66" s="1781"/>
      <c r="J66" s="906"/>
      <c r="K66" s="906"/>
      <c r="L66" s="1749"/>
      <c r="M66" s="2068"/>
      <c r="N66" s="2011"/>
    </row>
    <row r="67" spans="1:14" ht="22.5">
      <c r="A67" s="2077"/>
      <c r="B67" s="2078"/>
      <c r="C67" s="1428" t="s">
        <v>25</v>
      </c>
      <c r="D67" s="1309"/>
      <c r="E67" s="1425"/>
      <c r="F67" s="1425"/>
      <c r="G67" s="1789"/>
      <c r="H67" s="1454"/>
      <c r="I67" s="1781"/>
      <c r="J67" s="906"/>
      <c r="K67" s="906"/>
      <c r="L67" s="1749"/>
      <c r="M67" s="2068"/>
      <c r="N67" s="2011"/>
    </row>
    <row r="68" spans="1:14" ht="12.75" customHeight="1">
      <c r="A68" s="2077"/>
      <c r="B68" s="2078"/>
      <c r="C68" s="1422" t="s">
        <v>26</v>
      </c>
      <c r="D68" s="1309"/>
      <c r="E68" s="1425"/>
      <c r="F68" s="1425"/>
      <c r="G68" s="1789"/>
      <c r="H68" s="1454"/>
      <c r="I68" s="1781"/>
      <c r="J68" s="906"/>
      <c r="K68" s="906"/>
      <c r="L68" s="1749"/>
      <c r="M68" s="2068"/>
      <c r="N68" s="2011"/>
    </row>
    <row r="69" spans="1:14" ht="12.75" customHeight="1">
      <c r="A69" s="2077"/>
      <c r="B69" s="2078"/>
      <c r="C69" s="1422" t="s">
        <v>27</v>
      </c>
      <c r="D69" s="1309"/>
      <c r="E69" s="1425"/>
      <c r="F69" s="1425"/>
      <c r="G69" s="1789"/>
      <c r="H69" s="1454"/>
      <c r="I69" s="1781"/>
      <c r="J69" s="906"/>
      <c r="K69" s="906"/>
      <c r="L69" s="1749"/>
      <c r="M69" s="2068"/>
      <c r="N69" s="2011"/>
    </row>
    <row r="70" spans="1:14" ht="12.75" customHeight="1">
      <c r="A70" s="2077"/>
      <c r="B70" s="2078"/>
      <c r="C70" s="1308" t="s">
        <v>28</v>
      </c>
      <c r="D70" s="1309"/>
      <c r="E70" s="1310">
        <f>SUM(E71+E73+E74)</f>
        <v>0</v>
      </c>
      <c r="F70" s="1310">
        <f>SUM(F71+F73+F74)</f>
        <v>0</v>
      </c>
      <c r="G70" s="1311">
        <f>SUM(G71+G73+G74)</f>
        <v>0</v>
      </c>
      <c r="H70" s="1310">
        <f>SUM(H71+H73+H74)</f>
        <v>0</v>
      </c>
      <c r="I70" s="1420"/>
      <c r="J70" s="1313">
        <f>SUM(J71+J73+J74)</f>
        <v>0</v>
      </c>
      <c r="K70" s="1313">
        <f>SUM(K71+K73+K74)</f>
        <v>0</v>
      </c>
      <c r="L70" s="1314"/>
      <c r="M70" s="2068"/>
      <c r="N70" s="2011"/>
    </row>
    <row r="71" spans="1:14" ht="12.75" customHeight="1">
      <c r="A71" s="2077"/>
      <c r="B71" s="2078"/>
      <c r="C71" s="1422" t="s">
        <v>29</v>
      </c>
      <c r="D71" s="1309"/>
      <c r="E71" s="1425"/>
      <c r="F71" s="1425"/>
      <c r="G71" s="1789"/>
      <c r="H71" s="1454"/>
      <c r="I71" s="1781"/>
      <c r="J71" s="906"/>
      <c r="K71" s="906"/>
      <c r="L71" s="1749"/>
      <c r="M71" s="2068"/>
      <c r="N71" s="2011"/>
    </row>
    <row r="72" spans="1:14" ht="22.5">
      <c r="A72" s="2077"/>
      <c r="B72" s="2078"/>
      <c r="C72" s="1428" t="s">
        <v>30</v>
      </c>
      <c r="D72" s="1309"/>
      <c r="E72" s="1425"/>
      <c r="F72" s="1425"/>
      <c r="G72" s="1789"/>
      <c r="H72" s="1454"/>
      <c r="I72" s="1781"/>
      <c r="J72" s="906"/>
      <c r="K72" s="906"/>
      <c r="L72" s="1749"/>
      <c r="M72" s="2068"/>
      <c r="N72" s="2011"/>
    </row>
    <row r="73" spans="1:14" ht="12.75" customHeight="1">
      <c r="A73" s="2077"/>
      <c r="B73" s="2078"/>
      <c r="C73" s="1422" t="s">
        <v>31</v>
      </c>
      <c r="D73" s="1309"/>
      <c r="E73" s="1425"/>
      <c r="F73" s="1425"/>
      <c r="G73" s="1789"/>
      <c r="H73" s="1454"/>
      <c r="I73" s="1781"/>
      <c r="J73" s="906"/>
      <c r="K73" s="906"/>
      <c r="L73" s="1749"/>
      <c r="M73" s="2068"/>
      <c r="N73" s="2011"/>
    </row>
    <row r="74" spans="1:14" ht="15.75" thickBot="1">
      <c r="A74" s="2085"/>
      <c r="B74" s="2086"/>
      <c r="C74" s="1039" t="s">
        <v>32</v>
      </c>
      <c r="D74" s="1633"/>
      <c r="E74" s="1637"/>
      <c r="F74" s="1637"/>
      <c r="G74" s="1806"/>
      <c r="H74" s="1650"/>
      <c r="I74" s="1837"/>
      <c r="J74" s="681"/>
      <c r="K74" s="681"/>
      <c r="L74" s="1869"/>
      <c r="M74" s="2069"/>
      <c r="N74" s="2012"/>
    </row>
    <row r="75" spans="1:14" ht="14.25" customHeight="1">
      <c r="A75" s="438" t="s">
        <v>60</v>
      </c>
      <c r="B75" s="439"/>
      <c r="C75" s="1871" t="s">
        <v>61</v>
      </c>
      <c r="D75" s="1872"/>
      <c r="E75" s="1873">
        <f>E76</f>
        <v>650000</v>
      </c>
      <c r="F75" s="1873">
        <f>F76</f>
        <v>650000</v>
      </c>
      <c r="G75" s="1874">
        <f>G76</f>
        <v>0</v>
      </c>
      <c r="H75" s="1873">
        <f>H76</f>
        <v>715000</v>
      </c>
      <c r="I75" s="396">
        <f>H75/E75</f>
        <v>1.1000000000000001</v>
      </c>
      <c r="J75" s="395">
        <f>J76</f>
        <v>-385000</v>
      </c>
      <c r="K75" s="395">
        <f>K76</f>
        <v>330000</v>
      </c>
      <c r="L75" s="1813">
        <f>K75/E75</f>
        <v>0.50769230769230766</v>
      </c>
      <c r="M75" s="1875"/>
      <c r="N75" s="736"/>
    </row>
    <row r="76" spans="1:14" ht="12.75" customHeight="1">
      <c r="A76" s="2077"/>
      <c r="B76" s="2078" t="s">
        <v>62</v>
      </c>
      <c r="C76" s="1447" t="s">
        <v>63</v>
      </c>
      <c r="D76" s="1876"/>
      <c r="E76" s="1449">
        <f>SUM(E77+E86)</f>
        <v>650000</v>
      </c>
      <c r="F76" s="1449">
        <f>SUM(F77+F86)</f>
        <v>650000</v>
      </c>
      <c r="G76" s="1336">
        <f>SUM(G77+G86)</f>
        <v>0</v>
      </c>
      <c r="H76" s="1449">
        <f>SUM(H77+H86)</f>
        <v>715000</v>
      </c>
      <c r="I76" s="1825">
        <f>H76/E76</f>
        <v>1.1000000000000001</v>
      </c>
      <c r="J76" s="1321">
        <f>SUM(J77+J86)</f>
        <v>-385000</v>
      </c>
      <c r="K76" s="1321">
        <f>SUM(K77+K86)</f>
        <v>330000</v>
      </c>
      <c r="L76" s="1799">
        <f>K76/E76</f>
        <v>0.50769230769230766</v>
      </c>
      <c r="M76" s="2068" t="s">
        <v>381</v>
      </c>
      <c r="N76" s="2010" t="s">
        <v>382</v>
      </c>
    </row>
    <row r="77" spans="1:14" ht="12.75" customHeight="1">
      <c r="A77" s="2060"/>
      <c r="B77" s="2061"/>
      <c r="C77" s="1418" t="s">
        <v>18</v>
      </c>
      <c r="D77" s="1877"/>
      <c r="E77" s="1452">
        <f>E78+E81+E82+E83+E84+E85</f>
        <v>0</v>
      </c>
      <c r="F77" s="1452">
        <f>F78+F81+F82+F83+F84+F85</f>
        <v>0</v>
      </c>
      <c r="G77" s="1341">
        <f>G78+G81+G82+G83+G84+G85</f>
        <v>0</v>
      </c>
      <c r="H77" s="1452">
        <f>H78+H81+H82+H83+H84+H85</f>
        <v>0</v>
      </c>
      <c r="I77" s="1781"/>
      <c r="J77" s="903">
        <f>J78+J81+J82+J83+J84+J85</f>
        <v>0</v>
      </c>
      <c r="K77" s="903">
        <f>K78+K81+K82+K83+K84+K85</f>
        <v>0</v>
      </c>
      <c r="L77" s="1782"/>
      <c r="M77" s="2079"/>
      <c r="N77" s="2080"/>
    </row>
    <row r="78" spans="1:14" ht="12.75" customHeight="1">
      <c r="A78" s="2060"/>
      <c r="B78" s="2061"/>
      <c r="C78" s="1422" t="s">
        <v>19</v>
      </c>
      <c r="D78" s="1877"/>
      <c r="E78" s="1454"/>
      <c r="F78" s="1454"/>
      <c r="G78" s="1345"/>
      <c r="H78" s="1454"/>
      <c r="I78" s="1312"/>
      <c r="J78" s="906"/>
      <c r="K78" s="906"/>
      <c r="L78" s="1749"/>
      <c r="M78" s="2079"/>
      <c r="N78" s="2080"/>
    </row>
    <row r="79" spans="1:14" ht="12.75" customHeight="1">
      <c r="A79" s="2060"/>
      <c r="B79" s="2061"/>
      <c r="C79" s="1459" t="s">
        <v>20</v>
      </c>
      <c r="D79" s="1878"/>
      <c r="E79" s="1454"/>
      <c r="F79" s="1454"/>
      <c r="G79" s="1345" t="e">
        <f>SUM(#REF!)</f>
        <v>#REF!</v>
      </c>
      <c r="H79" s="1454"/>
      <c r="I79" s="1312"/>
      <c r="J79" s="906"/>
      <c r="K79" s="906"/>
      <c r="L79" s="1749"/>
      <c r="M79" s="2079"/>
      <c r="N79" s="2080"/>
    </row>
    <row r="80" spans="1:14" ht="12.75" customHeight="1">
      <c r="A80" s="2060"/>
      <c r="B80" s="2061"/>
      <c r="C80" s="1503" t="s">
        <v>376</v>
      </c>
      <c r="D80" s="1878"/>
      <c r="E80" s="1454"/>
      <c r="F80" s="1454"/>
      <c r="G80" s="1345"/>
      <c r="H80" s="1454"/>
      <c r="I80" s="1786"/>
      <c r="J80" s="906"/>
      <c r="K80" s="906"/>
      <c r="L80" s="1749"/>
      <c r="M80" s="2079"/>
      <c r="N80" s="2080"/>
    </row>
    <row r="81" spans="1:14" ht="12.75" customHeight="1">
      <c r="A81" s="2060"/>
      <c r="B81" s="2061"/>
      <c r="C81" s="1422" t="s">
        <v>23</v>
      </c>
      <c r="D81" s="1879"/>
      <c r="E81" s="1880"/>
      <c r="F81" s="1880"/>
      <c r="G81" s="1789"/>
      <c r="H81" s="1454"/>
      <c r="I81" s="1781"/>
      <c r="J81" s="906"/>
      <c r="K81" s="906"/>
      <c r="L81" s="1749"/>
      <c r="M81" s="2079"/>
      <c r="N81" s="2080"/>
    </row>
    <row r="82" spans="1:14" ht="12.75" customHeight="1">
      <c r="A82" s="2060"/>
      <c r="B82" s="2061"/>
      <c r="C82" s="1422" t="s">
        <v>24</v>
      </c>
      <c r="D82" s="1309"/>
      <c r="E82" s="1457"/>
      <c r="F82" s="1457"/>
      <c r="G82" s="1789"/>
      <c r="H82" s="1454"/>
      <c r="I82" s="1781"/>
      <c r="J82" s="906"/>
      <c r="K82" s="906"/>
      <c r="L82" s="1749"/>
      <c r="M82" s="2079"/>
      <c r="N82" s="2080"/>
    </row>
    <row r="83" spans="1:14" ht="22.5">
      <c r="A83" s="2060"/>
      <c r="B83" s="2061"/>
      <c r="C83" s="1428" t="s">
        <v>25</v>
      </c>
      <c r="D83" s="1309"/>
      <c r="E83" s="1425"/>
      <c r="F83" s="1425"/>
      <c r="G83" s="1789"/>
      <c r="H83" s="1454"/>
      <c r="I83" s="1781"/>
      <c r="J83" s="906"/>
      <c r="K83" s="906"/>
      <c r="L83" s="1749"/>
      <c r="M83" s="2079"/>
      <c r="N83" s="2080"/>
    </row>
    <row r="84" spans="1:14" ht="12.75" customHeight="1">
      <c r="A84" s="2060"/>
      <c r="B84" s="2061"/>
      <c r="C84" s="1422" t="s">
        <v>26</v>
      </c>
      <c r="D84" s="1309"/>
      <c r="E84" s="1425"/>
      <c r="F84" s="1425"/>
      <c r="G84" s="1789"/>
      <c r="H84" s="1454"/>
      <c r="I84" s="1781"/>
      <c r="J84" s="906"/>
      <c r="K84" s="906"/>
      <c r="L84" s="1749"/>
      <c r="M84" s="2079"/>
      <c r="N84" s="2080"/>
    </row>
    <row r="85" spans="1:14" ht="12.75" customHeight="1">
      <c r="A85" s="2060"/>
      <c r="B85" s="2061"/>
      <c r="C85" s="1422" t="s">
        <v>27</v>
      </c>
      <c r="D85" s="1309"/>
      <c r="E85" s="1425"/>
      <c r="F85" s="1425"/>
      <c r="G85" s="1789"/>
      <c r="H85" s="1454"/>
      <c r="I85" s="1781"/>
      <c r="J85" s="906"/>
      <c r="K85" s="906"/>
      <c r="L85" s="1749"/>
      <c r="M85" s="2079"/>
      <c r="N85" s="2080"/>
    </row>
    <row r="86" spans="1:14" ht="12.75" customHeight="1">
      <c r="A86" s="2060"/>
      <c r="B86" s="2061"/>
      <c r="C86" s="1308" t="s">
        <v>28</v>
      </c>
      <c r="D86" s="1309"/>
      <c r="E86" s="1310">
        <f>SUM(E87+E89+E90)</f>
        <v>650000</v>
      </c>
      <c r="F86" s="1310">
        <f>SUM(F87+F89+F90)</f>
        <v>650000</v>
      </c>
      <c r="G86" s="1311">
        <f>SUM(G87+G89+G90)</f>
        <v>0</v>
      </c>
      <c r="H86" s="1310">
        <f>SUM(H87+H89+H90)</f>
        <v>715000</v>
      </c>
      <c r="I86" s="1420">
        <f>H86/E86</f>
        <v>1.1000000000000001</v>
      </c>
      <c r="J86" s="1313">
        <f>SUM(J87+J89+J90)</f>
        <v>-385000</v>
      </c>
      <c r="K86" s="1313">
        <f>SUM(K87+K89+K90)</f>
        <v>330000</v>
      </c>
      <c r="L86" s="1782">
        <f t="shared" ref="L86:L87" si="12">K86/E86</f>
        <v>0.50769230769230766</v>
      </c>
      <c r="M86" s="2079"/>
      <c r="N86" s="2080"/>
    </row>
    <row r="87" spans="1:14" ht="12.75" customHeight="1">
      <c r="A87" s="2060"/>
      <c r="B87" s="2061"/>
      <c r="C87" s="1422" t="s">
        <v>29</v>
      </c>
      <c r="D87" s="1878">
        <v>6050</v>
      </c>
      <c r="E87" s="1425">
        <v>650000</v>
      </c>
      <c r="F87" s="1425">
        <v>650000</v>
      </c>
      <c r="G87" s="1789"/>
      <c r="H87" s="1881">
        <v>715000</v>
      </c>
      <c r="I87" s="1786">
        <f t="shared" ref="I87" si="13">H87/E87</f>
        <v>1.1000000000000001</v>
      </c>
      <c r="J87" s="906">
        <v>-385000</v>
      </c>
      <c r="K87" s="1329">
        <f>J87+H87</f>
        <v>330000</v>
      </c>
      <c r="L87" s="1749">
        <f t="shared" si="12"/>
        <v>0.50769230769230766</v>
      </c>
      <c r="M87" s="2079"/>
      <c r="N87" s="2080"/>
    </row>
    <row r="88" spans="1:14" ht="22.5">
      <c r="A88" s="2060"/>
      <c r="B88" s="2061"/>
      <c r="C88" s="1428" t="s">
        <v>30</v>
      </c>
      <c r="D88" s="1309"/>
      <c r="E88" s="1425"/>
      <c r="F88" s="1425"/>
      <c r="G88" s="1789"/>
      <c r="H88" s="1454"/>
      <c r="I88" s="1781"/>
      <c r="J88" s="906"/>
      <c r="K88" s="906"/>
      <c r="L88" s="1749"/>
      <c r="M88" s="2079"/>
      <c r="N88" s="2080"/>
    </row>
    <row r="89" spans="1:14" ht="12.75" customHeight="1">
      <c r="A89" s="2060"/>
      <c r="B89" s="2061"/>
      <c r="C89" s="1422" t="s">
        <v>31</v>
      </c>
      <c r="D89" s="1309"/>
      <c r="E89" s="1425"/>
      <c r="F89" s="1425"/>
      <c r="G89" s="1789"/>
      <c r="H89" s="1454"/>
      <c r="I89" s="1781"/>
      <c r="J89" s="906"/>
      <c r="K89" s="906"/>
      <c r="L89" s="1749"/>
      <c r="M89" s="2079"/>
      <c r="N89" s="2080"/>
    </row>
    <row r="90" spans="1:14" ht="12.75" customHeight="1">
      <c r="A90" s="2060"/>
      <c r="B90" s="2061"/>
      <c r="C90" s="1422" t="s">
        <v>32</v>
      </c>
      <c r="D90" s="1309"/>
      <c r="E90" s="1425"/>
      <c r="F90" s="1425"/>
      <c r="G90" s="1789"/>
      <c r="H90" s="1454"/>
      <c r="I90" s="1781"/>
      <c r="J90" s="906"/>
      <c r="K90" s="906"/>
      <c r="L90" s="1749"/>
      <c r="M90" s="2079"/>
      <c r="N90" s="2081"/>
    </row>
    <row r="91" spans="1:14" ht="14.25" customHeight="1">
      <c r="A91" s="1012" t="s">
        <v>14</v>
      </c>
      <c r="B91" s="1445"/>
      <c r="C91" s="1446" t="s">
        <v>363</v>
      </c>
      <c r="D91" s="1882"/>
      <c r="E91" s="1498">
        <f>SUM(E92+E115+E203)</f>
        <v>121693658</v>
      </c>
      <c r="F91" s="1498">
        <f>SUM(F92+F115+F203)</f>
        <v>124218158</v>
      </c>
      <c r="G91" s="1364">
        <f>SUM(G92+G115+G203)</f>
        <v>0</v>
      </c>
      <c r="H91" s="1498">
        <f>SUM(H92+H115+H203)</f>
        <v>144629917</v>
      </c>
      <c r="I91" s="1883">
        <f t="shared" ref="I91:I101" si="14">H91/E91</f>
        <v>1.1884753846416549</v>
      </c>
      <c r="J91" s="1369">
        <f>SUM(J92+J115)</f>
        <v>10991755</v>
      </c>
      <c r="K91" s="1369">
        <f>SUM(K92+K115+K203)</f>
        <v>155621672</v>
      </c>
      <c r="L91" s="1497">
        <f>K91/E91</f>
        <v>1.2787985385401104</v>
      </c>
      <c r="M91" s="1884"/>
      <c r="N91" s="736"/>
    </row>
    <row r="92" spans="1:14" ht="12.75" customHeight="1">
      <c r="A92" s="2042"/>
      <c r="B92" s="1959" t="s">
        <v>383</v>
      </c>
      <c r="C92" s="1447" t="s">
        <v>384</v>
      </c>
      <c r="D92" s="1876"/>
      <c r="E92" s="1449">
        <f>SUM(E93+E110)</f>
        <v>1681860</v>
      </c>
      <c r="F92" s="1449">
        <f>SUM(F93+F110)</f>
        <v>1681860</v>
      </c>
      <c r="G92" s="1336">
        <f>SUM(G93+G110)</f>
        <v>0</v>
      </c>
      <c r="H92" s="1449">
        <f>SUM(H93+H110)</f>
        <v>1655839</v>
      </c>
      <c r="I92" s="1825">
        <f t="shared" si="14"/>
        <v>0.98452843875233376</v>
      </c>
      <c r="J92" s="1321">
        <f>SUM(J93+J110)</f>
        <v>522189</v>
      </c>
      <c r="K92" s="1321">
        <f>SUM(K93+K110)</f>
        <v>2178028</v>
      </c>
      <c r="L92" s="1799">
        <f>K92/E92</f>
        <v>1.2950114753903417</v>
      </c>
      <c r="M92" s="2068" t="s">
        <v>385</v>
      </c>
      <c r="N92" s="2010" t="s">
        <v>386</v>
      </c>
    </row>
    <row r="93" spans="1:14" ht="12.75" customHeight="1">
      <c r="A93" s="2042"/>
      <c r="B93" s="2082"/>
      <c r="C93" s="1418" t="s">
        <v>18</v>
      </c>
      <c r="D93" s="1877"/>
      <c r="E93" s="1452">
        <f>E94+E105+E106+E107+E108+E109</f>
        <v>1681860</v>
      </c>
      <c r="F93" s="1452">
        <f>F94+F105+F106+F107+F108+F109</f>
        <v>1681860</v>
      </c>
      <c r="G93" s="1341">
        <f>G94+G105+G106+G107+G108+G109</f>
        <v>0</v>
      </c>
      <c r="H93" s="1452">
        <f>H94+H105+H106+H107+H108+H109</f>
        <v>1655839</v>
      </c>
      <c r="I93" s="1781">
        <f t="shared" si="14"/>
        <v>0.98452843875233376</v>
      </c>
      <c r="J93" s="903">
        <f>J94+J105+J106+J107+J108+J109</f>
        <v>522189</v>
      </c>
      <c r="K93" s="903">
        <f>K94+K105+K106+K107+K108+K109</f>
        <v>2178028</v>
      </c>
      <c r="L93" s="1782">
        <f t="shared" ref="L93:L101" si="15">K93/E93</f>
        <v>1.2950114753903417</v>
      </c>
      <c r="M93" s="2068"/>
      <c r="N93" s="2011"/>
    </row>
    <row r="94" spans="1:14" ht="12.75" customHeight="1">
      <c r="A94" s="2042"/>
      <c r="B94" s="2082"/>
      <c r="C94" s="1422" t="s">
        <v>19</v>
      </c>
      <c r="D94" s="1877"/>
      <c r="E94" s="1454">
        <f>E95+E102</f>
        <v>1681860</v>
      </c>
      <c r="F94" s="1454">
        <f>F95+F102</f>
        <v>1681860</v>
      </c>
      <c r="G94" s="1345">
        <f>G95+G102</f>
        <v>0</v>
      </c>
      <c r="H94" s="1454">
        <f>H95+H102</f>
        <v>1655839</v>
      </c>
      <c r="I94" s="1312">
        <f t="shared" si="14"/>
        <v>0.98452843875233376</v>
      </c>
      <c r="J94" s="906">
        <f>J95+J102</f>
        <v>522189</v>
      </c>
      <c r="K94" s="906">
        <f>K95+K102</f>
        <v>2178028</v>
      </c>
      <c r="L94" s="1749">
        <f t="shared" si="15"/>
        <v>1.2950114753903417</v>
      </c>
      <c r="M94" s="2068"/>
      <c r="N94" s="2011"/>
    </row>
    <row r="95" spans="1:14" ht="19.5" customHeight="1">
      <c r="A95" s="2042"/>
      <c r="B95" s="2082"/>
      <c r="C95" s="2013" t="s">
        <v>20</v>
      </c>
      <c r="D95" s="1878" t="s">
        <v>366</v>
      </c>
      <c r="E95" s="1454">
        <f>SUM(E96:E101)</f>
        <v>1681860</v>
      </c>
      <c r="F95" s="1454">
        <f>SUM(F96:F101)</f>
        <v>1681860</v>
      </c>
      <c r="G95" s="1345">
        <f t="shared" ref="G95:K95" si="16">SUM(G96:G101)</f>
        <v>0</v>
      </c>
      <c r="H95" s="1454">
        <f t="shared" si="16"/>
        <v>1655839</v>
      </c>
      <c r="I95" s="1312">
        <f t="shared" si="14"/>
        <v>0.98452843875233376</v>
      </c>
      <c r="J95" s="906">
        <f>SUM(J96:J101)</f>
        <v>522189</v>
      </c>
      <c r="K95" s="906">
        <f t="shared" si="16"/>
        <v>2178028</v>
      </c>
      <c r="L95" s="1749">
        <f t="shared" si="15"/>
        <v>1.2950114753903417</v>
      </c>
      <c r="M95" s="2068"/>
      <c r="N95" s="2011"/>
    </row>
    <row r="96" spans="1:14" ht="12.75" customHeight="1">
      <c r="A96" s="2042"/>
      <c r="B96" s="2082"/>
      <c r="C96" s="2013"/>
      <c r="D96" s="1885">
        <v>4010</v>
      </c>
      <c r="E96" s="1881">
        <v>1306500</v>
      </c>
      <c r="F96" s="1881">
        <v>1306500</v>
      </c>
      <c r="G96" s="1787"/>
      <c r="H96" s="1881">
        <v>1295569</v>
      </c>
      <c r="I96" s="1786">
        <f t="shared" si="14"/>
        <v>0.99163337160352083</v>
      </c>
      <c r="J96" s="1329">
        <v>421039</v>
      </c>
      <c r="K96" s="1329">
        <f>J96+H96</f>
        <v>1716608</v>
      </c>
      <c r="L96" s="1749">
        <f t="shared" si="15"/>
        <v>1.3138982013011864</v>
      </c>
      <c r="M96" s="2068"/>
      <c r="N96" s="2011"/>
    </row>
    <row r="97" spans="1:14" ht="12.75" customHeight="1">
      <c r="A97" s="2042"/>
      <c r="B97" s="2082"/>
      <c r="C97" s="2013"/>
      <c r="D97" s="1885">
        <v>4040</v>
      </c>
      <c r="E97" s="1881">
        <v>90066</v>
      </c>
      <c r="F97" s="1881">
        <v>90066</v>
      </c>
      <c r="G97" s="1787"/>
      <c r="H97" s="1881">
        <v>95853</v>
      </c>
      <c r="I97" s="1786">
        <f t="shared" si="14"/>
        <v>1.0642528812204384</v>
      </c>
      <c r="J97" s="1329">
        <v>16355</v>
      </c>
      <c r="K97" s="1329">
        <f t="shared" ref="K97:K101" si="17">J97+H97</f>
        <v>112208</v>
      </c>
      <c r="L97" s="1749">
        <f t="shared" si="15"/>
        <v>1.2458419381342571</v>
      </c>
      <c r="M97" s="2068"/>
      <c r="N97" s="2011"/>
    </row>
    <row r="98" spans="1:14" ht="12.75" customHeight="1">
      <c r="A98" s="2042"/>
      <c r="B98" s="2082"/>
      <c r="C98" s="2013"/>
      <c r="D98" s="1885">
        <v>4110</v>
      </c>
      <c r="E98" s="1881">
        <v>240069</v>
      </c>
      <c r="F98" s="1881">
        <v>240069</v>
      </c>
      <c r="G98" s="1787"/>
      <c r="H98" s="1881">
        <v>216672</v>
      </c>
      <c r="I98" s="1786">
        <f t="shared" si="14"/>
        <v>0.90254051960061488</v>
      </c>
      <c r="J98" s="1329">
        <v>72376</v>
      </c>
      <c r="K98" s="1329">
        <f t="shared" si="17"/>
        <v>289048</v>
      </c>
      <c r="L98" s="1749">
        <f t="shared" si="15"/>
        <v>1.2040205107698203</v>
      </c>
      <c r="M98" s="2068"/>
      <c r="N98" s="2011"/>
    </row>
    <row r="99" spans="1:14" ht="12.75" customHeight="1">
      <c r="A99" s="2042"/>
      <c r="B99" s="2082"/>
      <c r="C99" s="2013"/>
      <c r="D99" s="1885">
        <v>4120</v>
      </c>
      <c r="E99" s="1881">
        <v>34225</v>
      </c>
      <c r="F99" s="1881">
        <v>34225</v>
      </c>
      <c r="G99" s="1787"/>
      <c r="H99" s="1881">
        <v>36745</v>
      </c>
      <c r="I99" s="1786">
        <f t="shared" si="14"/>
        <v>1.0736303871439006</v>
      </c>
      <c r="J99" s="1329">
        <v>10314</v>
      </c>
      <c r="K99" s="1329">
        <f t="shared" si="17"/>
        <v>47059</v>
      </c>
      <c r="L99" s="1749">
        <f t="shared" si="15"/>
        <v>1.3749890430971512</v>
      </c>
      <c r="M99" s="2068"/>
      <c r="N99" s="2011"/>
    </row>
    <row r="100" spans="1:14" ht="12.75" customHeight="1">
      <c r="A100" s="2042"/>
      <c r="B100" s="2082"/>
      <c r="C100" s="2013"/>
      <c r="D100" s="1885">
        <v>4170</v>
      </c>
      <c r="E100" s="1881">
        <v>5000</v>
      </c>
      <c r="F100" s="1881">
        <v>5000</v>
      </c>
      <c r="G100" s="1787"/>
      <c r="H100" s="1881">
        <v>5000</v>
      </c>
      <c r="I100" s="1786">
        <f t="shared" si="14"/>
        <v>1</v>
      </c>
      <c r="J100" s="1329">
        <v>0</v>
      </c>
      <c r="K100" s="1329">
        <f t="shared" si="17"/>
        <v>5000</v>
      </c>
      <c r="L100" s="1749">
        <f t="shared" si="15"/>
        <v>1</v>
      </c>
      <c r="M100" s="2068"/>
      <c r="N100" s="2011"/>
    </row>
    <row r="101" spans="1:14" ht="12.75" customHeight="1">
      <c r="A101" s="2042"/>
      <c r="B101" s="2082"/>
      <c r="C101" s="2070"/>
      <c r="D101" s="1885">
        <v>4710</v>
      </c>
      <c r="E101" s="1881">
        <v>6000</v>
      </c>
      <c r="F101" s="1881">
        <v>6000</v>
      </c>
      <c r="G101" s="1787"/>
      <c r="H101" s="1881">
        <f t="shared" ref="H101" si="18">G101+E101</f>
        <v>6000</v>
      </c>
      <c r="I101" s="1786">
        <f t="shared" si="14"/>
        <v>1</v>
      </c>
      <c r="J101" s="1329">
        <v>2105</v>
      </c>
      <c r="K101" s="1329">
        <f t="shared" si="17"/>
        <v>8105</v>
      </c>
      <c r="L101" s="1749">
        <f t="shared" si="15"/>
        <v>1.3508333333333333</v>
      </c>
      <c r="M101" s="2068"/>
      <c r="N101" s="2011"/>
    </row>
    <row r="102" spans="1:14" ht="12.75" customHeight="1">
      <c r="A102" s="2042"/>
      <c r="B102" s="2082"/>
      <c r="C102" s="2014" t="s">
        <v>376</v>
      </c>
      <c r="D102" s="1878"/>
      <c r="E102" s="1454"/>
      <c r="F102" s="1454"/>
      <c r="G102" s="1345"/>
      <c r="H102" s="1454"/>
      <c r="I102" s="1312"/>
      <c r="J102" s="906"/>
      <c r="K102" s="906"/>
      <c r="L102" s="1749"/>
      <c r="M102" s="2068"/>
      <c r="N102" s="2011"/>
    </row>
    <row r="103" spans="1:14" ht="12.75" hidden="1" customHeight="1">
      <c r="A103" s="2042"/>
      <c r="B103" s="2082"/>
      <c r="C103" s="2014"/>
      <c r="D103" s="1885">
        <v>4140</v>
      </c>
      <c r="E103" s="1881"/>
      <c r="F103" s="1881"/>
      <c r="G103" s="1787"/>
      <c r="H103" s="1881">
        <f>G103+E103</f>
        <v>0</v>
      </c>
      <c r="I103" s="1786" t="e">
        <f>H103/E103</f>
        <v>#DIV/0!</v>
      </c>
      <c r="J103" s="1329"/>
      <c r="K103" s="1329">
        <f>J103+H103</f>
        <v>0</v>
      </c>
      <c r="L103" s="1886"/>
      <c r="M103" s="2068"/>
      <c r="N103" s="2011"/>
    </row>
    <row r="104" spans="1:14" ht="12.75" hidden="1" customHeight="1">
      <c r="A104" s="2042"/>
      <c r="B104" s="2082"/>
      <c r="C104" s="2014"/>
      <c r="D104" s="1885">
        <v>4440</v>
      </c>
      <c r="E104" s="1881"/>
      <c r="F104" s="1881"/>
      <c r="G104" s="1787"/>
      <c r="H104" s="1881">
        <f>G104+E104</f>
        <v>0</v>
      </c>
      <c r="I104" s="1786" t="e">
        <f>H104/E104</f>
        <v>#DIV/0!</v>
      </c>
      <c r="J104" s="1329"/>
      <c r="K104" s="1329">
        <f>J104+H104</f>
        <v>0</v>
      </c>
      <c r="L104" s="1886"/>
      <c r="M104" s="2068"/>
      <c r="N104" s="2011"/>
    </row>
    <row r="105" spans="1:14" ht="12.75" customHeight="1" thickBot="1">
      <c r="A105" s="2045"/>
      <c r="B105" s="2082"/>
      <c r="C105" s="1422" t="s">
        <v>23</v>
      </c>
      <c r="D105" s="1879"/>
      <c r="E105" s="1880"/>
      <c r="F105" s="1880"/>
      <c r="G105" s="1789"/>
      <c r="H105" s="1454"/>
      <c r="I105" s="1781"/>
      <c r="J105" s="906"/>
      <c r="K105" s="906"/>
      <c r="L105" s="1749"/>
      <c r="M105" s="2084"/>
      <c r="N105" s="2023"/>
    </row>
    <row r="106" spans="1:14" ht="12.75" customHeight="1">
      <c r="A106" s="2053"/>
      <c r="B106" s="2082"/>
      <c r="C106" s="1422" t="s">
        <v>24</v>
      </c>
      <c r="D106" s="1309"/>
      <c r="E106" s="1457"/>
      <c r="F106" s="1457"/>
      <c r="G106" s="1789"/>
      <c r="H106" s="1454"/>
      <c r="I106" s="1781"/>
      <c r="J106" s="906"/>
      <c r="K106" s="906"/>
      <c r="L106" s="1749"/>
      <c r="M106" s="2063"/>
      <c r="N106" s="2040"/>
    </row>
    <row r="107" spans="1:14" ht="22.5">
      <c r="A107" s="2042"/>
      <c r="B107" s="2082"/>
      <c r="C107" s="1428" t="s">
        <v>25</v>
      </c>
      <c r="D107" s="1309"/>
      <c r="E107" s="1425"/>
      <c r="F107" s="1425"/>
      <c r="G107" s="1789"/>
      <c r="H107" s="1454"/>
      <c r="I107" s="1781"/>
      <c r="J107" s="906"/>
      <c r="K107" s="906"/>
      <c r="L107" s="1749"/>
      <c r="M107" s="2064"/>
      <c r="N107" s="2030"/>
    </row>
    <row r="108" spans="1:14" ht="12.75" customHeight="1">
      <c r="A108" s="2042"/>
      <c r="B108" s="2082"/>
      <c r="C108" s="1422" t="s">
        <v>26</v>
      </c>
      <c r="D108" s="1309"/>
      <c r="E108" s="1425"/>
      <c r="F108" s="1425"/>
      <c r="G108" s="1789"/>
      <c r="H108" s="1454"/>
      <c r="I108" s="1781"/>
      <c r="J108" s="906"/>
      <c r="K108" s="906"/>
      <c r="L108" s="1749"/>
      <c r="M108" s="2064"/>
      <c r="N108" s="2030"/>
    </row>
    <row r="109" spans="1:14" ht="12.75" customHeight="1">
      <c r="A109" s="2042"/>
      <c r="B109" s="2082"/>
      <c r="C109" s="1422" t="s">
        <v>27</v>
      </c>
      <c r="D109" s="1309"/>
      <c r="E109" s="1425"/>
      <c r="F109" s="1425"/>
      <c r="G109" s="1789"/>
      <c r="H109" s="1454"/>
      <c r="I109" s="1781"/>
      <c r="J109" s="906"/>
      <c r="K109" s="906"/>
      <c r="L109" s="1749"/>
      <c r="M109" s="2064"/>
      <c r="N109" s="2030"/>
    </row>
    <row r="110" spans="1:14" ht="12.75" customHeight="1">
      <c r="A110" s="2042"/>
      <c r="B110" s="2082"/>
      <c r="C110" s="1308" t="s">
        <v>28</v>
      </c>
      <c r="D110" s="1309"/>
      <c r="E110" s="1310">
        <f>SUM(E111+E113+E114)</f>
        <v>0</v>
      </c>
      <c r="F110" s="1310">
        <f>SUM(F111+F113+F114)</f>
        <v>0</v>
      </c>
      <c r="G110" s="1311">
        <f>SUM(G111+G113+G114)</f>
        <v>0</v>
      </c>
      <c r="H110" s="1310">
        <f>SUM(H111+H113+H114)</f>
        <v>0</v>
      </c>
      <c r="I110" s="1420"/>
      <c r="J110" s="1313">
        <f>SUM(J111+J113+J114)</f>
        <v>0</v>
      </c>
      <c r="K110" s="1313">
        <f>SUM(K111+K113+K114)</f>
        <v>0</v>
      </c>
      <c r="L110" s="1314"/>
      <c r="M110" s="2064"/>
      <c r="N110" s="2030"/>
    </row>
    <row r="111" spans="1:14" ht="12.75" customHeight="1">
      <c r="A111" s="2042"/>
      <c r="B111" s="2082"/>
      <c r="C111" s="1422" t="s">
        <v>29</v>
      </c>
      <c r="D111" s="1309"/>
      <c r="E111" s="1425"/>
      <c r="F111" s="1425"/>
      <c r="G111" s="1789"/>
      <c r="H111" s="1454"/>
      <c r="I111" s="1781"/>
      <c r="J111" s="906"/>
      <c r="K111" s="906"/>
      <c r="L111" s="1749"/>
      <c r="M111" s="2064"/>
      <c r="N111" s="2030"/>
    </row>
    <row r="112" spans="1:14" ht="22.5">
      <c r="A112" s="2042"/>
      <c r="B112" s="2082"/>
      <c r="C112" s="1428" t="s">
        <v>30</v>
      </c>
      <c r="D112" s="1309"/>
      <c r="E112" s="1425"/>
      <c r="F112" s="1425"/>
      <c r="G112" s="1789"/>
      <c r="H112" s="1454"/>
      <c r="I112" s="1781"/>
      <c r="J112" s="906"/>
      <c r="K112" s="906"/>
      <c r="L112" s="1749"/>
      <c r="M112" s="2064"/>
      <c r="N112" s="2030"/>
    </row>
    <row r="113" spans="1:14" ht="12.75" customHeight="1">
      <c r="A113" s="2042"/>
      <c r="B113" s="2082"/>
      <c r="C113" s="1422" t="s">
        <v>31</v>
      </c>
      <c r="D113" s="1309"/>
      <c r="E113" s="1425"/>
      <c r="F113" s="1425"/>
      <c r="G113" s="1789"/>
      <c r="H113" s="1454"/>
      <c r="I113" s="1781"/>
      <c r="J113" s="906"/>
      <c r="K113" s="906"/>
      <c r="L113" s="1749"/>
      <c r="M113" s="2064"/>
      <c r="N113" s="2030"/>
    </row>
    <row r="114" spans="1:14" ht="12.75" customHeight="1" thickBot="1">
      <c r="A114" s="2043"/>
      <c r="B114" s="2083"/>
      <c r="C114" s="1039" t="s">
        <v>32</v>
      </c>
      <c r="D114" s="1633"/>
      <c r="E114" s="1637"/>
      <c r="F114" s="1637"/>
      <c r="G114" s="1806"/>
      <c r="H114" s="1650"/>
      <c r="I114" s="1837"/>
      <c r="J114" s="681"/>
      <c r="K114" s="681"/>
      <c r="L114" s="1869"/>
      <c r="M114" s="2065"/>
      <c r="N114" s="2041"/>
    </row>
    <row r="115" spans="1:14" ht="18" customHeight="1">
      <c r="A115" s="2066"/>
      <c r="B115" s="2071">
        <v>75018</v>
      </c>
      <c r="C115" s="1870" t="s">
        <v>106</v>
      </c>
      <c r="D115" s="1778"/>
      <c r="E115" s="1664">
        <f>SUM(E116+E192)</f>
        <v>119736798</v>
      </c>
      <c r="F115" s="1664">
        <f>SUM(F116+F192)</f>
        <v>121184030</v>
      </c>
      <c r="G115" s="1779">
        <f>SUM(G116+G192)</f>
        <v>0</v>
      </c>
      <c r="H115" s="1664">
        <f>SUM(H116+H192)</f>
        <v>142671578</v>
      </c>
      <c r="I115" s="1780">
        <f t="shared" ref="I115:I143" si="19">H115/E115</f>
        <v>1.1915432881377035</v>
      </c>
      <c r="J115" s="1663">
        <f>SUM(J116+J192)</f>
        <v>10469566</v>
      </c>
      <c r="K115" s="1663">
        <f>SUM(K116+K192)</f>
        <v>153141144</v>
      </c>
      <c r="L115" s="1742">
        <f>K115/E115</f>
        <v>1.2789814539720696</v>
      </c>
      <c r="M115" s="2067" t="s">
        <v>387</v>
      </c>
      <c r="N115" s="2010" t="s">
        <v>388</v>
      </c>
    </row>
    <row r="116" spans="1:14" ht="18" customHeight="1">
      <c r="A116" s="2042"/>
      <c r="B116" s="2033"/>
      <c r="C116" s="1418" t="s">
        <v>18</v>
      </c>
      <c r="D116" s="1309"/>
      <c r="E116" s="1310">
        <f>E117+E147+E148+E151+E190+E191</f>
        <v>116561798</v>
      </c>
      <c r="F116" s="1310">
        <f>F117+F147+F148+F151+F190+F191</f>
        <v>118064537</v>
      </c>
      <c r="G116" s="1311">
        <f>G117+G147+G149+G151+G190+G191</f>
        <v>0</v>
      </c>
      <c r="H116" s="1310">
        <f>SUM(H117,H147,H148,H151)</f>
        <v>139234078</v>
      </c>
      <c r="I116" s="1781">
        <f t="shared" si="19"/>
        <v>1.1945086674109129</v>
      </c>
      <c r="J116" s="1313">
        <f>J117+J147+J149+J151+J190+J191</f>
        <v>9711066</v>
      </c>
      <c r="K116" s="1313">
        <f>SUM(K117,K147,K148,K151,K190,K191)</f>
        <v>148945144</v>
      </c>
      <c r="L116" s="1782">
        <f t="shared" ref="L116:L179" si="20">K116/E116</f>
        <v>1.2778212635326713</v>
      </c>
      <c r="M116" s="2068"/>
      <c r="N116" s="2011"/>
    </row>
    <row r="117" spans="1:14" ht="18" customHeight="1">
      <c r="A117" s="2042"/>
      <c r="B117" s="2033"/>
      <c r="C117" s="1422" t="s">
        <v>19</v>
      </c>
      <c r="D117" s="1309"/>
      <c r="E117" s="1425">
        <f>SUM(E118+E125)</f>
        <v>78754338</v>
      </c>
      <c r="F117" s="1425">
        <f>SUM(F118+F125)</f>
        <v>80156934</v>
      </c>
      <c r="G117" s="1783">
        <f>SUM(G118+G125)</f>
        <v>0</v>
      </c>
      <c r="H117" s="1425">
        <f>SUM(H125,H118)</f>
        <v>94550198</v>
      </c>
      <c r="I117" s="1312">
        <f t="shared" si="19"/>
        <v>1.2005713005929908</v>
      </c>
      <c r="J117" s="1423">
        <f>SUM(J118,J125,)</f>
        <v>9639666</v>
      </c>
      <c r="K117" s="1423">
        <f>SUM(K125,K118)</f>
        <v>104189864</v>
      </c>
      <c r="L117" s="1749">
        <f t="shared" si="20"/>
        <v>1.3229730151499719</v>
      </c>
      <c r="M117" s="2068"/>
      <c r="N117" s="2011"/>
    </row>
    <row r="118" spans="1:14" ht="18" customHeight="1">
      <c r="A118" s="2042"/>
      <c r="B118" s="2033"/>
      <c r="C118" s="2013" t="s">
        <v>20</v>
      </c>
      <c r="D118" s="1309" t="s">
        <v>366</v>
      </c>
      <c r="E118" s="1425">
        <f>SUM(E119:E124)</f>
        <v>63888304</v>
      </c>
      <c r="F118" s="1425">
        <f t="shared" ref="F118:J118" si="21">SUM(F119:F124)</f>
        <v>64028304</v>
      </c>
      <c r="G118" s="1783">
        <f t="shared" si="21"/>
        <v>0</v>
      </c>
      <c r="H118" s="1425">
        <f>SUM(H119:H124)</f>
        <v>77033164</v>
      </c>
      <c r="I118" s="1312">
        <f t="shared" si="19"/>
        <v>1.2057475183564115</v>
      </c>
      <c r="J118" s="1423">
        <f t="shared" si="21"/>
        <v>7512044</v>
      </c>
      <c r="K118" s="1423">
        <f>SUM(K119:K124)</f>
        <v>84545208</v>
      </c>
      <c r="L118" s="1749">
        <f t="shared" si="20"/>
        <v>1.3233284139143842</v>
      </c>
      <c r="M118" s="2068"/>
      <c r="N118" s="2011"/>
    </row>
    <row r="119" spans="1:14" ht="18" customHeight="1">
      <c r="A119" s="2042"/>
      <c r="B119" s="2033"/>
      <c r="C119" s="2013"/>
      <c r="D119" s="1784">
        <v>4010</v>
      </c>
      <c r="E119" s="1475">
        <v>50058729</v>
      </c>
      <c r="F119" s="1475">
        <v>49998729</v>
      </c>
      <c r="G119" s="1787"/>
      <c r="H119" s="1475">
        <v>59897526</v>
      </c>
      <c r="I119" s="1786">
        <f t="shared" si="19"/>
        <v>1.1965450820774934</v>
      </c>
      <c r="J119" s="1423">
        <v>6486049</v>
      </c>
      <c r="K119" s="1474">
        <f>J119+H119</f>
        <v>66383575</v>
      </c>
      <c r="L119" s="1749">
        <f t="shared" si="20"/>
        <v>1.3261138731668556</v>
      </c>
      <c r="M119" s="2068"/>
      <c r="N119" s="2011"/>
    </row>
    <row r="120" spans="1:14" ht="18" customHeight="1">
      <c r="A120" s="2042"/>
      <c r="B120" s="2033"/>
      <c r="C120" s="2013"/>
      <c r="D120" s="1784">
        <v>4040</v>
      </c>
      <c r="E120" s="1475">
        <v>3178066</v>
      </c>
      <c r="F120" s="1475">
        <v>3238066</v>
      </c>
      <c r="G120" s="1787"/>
      <c r="H120" s="1475">
        <v>4605016</v>
      </c>
      <c r="I120" s="1786">
        <f t="shared" si="19"/>
        <v>1.4489994858508288</v>
      </c>
      <c r="J120" s="1423">
        <v>0</v>
      </c>
      <c r="K120" s="1474">
        <f t="shared" ref="K120:K146" si="22">J120+H120</f>
        <v>4605016</v>
      </c>
      <c r="L120" s="1749">
        <f t="shared" si="20"/>
        <v>1.4489994858508288</v>
      </c>
      <c r="M120" s="2068"/>
      <c r="N120" s="2011"/>
    </row>
    <row r="121" spans="1:14" ht="18" customHeight="1">
      <c r="A121" s="2042"/>
      <c r="B121" s="2033"/>
      <c r="C121" s="2013"/>
      <c r="D121" s="1784">
        <v>4110</v>
      </c>
      <c r="E121" s="1475">
        <v>9056079</v>
      </c>
      <c r="F121" s="1475">
        <v>9056079</v>
      </c>
      <c r="G121" s="1787"/>
      <c r="H121" s="1475">
        <v>10541827</v>
      </c>
      <c r="I121" s="1786">
        <f t="shared" si="19"/>
        <v>1.1640608479674261</v>
      </c>
      <c r="J121" s="1423">
        <v>898006</v>
      </c>
      <c r="K121" s="1474">
        <f t="shared" si="22"/>
        <v>11439833</v>
      </c>
      <c r="L121" s="1749">
        <f t="shared" si="20"/>
        <v>1.2632214228696548</v>
      </c>
      <c r="M121" s="2068"/>
      <c r="N121" s="2011"/>
    </row>
    <row r="122" spans="1:14" ht="18" customHeight="1">
      <c r="A122" s="2042"/>
      <c r="B122" s="2033"/>
      <c r="C122" s="2013"/>
      <c r="D122" s="1784">
        <v>4120</v>
      </c>
      <c r="E122" s="1475">
        <v>1294430</v>
      </c>
      <c r="F122" s="1475">
        <v>1294430</v>
      </c>
      <c r="G122" s="1787"/>
      <c r="H122" s="1475">
        <v>1787795</v>
      </c>
      <c r="I122" s="1786">
        <f t="shared" si="19"/>
        <v>1.3811445964633082</v>
      </c>
      <c r="J122" s="1423">
        <v>127989</v>
      </c>
      <c r="K122" s="1474">
        <f t="shared" si="22"/>
        <v>1915784</v>
      </c>
      <c r="L122" s="1749">
        <f t="shared" si="20"/>
        <v>1.4800213221263414</v>
      </c>
      <c r="M122" s="2068"/>
      <c r="N122" s="2011"/>
    </row>
    <row r="123" spans="1:14" ht="18" customHeight="1">
      <c r="A123" s="2042"/>
      <c r="B123" s="2033"/>
      <c r="C123" s="2013"/>
      <c r="D123" s="1784">
        <v>4170</v>
      </c>
      <c r="E123" s="1475">
        <v>51000</v>
      </c>
      <c r="F123" s="1475">
        <v>191000</v>
      </c>
      <c r="G123" s="1787"/>
      <c r="H123" s="1475">
        <v>51000</v>
      </c>
      <c r="I123" s="1786">
        <f t="shared" si="19"/>
        <v>1</v>
      </c>
      <c r="J123" s="1423">
        <v>0</v>
      </c>
      <c r="K123" s="1474">
        <f t="shared" si="22"/>
        <v>51000</v>
      </c>
      <c r="L123" s="1749">
        <f t="shared" si="20"/>
        <v>1</v>
      </c>
      <c r="M123" s="2068"/>
      <c r="N123" s="2011"/>
    </row>
    <row r="124" spans="1:14" ht="18" customHeight="1">
      <c r="A124" s="2042"/>
      <c r="B124" s="2033"/>
      <c r="C124" s="2070"/>
      <c r="D124" s="1784">
        <v>4710</v>
      </c>
      <c r="E124" s="1475">
        <v>250000</v>
      </c>
      <c r="F124" s="1475">
        <v>250000</v>
      </c>
      <c r="G124" s="1787"/>
      <c r="H124" s="1475">
        <v>150000</v>
      </c>
      <c r="I124" s="1786">
        <f t="shared" si="19"/>
        <v>0.6</v>
      </c>
      <c r="J124" s="1423">
        <v>0</v>
      </c>
      <c r="K124" s="1474">
        <f t="shared" si="22"/>
        <v>150000</v>
      </c>
      <c r="L124" s="1749">
        <f t="shared" si="20"/>
        <v>0.6</v>
      </c>
      <c r="M124" s="2068"/>
      <c r="N124" s="2011"/>
    </row>
    <row r="125" spans="1:14" ht="18" customHeight="1">
      <c r="A125" s="2042"/>
      <c r="B125" s="2033"/>
      <c r="C125" s="2014" t="s">
        <v>389</v>
      </c>
      <c r="D125" s="1309" t="s">
        <v>366</v>
      </c>
      <c r="E125" s="1425">
        <f>SUM(E126:E146)</f>
        <v>14866034</v>
      </c>
      <c r="F125" s="1425">
        <f>SUM(F126:F146)</f>
        <v>16128630</v>
      </c>
      <c r="G125" s="1783">
        <f>SUM(G126:G146)</f>
        <v>0</v>
      </c>
      <c r="H125" s="1425">
        <f>SUM(H126:H146)</f>
        <v>17517034</v>
      </c>
      <c r="I125" s="1786">
        <f t="shared" si="19"/>
        <v>1.178325974499991</v>
      </c>
      <c r="J125" s="1423">
        <f>SUM(J126:J146)</f>
        <v>2127622</v>
      </c>
      <c r="K125" s="1474">
        <f>SUM(K126:K146)</f>
        <v>19644656</v>
      </c>
      <c r="L125" s="1749">
        <f t="shared" si="20"/>
        <v>1.3214456525526579</v>
      </c>
      <c r="M125" s="2068"/>
      <c r="N125" s="2011"/>
    </row>
    <row r="126" spans="1:14" ht="17.25" customHeight="1">
      <c r="A126" s="2042"/>
      <c r="B126" s="2033"/>
      <c r="C126" s="2014"/>
      <c r="D126" s="1784">
        <v>4140</v>
      </c>
      <c r="E126" s="1475">
        <v>504900</v>
      </c>
      <c r="F126" s="1475">
        <v>504900</v>
      </c>
      <c r="G126" s="1785"/>
      <c r="H126" s="1475">
        <f>E126+G126</f>
        <v>504900</v>
      </c>
      <c r="I126" s="1786">
        <f t="shared" si="19"/>
        <v>1</v>
      </c>
      <c r="J126" s="1474">
        <v>0</v>
      </c>
      <c r="K126" s="1474">
        <f t="shared" si="22"/>
        <v>504900</v>
      </c>
      <c r="L126" s="1749">
        <f t="shared" si="20"/>
        <v>1</v>
      </c>
      <c r="M126" s="2068"/>
      <c r="N126" s="2011"/>
    </row>
    <row r="127" spans="1:14" ht="15" customHeight="1">
      <c r="A127" s="2042"/>
      <c r="B127" s="2033"/>
      <c r="C127" s="2014"/>
      <c r="D127" s="1784">
        <v>4210</v>
      </c>
      <c r="E127" s="1475">
        <v>4585000</v>
      </c>
      <c r="F127" s="1475">
        <v>3902500</v>
      </c>
      <c r="G127" s="1787"/>
      <c r="H127" s="1475">
        <v>3435000</v>
      </c>
      <c r="I127" s="1786">
        <f t="shared" si="19"/>
        <v>0.74918211559432935</v>
      </c>
      <c r="J127" s="1474">
        <v>1187000</v>
      </c>
      <c r="K127" s="1474">
        <f t="shared" si="22"/>
        <v>4622000</v>
      </c>
      <c r="L127" s="1749">
        <f t="shared" si="20"/>
        <v>1.0080697928026172</v>
      </c>
      <c r="M127" s="2068"/>
      <c r="N127" s="2011"/>
    </row>
    <row r="128" spans="1:14" ht="18" customHeight="1">
      <c r="A128" s="2042"/>
      <c r="B128" s="2033"/>
      <c r="C128" s="2014"/>
      <c r="D128" s="1784">
        <v>4220</v>
      </c>
      <c r="E128" s="1475">
        <v>81600</v>
      </c>
      <c r="F128" s="1475">
        <v>81600</v>
      </c>
      <c r="G128" s="1787"/>
      <c r="H128" s="1475">
        <f t="shared" ref="H128:H146" si="23">E128+G128</f>
        <v>81600</v>
      </c>
      <c r="I128" s="1786">
        <f t="shared" si="19"/>
        <v>1</v>
      </c>
      <c r="J128" s="1474">
        <v>0</v>
      </c>
      <c r="K128" s="1474">
        <f>J128+H128</f>
        <v>81600</v>
      </c>
      <c r="L128" s="1749">
        <f t="shared" si="20"/>
        <v>1</v>
      </c>
      <c r="M128" s="2068"/>
      <c r="N128" s="2011"/>
    </row>
    <row r="129" spans="1:14" ht="18" customHeight="1">
      <c r="A129" s="2042"/>
      <c r="B129" s="2033"/>
      <c r="C129" s="2014"/>
      <c r="D129" s="1784">
        <v>4260</v>
      </c>
      <c r="E129" s="1475">
        <v>2543000</v>
      </c>
      <c r="F129" s="1475">
        <v>3703000</v>
      </c>
      <c r="G129" s="1787"/>
      <c r="H129" s="1475">
        <v>6897800</v>
      </c>
      <c r="I129" s="1786">
        <f t="shared" si="19"/>
        <v>2.7124655918206844</v>
      </c>
      <c r="J129" s="1474"/>
      <c r="K129" s="1474">
        <f t="shared" si="22"/>
        <v>6897800</v>
      </c>
      <c r="L129" s="1749">
        <f t="shared" si="20"/>
        <v>2.7124655918206844</v>
      </c>
      <c r="M129" s="2068"/>
      <c r="N129" s="2011"/>
    </row>
    <row r="130" spans="1:14" ht="18" customHeight="1">
      <c r="A130" s="2042"/>
      <c r="B130" s="2033"/>
      <c r="C130" s="2014"/>
      <c r="D130" s="1784">
        <v>4270</v>
      </c>
      <c r="E130" s="1475">
        <v>1260800</v>
      </c>
      <c r="F130" s="1475">
        <v>989039</v>
      </c>
      <c r="G130" s="1787"/>
      <c r="H130" s="1475">
        <v>1150000</v>
      </c>
      <c r="I130" s="1786">
        <f t="shared" si="19"/>
        <v>0.91211928934010156</v>
      </c>
      <c r="J130" s="1474">
        <v>158900</v>
      </c>
      <c r="K130" s="1474">
        <f t="shared" si="22"/>
        <v>1308900</v>
      </c>
      <c r="L130" s="1749">
        <f t="shared" si="20"/>
        <v>1.0381503807106598</v>
      </c>
      <c r="M130" s="2068"/>
      <c r="N130" s="2011"/>
    </row>
    <row r="131" spans="1:14" ht="18" customHeight="1">
      <c r="A131" s="2042"/>
      <c r="B131" s="2033"/>
      <c r="C131" s="2014"/>
      <c r="D131" s="1784">
        <v>4280</v>
      </c>
      <c r="E131" s="1475">
        <v>81200</v>
      </c>
      <c r="F131" s="1475">
        <v>121200</v>
      </c>
      <c r="G131" s="1787"/>
      <c r="H131" s="1475">
        <v>61200</v>
      </c>
      <c r="I131" s="1786">
        <f t="shared" si="19"/>
        <v>0.75369458128078815</v>
      </c>
      <c r="J131" s="1474">
        <v>20000</v>
      </c>
      <c r="K131" s="1474">
        <f t="shared" si="22"/>
        <v>81200</v>
      </c>
      <c r="L131" s="1749">
        <f t="shared" si="20"/>
        <v>1</v>
      </c>
      <c r="M131" s="2068"/>
      <c r="N131" s="2011"/>
    </row>
    <row r="132" spans="1:14" ht="18" customHeight="1">
      <c r="A132" s="2042"/>
      <c r="B132" s="2033"/>
      <c r="C132" s="2014"/>
      <c r="D132" s="1784">
        <v>4300</v>
      </c>
      <c r="E132" s="1475">
        <v>2295834</v>
      </c>
      <c r="F132" s="1475">
        <v>3272420</v>
      </c>
      <c r="G132" s="1787"/>
      <c r="H132" s="1475">
        <v>2230834</v>
      </c>
      <c r="I132" s="1786">
        <f t="shared" si="19"/>
        <v>0.97168784851169554</v>
      </c>
      <c r="J132" s="1474">
        <v>420000</v>
      </c>
      <c r="K132" s="1474">
        <f t="shared" si="22"/>
        <v>2650834</v>
      </c>
      <c r="L132" s="1749">
        <f t="shared" si="20"/>
        <v>1.1546279042822782</v>
      </c>
      <c r="M132" s="2068"/>
      <c r="N132" s="2011"/>
    </row>
    <row r="133" spans="1:14" ht="17.25" customHeight="1">
      <c r="A133" s="2042"/>
      <c r="B133" s="2033"/>
      <c r="C133" s="2014"/>
      <c r="D133" s="1784">
        <v>4360</v>
      </c>
      <c r="E133" s="1475">
        <v>193800</v>
      </c>
      <c r="F133" s="1475">
        <v>143800</v>
      </c>
      <c r="G133" s="1787"/>
      <c r="H133" s="1475">
        <v>193800</v>
      </c>
      <c r="I133" s="1786">
        <f t="shared" si="19"/>
        <v>1</v>
      </c>
      <c r="J133" s="1474">
        <v>31200</v>
      </c>
      <c r="K133" s="1474">
        <f t="shared" si="22"/>
        <v>225000</v>
      </c>
      <c r="L133" s="1749">
        <f t="shared" si="20"/>
        <v>1.1609907120743035</v>
      </c>
      <c r="M133" s="2068"/>
      <c r="N133" s="2011"/>
    </row>
    <row r="134" spans="1:14" ht="18" customHeight="1">
      <c r="A134" s="2042"/>
      <c r="B134" s="2033">
        <v>75018</v>
      </c>
      <c r="C134" s="2014"/>
      <c r="D134" s="1784">
        <v>4380</v>
      </c>
      <c r="E134" s="1475">
        <v>10200</v>
      </c>
      <c r="F134" s="1475">
        <v>10200</v>
      </c>
      <c r="G134" s="1787"/>
      <c r="H134" s="1475">
        <v>10200</v>
      </c>
      <c r="I134" s="1786">
        <f t="shared" si="19"/>
        <v>1</v>
      </c>
      <c r="J134" s="1474">
        <v>0</v>
      </c>
      <c r="K134" s="1474">
        <f t="shared" si="22"/>
        <v>10200</v>
      </c>
      <c r="L134" s="1749">
        <f t="shared" si="20"/>
        <v>1</v>
      </c>
      <c r="M134" s="2068"/>
      <c r="N134" s="2011"/>
    </row>
    <row r="135" spans="1:14" ht="18" customHeight="1">
      <c r="A135" s="2042"/>
      <c r="B135" s="2033"/>
      <c r="C135" s="2014"/>
      <c r="D135" s="1784">
        <v>4390</v>
      </c>
      <c r="E135" s="1475">
        <v>61200</v>
      </c>
      <c r="F135" s="1475">
        <v>61200</v>
      </c>
      <c r="G135" s="1787"/>
      <c r="H135" s="1475">
        <f t="shared" si="23"/>
        <v>61200</v>
      </c>
      <c r="I135" s="1786">
        <f t="shared" si="19"/>
        <v>1</v>
      </c>
      <c r="J135" s="1474">
        <v>0</v>
      </c>
      <c r="K135" s="1474">
        <f>J135+H135</f>
        <v>61200</v>
      </c>
      <c r="L135" s="1749">
        <f t="shared" si="20"/>
        <v>1</v>
      </c>
      <c r="M135" s="2068"/>
      <c r="N135" s="2011"/>
    </row>
    <row r="136" spans="1:14" ht="18" customHeight="1">
      <c r="A136" s="2042"/>
      <c r="B136" s="2033"/>
      <c r="C136" s="2014"/>
      <c r="D136" s="1784">
        <v>4400</v>
      </c>
      <c r="E136" s="1475">
        <v>13000</v>
      </c>
      <c r="F136" s="1475">
        <v>13000</v>
      </c>
      <c r="G136" s="1787"/>
      <c r="H136" s="1474">
        <v>0</v>
      </c>
      <c r="I136" s="1786"/>
      <c r="J136" s="1474">
        <v>0</v>
      </c>
      <c r="K136" s="1474">
        <f t="shared" si="22"/>
        <v>0</v>
      </c>
      <c r="L136" s="1749">
        <f t="shared" si="20"/>
        <v>0</v>
      </c>
      <c r="M136" s="2068"/>
      <c r="N136" s="2011"/>
    </row>
    <row r="137" spans="1:14" ht="18" customHeight="1">
      <c r="A137" s="2042"/>
      <c r="B137" s="2033"/>
      <c r="C137" s="2014"/>
      <c r="D137" s="1784">
        <v>4410</v>
      </c>
      <c r="E137" s="1475">
        <v>153000</v>
      </c>
      <c r="F137" s="1475">
        <v>153000</v>
      </c>
      <c r="G137" s="1787"/>
      <c r="H137" s="1475">
        <f t="shared" si="23"/>
        <v>153000</v>
      </c>
      <c r="I137" s="1786">
        <f t="shared" si="19"/>
        <v>1</v>
      </c>
      <c r="J137" s="1474">
        <v>0</v>
      </c>
      <c r="K137" s="1474">
        <f t="shared" si="22"/>
        <v>153000</v>
      </c>
      <c r="L137" s="1749">
        <f t="shared" si="20"/>
        <v>1</v>
      </c>
      <c r="M137" s="2068"/>
      <c r="N137" s="2011"/>
    </row>
    <row r="138" spans="1:14" ht="18" customHeight="1">
      <c r="A138" s="2042"/>
      <c r="B138" s="2033"/>
      <c r="C138" s="2014"/>
      <c r="D138" s="1784">
        <v>4420</v>
      </c>
      <c r="E138" s="1475">
        <v>255000</v>
      </c>
      <c r="F138" s="1475">
        <v>255000</v>
      </c>
      <c r="G138" s="1787"/>
      <c r="H138" s="1475">
        <f t="shared" si="23"/>
        <v>255000</v>
      </c>
      <c r="I138" s="1786">
        <f t="shared" si="19"/>
        <v>1</v>
      </c>
      <c r="J138" s="1474">
        <v>0</v>
      </c>
      <c r="K138" s="1474">
        <f t="shared" si="22"/>
        <v>255000</v>
      </c>
      <c r="L138" s="1749">
        <f t="shared" si="20"/>
        <v>1</v>
      </c>
      <c r="M138" s="2068"/>
      <c r="N138" s="2011"/>
    </row>
    <row r="139" spans="1:14" ht="21" customHeight="1">
      <c r="A139" s="2042"/>
      <c r="B139" s="2033"/>
      <c r="C139" s="2014"/>
      <c r="D139" s="1784">
        <v>4430</v>
      </c>
      <c r="E139" s="1475">
        <v>231000</v>
      </c>
      <c r="F139" s="1475">
        <v>181000</v>
      </c>
      <c r="G139" s="1787"/>
      <c r="H139" s="1475">
        <f t="shared" si="23"/>
        <v>231000</v>
      </c>
      <c r="I139" s="1786">
        <f t="shared" si="19"/>
        <v>1</v>
      </c>
      <c r="J139" s="1474">
        <v>0</v>
      </c>
      <c r="K139" s="1474">
        <f t="shared" si="22"/>
        <v>231000</v>
      </c>
      <c r="L139" s="1749">
        <f t="shared" si="20"/>
        <v>1</v>
      </c>
      <c r="M139" s="2068"/>
      <c r="N139" s="2011"/>
    </row>
    <row r="140" spans="1:14" ht="18" customHeight="1">
      <c r="A140" s="2042"/>
      <c r="B140" s="2033"/>
      <c r="C140" s="2014"/>
      <c r="D140" s="1784">
        <v>4440</v>
      </c>
      <c r="E140" s="1475">
        <v>1948300</v>
      </c>
      <c r="F140" s="1475">
        <v>1948300</v>
      </c>
      <c r="G140" s="1787"/>
      <c r="H140" s="1475">
        <v>1648300</v>
      </c>
      <c r="I140" s="1786">
        <f t="shared" si="19"/>
        <v>0.8460196068367295</v>
      </c>
      <c r="J140" s="1474">
        <v>265522</v>
      </c>
      <c r="K140" s="1474">
        <f t="shared" si="22"/>
        <v>1913822</v>
      </c>
      <c r="L140" s="1749">
        <f t="shared" si="20"/>
        <v>0.98230354668172248</v>
      </c>
      <c r="M140" s="2068"/>
      <c r="N140" s="2011"/>
    </row>
    <row r="141" spans="1:14" ht="18" customHeight="1">
      <c r="A141" s="2042"/>
      <c r="B141" s="2033"/>
      <c r="C141" s="2014"/>
      <c r="D141" s="1784">
        <v>4510</v>
      </c>
      <c r="E141" s="1475">
        <v>10200</v>
      </c>
      <c r="F141" s="1475">
        <v>10200</v>
      </c>
      <c r="G141" s="1787"/>
      <c r="H141" s="1475">
        <f t="shared" si="23"/>
        <v>10200</v>
      </c>
      <c r="I141" s="1786">
        <f t="shared" si="19"/>
        <v>1</v>
      </c>
      <c r="J141" s="1474">
        <v>0</v>
      </c>
      <c r="K141" s="1474">
        <f t="shared" si="22"/>
        <v>10200</v>
      </c>
      <c r="L141" s="1749">
        <f t="shared" si="20"/>
        <v>1</v>
      </c>
      <c r="M141" s="2068"/>
      <c r="N141" s="2011"/>
    </row>
    <row r="142" spans="1:14" ht="18" customHeight="1">
      <c r="A142" s="2042"/>
      <c r="B142" s="2033"/>
      <c r="C142" s="2014"/>
      <c r="D142" s="1784">
        <v>4520</v>
      </c>
      <c r="E142" s="1475">
        <v>230000</v>
      </c>
      <c r="F142" s="1475">
        <v>170000</v>
      </c>
      <c r="G142" s="1787"/>
      <c r="H142" s="1475">
        <v>185000</v>
      </c>
      <c r="I142" s="1786">
        <f t="shared" si="19"/>
        <v>0.80434782608695654</v>
      </c>
      <c r="J142" s="1474">
        <v>45000</v>
      </c>
      <c r="K142" s="1474">
        <f t="shared" si="22"/>
        <v>230000</v>
      </c>
      <c r="L142" s="1749">
        <f t="shared" si="20"/>
        <v>1</v>
      </c>
      <c r="M142" s="2068"/>
      <c r="N142" s="2011"/>
    </row>
    <row r="143" spans="1:14" ht="18" customHeight="1">
      <c r="A143" s="2042"/>
      <c r="B143" s="2033"/>
      <c r="C143" s="2014"/>
      <c r="D143" s="1784">
        <v>4530</v>
      </c>
      <c r="E143" s="1475">
        <v>102000</v>
      </c>
      <c r="F143" s="1475">
        <v>102000</v>
      </c>
      <c r="G143" s="1787"/>
      <c r="H143" s="1475">
        <f t="shared" si="23"/>
        <v>102000</v>
      </c>
      <c r="I143" s="1786">
        <f t="shared" si="19"/>
        <v>1</v>
      </c>
      <c r="J143" s="1474">
        <v>0</v>
      </c>
      <c r="K143" s="1474">
        <f t="shared" si="22"/>
        <v>102000</v>
      </c>
      <c r="L143" s="1749">
        <f t="shared" si="20"/>
        <v>1</v>
      </c>
      <c r="M143" s="2068"/>
      <c r="N143" s="2011"/>
    </row>
    <row r="144" spans="1:14" ht="18" customHeight="1">
      <c r="A144" s="2042"/>
      <c r="B144" s="2033"/>
      <c r="C144" s="2014"/>
      <c r="D144" s="1784">
        <v>4580</v>
      </c>
      <c r="E144" s="1475">
        <v>0</v>
      </c>
      <c r="F144" s="1475">
        <v>271</v>
      </c>
      <c r="G144" s="1787"/>
      <c r="H144" s="1474">
        <v>0</v>
      </c>
      <c r="I144" s="1786">
        <v>0</v>
      </c>
      <c r="J144" s="1474">
        <v>0</v>
      </c>
      <c r="K144" s="1474">
        <f>J144+H144</f>
        <v>0</v>
      </c>
      <c r="L144" s="1749"/>
      <c r="M144" s="2068"/>
      <c r="N144" s="2011"/>
    </row>
    <row r="145" spans="1:37" ht="18" customHeight="1">
      <c r="A145" s="2042"/>
      <c r="B145" s="2033"/>
      <c r="C145" s="2014"/>
      <c r="D145" s="1784">
        <v>4610</v>
      </c>
      <c r="E145" s="1475">
        <v>102000</v>
      </c>
      <c r="F145" s="1475">
        <v>302000</v>
      </c>
      <c r="G145" s="1787"/>
      <c r="H145" s="1475">
        <f t="shared" si="23"/>
        <v>102000</v>
      </c>
      <c r="I145" s="1786">
        <f>H145/E145</f>
        <v>1</v>
      </c>
      <c r="J145" s="1474">
        <v>0</v>
      </c>
      <c r="K145" s="1474">
        <f t="shared" si="22"/>
        <v>102000</v>
      </c>
      <c r="L145" s="1749">
        <f t="shared" si="20"/>
        <v>1</v>
      </c>
      <c r="M145" s="2068"/>
      <c r="N145" s="2011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257"/>
      <c r="AD145" s="257"/>
      <c r="AE145" s="257"/>
      <c r="AF145" s="257"/>
      <c r="AG145" s="257"/>
      <c r="AH145" s="257"/>
      <c r="AI145" s="257"/>
      <c r="AJ145" s="257"/>
      <c r="AK145" s="257"/>
    </row>
    <row r="146" spans="1:37" ht="18" customHeight="1" thickBot="1">
      <c r="A146" s="2043"/>
      <c r="B146" s="2034"/>
      <c r="C146" s="2062"/>
      <c r="D146" s="1865">
        <v>4700</v>
      </c>
      <c r="E146" s="1866">
        <v>204000</v>
      </c>
      <c r="F146" s="1866">
        <v>204000</v>
      </c>
      <c r="G146" s="1867"/>
      <c r="H146" s="1866">
        <f t="shared" si="23"/>
        <v>204000</v>
      </c>
      <c r="I146" s="1828">
        <f>H146/E146</f>
        <v>1</v>
      </c>
      <c r="J146" s="1868">
        <v>0</v>
      </c>
      <c r="K146" s="1868">
        <f t="shared" si="22"/>
        <v>204000</v>
      </c>
      <c r="L146" s="1869">
        <f t="shared" si="20"/>
        <v>1</v>
      </c>
      <c r="M146" s="2069"/>
      <c r="N146" s="2023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7"/>
    </row>
    <row r="147" spans="1:37" ht="13.5" customHeight="1">
      <c r="A147" s="2052"/>
      <c r="B147" s="2071">
        <v>75018</v>
      </c>
      <c r="C147" s="1846" t="s">
        <v>23</v>
      </c>
      <c r="D147" s="1862"/>
      <c r="E147" s="1849"/>
      <c r="F147" s="1849"/>
      <c r="G147" s="1850"/>
      <c r="H147" s="1848"/>
      <c r="I147" s="1863"/>
      <c r="J147" s="1657"/>
      <c r="K147" s="1657"/>
      <c r="L147" s="1864"/>
      <c r="M147" s="2074" t="s">
        <v>606</v>
      </c>
      <c r="N147" s="2022" t="s">
        <v>390</v>
      </c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  <c r="AJ147" s="257"/>
      <c r="AK147" s="257"/>
    </row>
    <row r="148" spans="1:37" ht="12.75" customHeight="1">
      <c r="A148" s="2046"/>
      <c r="B148" s="2033"/>
      <c r="C148" s="2013" t="s">
        <v>24</v>
      </c>
      <c r="D148" s="1309" t="s">
        <v>366</v>
      </c>
      <c r="E148" s="1425">
        <f>SUM(E149:E150)</f>
        <v>132600</v>
      </c>
      <c r="F148" s="1425">
        <f>SUM(F149:F150)</f>
        <v>232743</v>
      </c>
      <c r="G148" s="1789"/>
      <c r="H148" s="1425">
        <f>SUM(H149:H150)</f>
        <v>71400</v>
      </c>
      <c r="I148" s="1786">
        <f>H148/E148</f>
        <v>0.53846153846153844</v>
      </c>
      <c r="J148" s="1423">
        <f>SUM(J149:J150)</f>
        <v>71400</v>
      </c>
      <c r="K148" s="1423">
        <f>SUM(K149:K150)</f>
        <v>142800</v>
      </c>
      <c r="L148" s="1749">
        <f t="shared" si="20"/>
        <v>1.0769230769230769</v>
      </c>
      <c r="M148" s="2075"/>
      <c r="N148" s="2011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/>
      <c r="Y148" s="257"/>
      <c r="Z148" s="257"/>
      <c r="AA148" s="257"/>
      <c r="AB148" s="257"/>
      <c r="AC148" s="257"/>
      <c r="AD148" s="257"/>
      <c r="AE148" s="257"/>
      <c r="AF148" s="257"/>
      <c r="AG148" s="257"/>
      <c r="AH148" s="257"/>
      <c r="AI148" s="257"/>
      <c r="AJ148" s="257"/>
      <c r="AK148" s="257"/>
    </row>
    <row r="149" spans="1:37" ht="12.75" customHeight="1">
      <c r="A149" s="2046"/>
      <c r="B149" s="2033"/>
      <c r="C149" s="2013"/>
      <c r="D149" s="1429">
        <v>3020</v>
      </c>
      <c r="E149" s="1425">
        <v>132600</v>
      </c>
      <c r="F149" s="1425">
        <v>232600</v>
      </c>
      <c r="G149" s="1789"/>
      <c r="H149" s="1425">
        <v>71400</v>
      </c>
      <c r="I149" s="1312">
        <f>H149/E149</f>
        <v>0.53846153846153844</v>
      </c>
      <c r="J149" s="1423">
        <v>71400</v>
      </c>
      <c r="K149" s="1423">
        <f>J149+H149</f>
        <v>142800</v>
      </c>
      <c r="L149" s="1749">
        <f t="shared" si="20"/>
        <v>1.0769230769230769</v>
      </c>
      <c r="M149" s="2075"/>
      <c r="N149" s="2011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7"/>
      <c r="AF149" s="257"/>
      <c r="AG149" s="257"/>
      <c r="AH149" s="257"/>
      <c r="AI149" s="257"/>
      <c r="AJ149" s="257"/>
      <c r="AK149" s="257"/>
    </row>
    <row r="150" spans="1:37" ht="12.75" customHeight="1">
      <c r="A150" s="2046"/>
      <c r="B150" s="2033"/>
      <c r="C150" s="2013"/>
      <c r="D150" s="1429">
        <v>3030</v>
      </c>
      <c r="E150" s="1425">
        <v>0</v>
      </c>
      <c r="F150" s="1425">
        <v>143</v>
      </c>
      <c r="G150" s="1789"/>
      <c r="H150" s="1423">
        <v>0</v>
      </c>
      <c r="I150" s="1312"/>
      <c r="J150" s="1423">
        <v>0</v>
      </c>
      <c r="K150" s="1423">
        <f>J150+H150</f>
        <v>0</v>
      </c>
      <c r="L150" s="1749"/>
      <c r="M150" s="2075"/>
      <c r="N150" s="2011"/>
      <c r="O150" s="257"/>
      <c r="P150" s="257"/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  <c r="AA150" s="257"/>
      <c r="AB150" s="257"/>
      <c r="AC150" s="257"/>
      <c r="AD150" s="257"/>
      <c r="AE150" s="257"/>
      <c r="AF150" s="257"/>
      <c r="AG150" s="257"/>
      <c r="AH150" s="257"/>
      <c r="AI150" s="257"/>
      <c r="AJ150" s="257"/>
      <c r="AK150" s="257"/>
    </row>
    <row r="151" spans="1:37" ht="12.75" customHeight="1">
      <c r="A151" s="2046"/>
      <c r="B151" s="2033"/>
      <c r="C151" s="2014" t="s">
        <v>25</v>
      </c>
      <c r="D151" s="1309" t="s">
        <v>366</v>
      </c>
      <c r="E151" s="1425">
        <f>SUM(E152:E189)</f>
        <v>37674860</v>
      </c>
      <c r="F151" s="1425">
        <f>SUM(F152:F189)</f>
        <v>37674860</v>
      </c>
      <c r="G151" s="1783">
        <f>SUM(G152:G189)</f>
        <v>0</v>
      </c>
      <c r="H151" s="1425">
        <f>SUM(H152:H189)</f>
        <v>44612480</v>
      </c>
      <c r="I151" s="1312">
        <f>H151/E151</f>
        <v>1.1841445462571063</v>
      </c>
      <c r="J151" s="1423">
        <f>SUM(J152:J189)</f>
        <v>0</v>
      </c>
      <c r="K151" s="1423">
        <f>SUM(K152:K189)</f>
        <v>44612480</v>
      </c>
      <c r="L151" s="1749">
        <f t="shared" si="20"/>
        <v>1.1841445462571063</v>
      </c>
      <c r="M151" s="2075"/>
      <c r="N151" s="2011"/>
      <c r="O151" s="257"/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  <c r="AA151" s="257"/>
      <c r="AB151" s="257"/>
      <c r="AC151" s="257"/>
      <c r="AD151" s="257"/>
      <c r="AE151" s="257"/>
      <c r="AF151" s="257"/>
      <c r="AG151" s="257"/>
      <c r="AH151" s="257"/>
      <c r="AI151" s="257"/>
      <c r="AJ151" s="257"/>
      <c r="AK151" s="257"/>
    </row>
    <row r="152" spans="1:37" ht="12.75" customHeight="1">
      <c r="A152" s="2046"/>
      <c r="B152" s="2033"/>
      <c r="C152" s="2014"/>
      <c r="D152" s="1784">
        <v>3028</v>
      </c>
      <c r="E152" s="1475">
        <v>25500</v>
      </c>
      <c r="F152" s="1475">
        <v>25500</v>
      </c>
      <c r="G152" s="1785"/>
      <c r="H152" s="906">
        <v>25500</v>
      </c>
      <c r="I152" s="1786">
        <f t="shared" ref="I152:I189" si="24">H152/E152</f>
        <v>1</v>
      </c>
      <c r="J152" s="1423">
        <v>0</v>
      </c>
      <c r="K152" s="1474">
        <f>J152+H152</f>
        <v>25500</v>
      </c>
      <c r="L152" s="1749">
        <f t="shared" si="20"/>
        <v>1</v>
      </c>
      <c r="M152" s="2075"/>
      <c r="N152" s="2011"/>
      <c r="O152" s="257"/>
      <c r="P152" s="257"/>
      <c r="Q152" s="257"/>
      <c r="R152" s="257"/>
      <c r="S152" s="257"/>
      <c r="T152" s="257"/>
      <c r="U152" s="257"/>
      <c r="V152" s="257"/>
      <c r="W152" s="257"/>
      <c r="X152" s="257"/>
      <c r="Y152" s="257"/>
      <c r="Z152" s="257"/>
      <c r="AA152" s="257"/>
      <c r="AB152" s="257"/>
      <c r="AC152" s="257"/>
      <c r="AD152" s="257"/>
      <c r="AE152" s="257"/>
      <c r="AF152" s="257"/>
      <c r="AG152" s="257"/>
      <c r="AH152" s="257"/>
      <c r="AI152" s="257"/>
      <c r="AJ152" s="257"/>
      <c r="AK152" s="257"/>
    </row>
    <row r="153" spans="1:37" ht="12.75" customHeight="1">
      <c r="A153" s="2046"/>
      <c r="B153" s="2033"/>
      <c r="C153" s="2014"/>
      <c r="D153" s="1784">
        <v>3029</v>
      </c>
      <c r="E153" s="1475">
        <v>4500</v>
      </c>
      <c r="F153" s="1475">
        <v>4500</v>
      </c>
      <c r="G153" s="1785"/>
      <c r="H153" s="906">
        <v>4500</v>
      </c>
      <c r="I153" s="1786">
        <f t="shared" si="24"/>
        <v>1</v>
      </c>
      <c r="J153" s="1423">
        <v>0</v>
      </c>
      <c r="K153" s="1474">
        <f t="shared" ref="K153:K189" si="25">J153+H153</f>
        <v>4500</v>
      </c>
      <c r="L153" s="1749">
        <f t="shared" si="20"/>
        <v>1</v>
      </c>
      <c r="M153" s="2075"/>
      <c r="N153" s="201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1"/>
      <c r="AI153" s="251"/>
      <c r="AJ153" s="251"/>
      <c r="AK153" s="251"/>
    </row>
    <row r="154" spans="1:37" ht="12.75" customHeight="1">
      <c r="A154" s="2046"/>
      <c r="B154" s="2033"/>
      <c r="C154" s="2014"/>
      <c r="D154" s="1784">
        <v>3038</v>
      </c>
      <c r="E154" s="1475">
        <v>10200</v>
      </c>
      <c r="F154" s="1475">
        <v>10200</v>
      </c>
      <c r="G154" s="1785"/>
      <c r="H154" s="906">
        <v>20400</v>
      </c>
      <c r="I154" s="1786">
        <f t="shared" si="24"/>
        <v>2</v>
      </c>
      <c r="J154" s="1423">
        <v>0</v>
      </c>
      <c r="K154" s="1474">
        <f t="shared" si="25"/>
        <v>20400</v>
      </c>
      <c r="L154" s="1749">
        <f t="shared" si="20"/>
        <v>2</v>
      </c>
      <c r="M154" s="2075"/>
      <c r="N154" s="201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251"/>
      <c r="AI154" s="251"/>
      <c r="AJ154" s="251"/>
      <c r="AK154" s="251"/>
    </row>
    <row r="155" spans="1:37" ht="12.75" customHeight="1">
      <c r="A155" s="2046"/>
      <c r="B155" s="2033"/>
      <c r="C155" s="2014"/>
      <c r="D155" s="1784">
        <v>3039</v>
      </c>
      <c r="E155" s="1475">
        <v>1800</v>
      </c>
      <c r="F155" s="1475">
        <v>1800</v>
      </c>
      <c r="G155" s="1785"/>
      <c r="H155" s="906">
        <v>3600</v>
      </c>
      <c r="I155" s="1786">
        <f t="shared" si="24"/>
        <v>2</v>
      </c>
      <c r="J155" s="1423">
        <v>0</v>
      </c>
      <c r="K155" s="1474">
        <f t="shared" si="25"/>
        <v>3600</v>
      </c>
      <c r="L155" s="1749">
        <f t="shared" si="20"/>
        <v>2</v>
      </c>
      <c r="M155" s="2075"/>
      <c r="N155" s="201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1"/>
      <c r="AK155" s="251"/>
    </row>
    <row r="156" spans="1:37" ht="12.75" customHeight="1">
      <c r="A156" s="2046"/>
      <c r="B156" s="2033"/>
      <c r="C156" s="2014"/>
      <c r="D156" s="1784">
        <v>4018</v>
      </c>
      <c r="E156" s="1475">
        <v>22525000</v>
      </c>
      <c r="F156" s="1475">
        <v>22525000</v>
      </c>
      <c r="G156" s="1787"/>
      <c r="H156" s="906">
        <f>14849976+11077421</f>
        <v>25927397</v>
      </c>
      <c r="I156" s="1786">
        <f t="shared" si="24"/>
        <v>1.1510498113207548</v>
      </c>
      <c r="J156" s="1423">
        <v>0</v>
      </c>
      <c r="K156" s="1474">
        <f t="shared" si="25"/>
        <v>25927397</v>
      </c>
      <c r="L156" s="1749">
        <f t="shared" si="20"/>
        <v>1.1510498113207548</v>
      </c>
      <c r="M156" s="2075"/>
      <c r="N156" s="201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1"/>
      <c r="AH156" s="251"/>
      <c r="AI156" s="251"/>
      <c r="AJ156" s="251"/>
      <c r="AK156" s="251"/>
    </row>
    <row r="157" spans="1:37" ht="12.75" customHeight="1">
      <c r="A157" s="2046"/>
      <c r="B157" s="2033"/>
      <c r="C157" s="2014"/>
      <c r="D157" s="1784">
        <v>4019</v>
      </c>
      <c r="E157" s="1475">
        <v>3975000</v>
      </c>
      <c r="F157" s="1475">
        <v>3975000</v>
      </c>
      <c r="G157" s="1787"/>
      <c r="H157" s="906">
        <f>2620584+1954839</f>
        <v>4575423</v>
      </c>
      <c r="I157" s="1786">
        <f t="shared" si="24"/>
        <v>1.1510498113207548</v>
      </c>
      <c r="J157" s="1423">
        <v>0</v>
      </c>
      <c r="K157" s="1474">
        <f t="shared" si="25"/>
        <v>4575423</v>
      </c>
      <c r="L157" s="1749">
        <f t="shared" si="20"/>
        <v>1.1510498113207548</v>
      </c>
      <c r="M157" s="2075"/>
      <c r="N157" s="201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1"/>
      <c r="AH157" s="251"/>
      <c r="AI157" s="251"/>
      <c r="AJ157" s="251"/>
      <c r="AK157" s="251"/>
    </row>
    <row r="158" spans="1:37" ht="12.75" customHeight="1">
      <c r="A158" s="2046"/>
      <c r="B158" s="2033"/>
      <c r="C158" s="2014"/>
      <c r="D158" s="1784">
        <v>4048</v>
      </c>
      <c r="E158" s="1475">
        <v>1474750</v>
      </c>
      <c r="F158" s="1475">
        <v>1474750</v>
      </c>
      <c r="G158" s="1787"/>
      <c r="H158" s="906">
        <v>1658928</v>
      </c>
      <c r="I158" s="1786">
        <f t="shared" si="24"/>
        <v>1.1248876080691643</v>
      </c>
      <c r="J158" s="1423">
        <v>0</v>
      </c>
      <c r="K158" s="1474">
        <f t="shared" si="25"/>
        <v>1658928</v>
      </c>
      <c r="L158" s="1749">
        <f t="shared" si="20"/>
        <v>1.1248876080691643</v>
      </c>
      <c r="M158" s="2075"/>
      <c r="N158" s="201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251"/>
    </row>
    <row r="159" spans="1:37" ht="12.75" customHeight="1">
      <c r="A159" s="2046"/>
      <c r="B159" s="2033"/>
      <c r="C159" s="2014"/>
      <c r="D159" s="1784">
        <v>4049</v>
      </c>
      <c r="E159" s="1475">
        <v>260250</v>
      </c>
      <c r="F159" s="1475">
        <v>260250</v>
      </c>
      <c r="G159" s="1787"/>
      <c r="H159" s="906">
        <v>292752</v>
      </c>
      <c r="I159" s="1786">
        <f t="shared" si="24"/>
        <v>1.1248876080691643</v>
      </c>
      <c r="J159" s="1423">
        <v>0</v>
      </c>
      <c r="K159" s="1474">
        <f t="shared" si="25"/>
        <v>292752</v>
      </c>
      <c r="L159" s="1749">
        <f t="shared" si="20"/>
        <v>1.1248876080691643</v>
      </c>
      <c r="M159" s="2075"/>
      <c r="N159" s="201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1"/>
      <c r="AA159" s="251"/>
      <c r="AB159" s="251"/>
      <c r="AC159" s="251"/>
      <c r="AD159" s="251"/>
      <c r="AE159" s="251"/>
      <c r="AF159" s="251"/>
      <c r="AG159" s="251"/>
      <c r="AH159" s="251"/>
      <c r="AI159" s="251"/>
      <c r="AJ159" s="251"/>
      <c r="AK159" s="251"/>
    </row>
    <row r="160" spans="1:37" ht="12.75" customHeight="1">
      <c r="A160" s="2046"/>
      <c r="B160" s="2033"/>
      <c r="C160" s="2014"/>
      <c r="D160" s="1784">
        <v>4118</v>
      </c>
      <c r="E160" s="1475">
        <v>4102848</v>
      </c>
      <c r="F160" s="1475">
        <v>4102848</v>
      </c>
      <c r="G160" s="1787"/>
      <c r="H160" s="906">
        <f>2837878+1904204+30260</f>
        <v>4772342</v>
      </c>
      <c r="I160" s="1786">
        <f t="shared" si="24"/>
        <v>1.1631778705913551</v>
      </c>
      <c r="J160" s="1423">
        <v>0</v>
      </c>
      <c r="K160" s="1474">
        <f t="shared" si="25"/>
        <v>4772342</v>
      </c>
      <c r="L160" s="1749">
        <f t="shared" si="20"/>
        <v>1.1631778705913551</v>
      </c>
      <c r="M160" s="2075"/>
      <c r="N160" s="201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  <c r="AI160" s="251"/>
      <c r="AJ160" s="251"/>
      <c r="AK160" s="251"/>
    </row>
    <row r="161" spans="1:37" ht="12.75" customHeight="1">
      <c r="A161" s="2046"/>
      <c r="B161" s="2033"/>
      <c r="C161" s="2014"/>
      <c r="D161" s="1784">
        <v>4119</v>
      </c>
      <c r="E161" s="1475">
        <v>724032</v>
      </c>
      <c r="F161" s="1475">
        <v>724032</v>
      </c>
      <c r="G161" s="1787"/>
      <c r="H161" s="906">
        <f>500802+336036+5340</f>
        <v>842178</v>
      </c>
      <c r="I161" s="1786">
        <f t="shared" si="24"/>
        <v>1.1631778705913551</v>
      </c>
      <c r="J161" s="1423">
        <v>0</v>
      </c>
      <c r="K161" s="1474">
        <f t="shared" si="25"/>
        <v>842178</v>
      </c>
      <c r="L161" s="1749">
        <f t="shared" si="20"/>
        <v>1.1631778705913551</v>
      </c>
      <c r="M161" s="2075"/>
      <c r="N161" s="201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</row>
    <row r="162" spans="1:37" ht="12.75" customHeight="1">
      <c r="A162" s="2046"/>
      <c r="B162" s="2033"/>
      <c r="C162" s="2014"/>
      <c r="D162" s="1784">
        <v>4128</v>
      </c>
      <c r="E162" s="1475">
        <v>587333</v>
      </c>
      <c r="F162" s="1475">
        <v>587333</v>
      </c>
      <c r="G162" s="1787"/>
      <c r="H162" s="906">
        <f>404464+271405+4080</f>
        <v>679949</v>
      </c>
      <c r="I162" s="1786">
        <f t="shared" si="24"/>
        <v>1.1576890792787056</v>
      </c>
      <c r="J162" s="1423">
        <v>0</v>
      </c>
      <c r="K162" s="1474">
        <f t="shared" si="25"/>
        <v>679949</v>
      </c>
      <c r="L162" s="1749">
        <f t="shared" si="20"/>
        <v>1.1576890792787056</v>
      </c>
      <c r="M162" s="2075"/>
      <c r="N162" s="201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</row>
    <row r="163" spans="1:37" ht="12.75" customHeight="1">
      <c r="A163" s="2046"/>
      <c r="B163" s="2033"/>
      <c r="C163" s="2014"/>
      <c r="D163" s="1784">
        <v>4129</v>
      </c>
      <c r="E163" s="1475">
        <v>103647</v>
      </c>
      <c r="F163" s="1475">
        <v>103647</v>
      </c>
      <c r="G163" s="1787"/>
      <c r="H163" s="906">
        <f>71376+47895+720</f>
        <v>119991</v>
      </c>
      <c r="I163" s="1786">
        <f t="shared" si="24"/>
        <v>1.1576890792787056</v>
      </c>
      <c r="J163" s="1423">
        <v>0</v>
      </c>
      <c r="K163" s="1474">
        <f t="shared" si="25"/>
        <v>119991</v>
      </c>
      <c r="L163" s="1749">
        <f t="shared" si="20"/>
        <v>1.1576890792787056</v>
      </c>
      <c r="M163" s="2075"/>
      <c r="N163" s="201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</row>
    <row r="164" spans="1:37" ht="12.75" customHeight="1">
      <c r="A164" s="2046"/>
      <c r="B164" s="2033"/>
      <c r="C164" s="2014"/>
      <c r="D164" s="1784">
        <v>4178</v>
      </c>
      <c r="E164" s="1475">
        <v>780300</v>
      </c>
      <c r="F164" s="1475">
        <v>601800</v>
      </c>
      <c r="G164" s="1787"/>
      <c r="H164" s="906">
        <v>1190850</v>
      </c>
      <c r="I164" s="1786">
        <f t="shared" si="24"/>
        <v>1.5261437908496731</v>
      </c>
      <c r="J164" s="1423">
        <v>0</v>
      </c>
      <c r="K164" s="1474">
        <f t="shared" si="25"/>
        <v>1190850</v>
      </c>
      <c r="L164" s="1749">
        <f t="shared" si="20"/>
        <v>1.5261437908496731</v>
      </c>
      <c r="M164" s="2075"/>
      <c r="N164" s="201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  <c r="AB164" s="251"/>
      <c r="AC164" s="251"/>
      <c r="AD164" s="251"/>
      <c r="AE164" s="251"/>
      <c r="AF164" s="251"/>
      <c r="AG164" s="251"/>
      <c r="AH164" s="251"/>
      <c r="AI164" s="251"/>
      <c r="AJ164" s="251"/>
      <c r="AK164" s="251"/>
    </row>
    <row r="165" spans="1:37" ht="12.75" customHeight="1">
      <c r="A165" s="2046"/>
      <c r="B165" s="2033"/>
      <c r="C165" s="2014"/>
      <c r="D165" s="1784">
        <v>4179</v>
      </c>
      <c r="E165" s="1475">
        <v>137700</v>
      </c>
      <c r="F165" s="1475">
        <v>106200</v>
      </c>
      <c r="G165" s="1787"/>
      <c r="H165" s="906">
        <v>210150</v>
      </c>
      <c r="I165" s="1786">
        <f t="shared" si="24"/>
        <v>1.5261437908496731</v>
      </c>
      <c r="J165" s="1423">
        <v>0</v>
      </c>
      <c r="K165" s="1474">
        <f t="shared" si="25"/>
        <v>210150</v>
      </c>
      <c r="L165" s="1749">
        <f t="shared" si="20"/>
        <v>1.5261437908496731</v>
      </c>
      <c r="M165" s="2075"/>
      <c r="N165" s="201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1"/>
      <c r="AE165" s="251"/>
      <c r="AF165" s="251"/>
      <c r="AG165" s="251"/>
      <c r="AH165" s="251"/>
      <c r="AI165" s="251"/>
      <c r="AJ165" s="251"/>
      <c r="AK165" s="251"/>
    </row>
    <row r="166" spans="1:37" ht="12.75" customHeight="1">
      <c r="A166" s="2046"/>
      <c r="B166" s="2033"/>
      <c r="C166" s="2014"/>
      <c r="D166" s="1784">
        <v>4218</v>
      </c>
      <c r="E166" s="1475">
        <v>1062500</v>
      </c>
      <c r="F166" s="1475">
        <v>1062500</v>
      </c>
      <c r="G166" s="1787"/>
      <c r="H166" s="906">
        <v>1020000</v>
      </c>
      <c r="I166" s="1786">
        <f t="shared" si="24"/>
        <v>0.96</v>
      </c>
      <c r="J166" s="1423">
        <v>0</v>
      </c>
      <c r="K166" s="1474">
        <f t="shared" si="25"/>
        <v>1020000</v>
      </c>
      <c r="L166" s="1749">
        <f t="shared" si="20"/>
        <v>0.96</v>
      </c>
      <c r="M166" s="2075"/>
      <c r="N166" s="201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</row>
    <row r="167" spans="1:37" ht="12.75" customHeight="1">
      <c r="A167" s="2046"/>
      <c r="B167" s="2033"/>
      <c r="C167" s="2014"/>
      <c r="D167" s="1784">
        <v>4219</v>
      </c>
      <c r="E167" s="1475">
        <v>187500</v>
      </c>
      <c r="F167" s="1475">
        <v>187500</v>
      </c>
      <c r="G167" s="1787"/>
      <c r="H167" s="906">
        <v>180000</v>
      </c>
      <c r="I167" s="1786">
        <f t="shared" si="24"/>
        <v>0.96</v>
      </c>
      <c r="J167" s="1423">
        <v>0</v>
      </c>
      <c r="K167" s="1474">
        <f t="shared" si="25"/>
        <v>180000</v>
      </c>
      <c r="L167" s="1749">
        <f t="shared" si="20"/>
        <v>0.96</v>
      </c>
      <c r="M167" s="2075"/>
      <c r="N167" s="201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</row>
    <row r="168" spans="1:37" ht="12.75" customHeight="1">
      <c r="A168" s="2046"/>
      <c r="B168" s="2033"/>
      <c r="C168" s="2014"/>
      <c r="D168" s="1784">
        <v>4268</v>
      </c>
      <c r="E168" s="1475">
        <v>391000</v>
      </c>
      <c r="F168" s="1475">
        <v>561000</v>
      </c>
      <c r="G168" s="1787"/>
      <c r="H168" s="906">
        <v>1275000</v>
      </c>
      <c r="I168" s="1786">
        <f t="shared" si="24"/>
        <v>3.2608695652173911</v>
      </c>
      <c r="J168" s="1423">
        <v>0</v>
      </c>
      <c r="K168" s="1474">
        <f t="shared" si="25"/>
        <v>1275000</v>
      </c>
      <c r="L168" s="1749">
        <f t="shared" si="20"/>
        <v>3.2608695652173911</v>
      </c>
      <c r="M168" s="2075"/>
      <c r="N168" s="201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1"/>
      <c r="AE168" s="251"/>
      <c r="AF168" s="251"/>
      <c r="AG168" s="251"/>
      <c r="AH168" s="251"/>
      <c r="AI168" s="251"/>
      <c r="AJ168" s="251"/>
      <c r="AK168" s="251"/>
    </row>
    <row r="169" spans="1:37" ht="12.75" customHeight="1">
      <c r="A169" s="2046"/>
      <c r="B169" s="2033"/>
      <c r="C169" s="2014"/>
      <c r="D169" s="1784">
        <v>4269</v>
      </c>
      <c r="E169" s="1475">
        <v>69000</v>
      </c>
      <c r="F169" s="1475">
        <v>99000</v>
      </c>
      <c r="G169" s="1787"/>
      <c r="H169" s="906">
        <v>225000</v>
      </c>
      <c r="I169" s="1786">
        <f t="shared" si="24"/>
        <v>3.2608695652173911</v>
      </c>
      <c r="J169" s="1423">
        <v>0</v>
      </c>
      <c r="K169" s="1474">
        <f t="shared" si="25"/>
        <v>225000</v>
      </c>
      <c r="L169" s="1749">
        <f t="shared" si="20"/>
        <v>3.2608695652173911</v>
      </c>
      <c r="M169" s="2075"/>
      <c r="N169" s="201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1"/>
      <c r="Z169" s="251"/>
      <c r="AA169" s="251"/>
      <c r="AB169" s="251"/>
      <c r="AC169" s="251"/>
      <c r="AD169" s="251"/>
      <c r="AE169" s="251"/>
      <c r="AF169" s="251"/>
      <c r="AG169" s="251"/>
      <c r="AH169" s="251"/>
      <c r="AI169" s="251"/>
      <c r="AJ169" s="251"/>
      <c r="AK169" s="251"/>
    </row>
    <row r="170" spans="1:37" ht="12.75" customHeight="1">
      <c r="A170" s="2046"/>
      <c r="B170" s="2033"/>
      <c r="C170" s="2014"/>
      <c r="D170" s="1784">
        <v>4288</v>
      </c>
      <c r="E170" s="1475">
        <v>22950</v>
      </c>
      <c r="F170" s="1475">
        <v>22950</v>
      </c>
      <c r="G170" s="1787"/>
      <c r="H170" s="906">
        <v>22950</v>
      </c>
      <c r="I170" s="1786">
        <f t="shared" si="24"/>
        <v>1</v>
      </c>
      <c r="J170" s="1423">
        <v>0</v>
      </c>
      <c r="K170" s="1474">
        <f t="shared" si="25"/>
        <v>22950</v>
      </c>
      <c r="L170" s="1749">
        <f t="shared" si="20"/>
        <v>1</v>
      </c>
      <c r="M170" s="2075"/>
      <c r="N170" s="201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1"/>
      <c r="Z170" s="251"/>
      <c r="AA170" s="251"/>
      <c r="AB170" s="251"/>
      <c r="AC170" s="251"/>
      <c r="AD170" s="251"/>
      <c r="AE170" s="251"/>
      <c r="AF170" s="251"/>
      <c r="AG170" s="251"/>
      <c r="AH170" s="251"/>
      <c r="AI170" s="251"/>
      <c r="AJ170" s="251"/>
      <c r="AK170" s="251"/>
    </row>
    <row r="171" spans="1:37" ht="12.75" customHeight="1">
      <c r="A171" s="2046"/>
      <c r="B171" s="2033"/>
      <c r="C171" s="2014"/>
      <c r="D171" s="1784">
        <v>4289</v>
      </c>
      <c r="E171" s="1475">
        <v>4050</v>
      </c>
      <c r="F171" s="1475">
        <v>4050</v>
      </c>
      <c r="G171" s="1787"/>
      <c r="H171" s="906">
        <v>4050</v>
      </c>
      <c r="I171" s="1786">
        <f t="shared" si="24"/>
        <v>1</v>
      </c>
      <c r="J171" s="1423">
        <v>0</v>
      </c>
      <c r="K171" s="1474">
        <f t="shared" si="25"/>
        <v>4050</v>
      </c>
      <c r="L171" s="1749">
        <f t="shared" si="20"/>
        <v>1</v>
      </c>
      <c r="M171" s="2075"/>
      <c r="N171" s="201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  <c r="AB171" s="251"/>
      <c r="AC171" s="251"/>
      <c r="AD171" s="251"/>
      <c r="AE171" s="251"/>
      <c r="AF171" s="251"/>
      <c r="AG171" s="251"/>
      <c r="AH171" s="251"/>
      <c r="AI171" s="251"/>
      <c r="AJ171" s="251"/>
      <c r="AK171" s="251"/>
    </row>
    <row r="172" spans="1:37" ht="12.75" customHeight="1">
      <c r="A172" s="2046"/>
      <c r="B172" s="2033"/>
      <c r="C172" s="2014"/>
      <c r="D172" s="1784">
        <v>4308</v>
      </c>
      <c r="E172" s="1475">
        <v>385050</v>
      </c>
      <c r="F172" s="1475">
        <v>393550</v>
      </c>
      <c r="G172" s="1787"/>
      <c r="H172" s="906">
        <v>569160</v>
      </c>
      <c r="I172" s="1786">
        <f t="shared" si="24"/>
        <v>1.4781456953642385</v>
      </c>
      <c r="J172" s="1423">
        <v>0</v>
      </c>
      <c r="K172" s="1474">
        <f t="shared" si="25"/>
        <v>569160</v>
      </c>
      <c r="L172" s="1749">
        <f t="shared" si="20"/>
        <v>1.4781456953642385</v>
      </c>
      <c r="M172" s="2075"/>
      <c r="N172" s="201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</row>
    <row r="173" spans="1:37" ht="12.75" customHeight="1">
      <c r="A173" s="2046"/>
      <c r="B173" s="2033"/>
      <c r="C173" s="2014"/>
      <c r="D173" s="1784">
        <v>4309</v>
      </c>
      <c r="E173" s="1475">
        <v>67950</v>
      </c>
      <c r="F173" s="1475">
        <v>69450</v>
      </c>
      <c r="G173" s="1787"/>
      <c r="H173" s="906">
        <v>100440</v>
      </c>
      <c r="I173" s="1786">
        <f t="shared" si="24"/>
        <v>1.4781456953642385</v>
      </c>
      <c r="J173" s="1423">
        <v>0</v>
      </c>
      <c r="K173" s="1474">
        <f t="shared" si="25"/>
        <v>100440</v>
      </c>
      <c r="L173" s="1749">
        <f t="shared" si="20"/>
        <v>1.4781456953642385</v>
      </c>
      <c r="M173" s="2075"/>
      <c r="N173" s="201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</row>
    <row r="174" spans="1:37" ht="12.75" customHeight="1">
      <c r="A174" s="2046"/>
      <c r="B174" s="2033"/>
      <c r="C174" s="2014"/>
      <c r="D174" s="1784">
        <v>4388</v>
      </c>
      <c r="E174" s="1475">
        <v>5950</v>
      </c>
      <c r="F174" s="1475">
        <v>5950</v>
      </c>
      <c r="G174" s="1787"/>
      <c r="H174" s="906">
        <v>9350</v>
      </c>
      <c r="I174" s="1786">
        <f t="shared" si="24"/>
        <v>1.5714285714285714</v>
      </c>
      <c r="J174" s="1423">
        <v>0</v>
      </c>
      <c r="K174" s="1474">
        <f t="shared" si="25"/>
        <v>9350</v>
      </c>
      <c r="L174" s="1749">
        <f t="shared" si="20"/>
        <v>1.5714285714285714</v>
      </c>
      <c r="M174" s="2075"/>
      <c r="N174" s="201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1"/>
      <c r="AH174" s="251"/>
      <c r="AI174" s="251"/>
      <c r="AJ174" s="251"/>
      <c r="AK174" s="251"/>
    </row>
    <row r="175" spans="1:37" ht="12" customHeight="1">
      <c r="A175" s="2046"/>
      <c r="B175" s="2033"/>
      <c r="C175" s="2014"/>
      <c r="D175" s="1784">
        <v>4389</v>
      </c>
      <c r="E175" s="1475">
        <v>1050</v>
      </c>
      <c r="F175" s="1475">
        <v>1050</v>
      </c>
      <c r="G175" s="1787"/>
      <c r="H175" s="906">
        <v>1650</v>
      </c>
      <c r="I175" s="1786">
        <f t="shared" si="24"/>
        <v>1.5714285714285714</v>
      </c>
      <c r="J175" s="1423">
        <v>0</v>
      </c>
      <c r="K175" s="1474">
        <f t="shared" si="25"/>
        <v>1650</v>
      </c>
      <c r="L175" s="1749">
        <f t="shared" si="20"/>
        <v>1.5714285714285714</v>
      </c>
      <c r="M175" s="2075"/>
      <c r="N175" s="201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  <c r="AI175" s="251"/>
      <c r="AJ175" s="251"/>
      <c r="AK175" s="251"/>
    </row>
    <row r="176" spans="1:37" ht="12.75" customHeight="1">
      <c r="A176" s="2046"/>
      <c r="B176" s="2033"/>
      <c r="C176" s="2014"/>
      <c r="D176" s="1784">
        <v>4398</v>
      </c>
      <c r="E176" s="1475">
        <v>8500</v>
      </c>
      <c r="F176" s="1475">
        <v>8500</v>
      </c>
      <c r="G176" s="1787"/>
      <c r="H176" s="906">
        <v>85000</v>
      </c>
      <c r="I176" s="1786">
        <f t="shared" si="24"/>
        <v>10</v>
      </c>
      <c r="J176" s="1423">
        <v>0</v>
      </c>
      <c r="K176" s="1474">
        <f t="shared" si="25"/>
        <v>85000</v>
      </c>
      <c r="L176" s="1749">
        <f t="shared" si="20"/>
        <v>10</v>
      </c>
      <c r="M176" s="2075"/>
      <c r="N176" s="201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</row>
    <row r="177" spans="1:37" ht="12.75" customHeight="1">
      <c r="A177" s="2046"/>
      <c r="B177" s="2033"/>
      <c r="C177" s="2014"/>
      <c r="D177" s="1784">
        <v>4399</v>
      </c>
      <c r="E177" s="1475">
        <v>1500</v>
      </c>
      <c r="F177" s="1475">
        <v>1500</v>
      </c>
      <c r="G177" s="1787"/>
      <c r="H177" s="906">
        <v>15000</v>
      </c>
      <c r="I177" s="1786">
        <f t="shared" si="24"/>
        <v>10</v>
      </c>
      <c r="J177" s="1423">
        <v>0</v>
      </c>
      <c r="K177" s="1474">
        <f t="shared" si="25"/>
        <v>15000</v>
      </c>
      <c r="L177" s="1749">
        <f t="shared" si="20"/>
        <v>10</v>
      </c>
      <c r="M177" s="2075"/>
      <c r="N177" s="201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</row>
    <row r="178" spans="1:37" ht="12.75" customHeight="1">
      <c r="A178" s="2046"/>
      <c r="B178" s="2033"/>
      <c r="C178" s="2014"/>
      <c r="D178" s="1784">
        <v>4418</v>
      </c>
      <c r="E178" s="1475">
        <v>63750</v>
      </c>
      <c r="F178" s="1475">
        <v>63750</v>
      </c>
      <c r="G178" s="1787"/>
      <c r="H178" s="906">
        <v>72250</v>
      </c>
      <c r="I178" s="1786">
        <f t="shared" si="24"/>
        <v>1.1333333333333333</v>
      </c>
      <c r="J178" s="1423">
        <v>0</v>
      </c>
      <c r="K178" s="1474">
        <f t="shared" si="25"/>
        <v>72250</v>
      </c>
      <c r="L178" s="1749">
        <f t="shared" si="20"/>
        <v>1.1333333333333333</v>
      </c>
      <c r="M178" s="2075"/>
      <c r="N178" s="201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251"/>
      <c r="AK178" s="251"/>
    </row>
    <row r="179" spans="1:37" ht="12.75" customHeight="1">
      <c r="A179" s="2046"/>
      <c r="B179" s="2033"/>
      <c r="C179" s="2014"/>
      <c r="D179" s="1784">
        <v>4419</v>
      </c>
      <c r="E179" s="1475">
        <v>11250</v>
      </c>
      <c r="F179" s="1475">
        <v>11250</v>
      </c>
      <c r="G179" s="1787"/>
      <c r="H179" s="906">
        <v>12750</v>
      </c>
      <c r="I179" s="1786">
        <f t="shared" si="24"/>
        <v>1.1333333333333333</v>
      </c>
      <c r="J179" s="1423">
        <v>0</v>
      </c>
      <c r="K179" s="1474">
        <f t="shared" si="25"/>
        <v>12750</v>
      </c>
      <c r="L179" s="1749">
        <f t="shared" si="20"/>
        <v>1.1333333333333333</v>
      </c>
      <c r="M179" s="2075"/>
      <c r="N179" s="201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1"/>
      <c r="AC179" s="251"/>
      <c r="AD179" s="251"/>
      <c r="AE179" s="251"/>
      <c r="AF179" s="251"/>
      <c r="AG179" s="251"/>
      <c r="AH179" s="251"/>
      <c r="AI179" s="251"/>
      <c r="AJ179" s="251"/>
      <c r="AK179" s="251"/>
    </row>
    <row r="180" spans="1:37" ht="12.75" customHeight="1">
      <c r="A180" s="2046"/>
      <c r="B180" s="2033"/>
      <c r="C180" s="2014"/>
      <c r="D180" s="1784">
        <v>4428</v>
      </c>
      <c r="E180" s="1475">
        <v>59500</v>
      </c>
      <c r="F180" s="1475">
        <v>59500</v>
      </c>
      <c r="G180" s="1787"/>
      <c r="H180" s="906">
        <v>59500</v>
      </c>
      <c r="I180" s="1786">
        <f t="shared" si="24"/>
        <v>1</v>
      </c>
      <c r="J180" s="1423">
        <v>0</v>
      </c>
      <c r="K180" s="1474">
        <f t="shared" si="25"/>
        <v>59500</v>
      </c>
      <c r="L180" s="1749">
        <f t="shared" ref="L180:L189" si="26">K180/E180</f>
        <v>1</v>
      </c>
      <c r="M180" s="2075"/>
      <c r="N180" s="201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  <c r="AB180" s="251"/>
      <c r="AC180" s="251"/>
      <c r="AD180" s="251"/>
      <c r="AE180" s="251"/>
      <c r="AF180" s="251"/>
      <c r="AG180" s="251"/>
      <c r="AH180" s="251"/>
      <c r="AI180" s="251"/>
      <c r="AJ180" s="251"/>
      <c r="AK180" s="251"/>
    </row>
    <row r="181" spans="1:37" ht="12.75" customHeight="1">
      <c r="A181" s="2046"/>
      <c r="B181" s="2033"/>
      <c r="C181" s="2014"/>
      <c r="D181" s="1784">
        <v>4429</v>
      </c>
      <c r="E181" s="1475">
        <v>10500</v>
      </c>
      <c r="F181" s="1475">
        <v>10500</v>
      </c>
      <c r="G181" s="1787"/>
      <c r="H181" s="906">
        <v>10500</v>
      </c>
      <c r="I181" s="1786">
        <f t="shared" si="24"/>
        <v>1</v>
      </c>
      <c r="J181" s="1423">
        <v>0</v>
      </c>
      <c r="K181" s="1474">
        <f t="shared" si="25"/>
        <v>10500</v>
      </c>
      <c r="L181" s="1749">
        <f t="shared" si="26"/>
        <v>1</v>
      </c>
      <c r="M181" s="2075"/>
      <c r="N181" s="201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  <c r="AH181" s="251"/>
      <c r="AI181" s="251"/>
      <c r="AJ181" s="251"/>
      <c r="AK181" s="251"/>
    </row>
    <row r="182" spans="1:37" ht="12.75" customHeight="1">
      <c r="A182" s="2046"/>
      <c r="B182" s="2033"/>
      <c r="C182" s="2014"/>
      <c r="D182" s="1784">
        <v>4528</v>
      </c>
      <c r="E182" s="1475">
        <v>51000</v>
      </c>
      <c r="F182" s="1475">
        <v>51000</v>
      </c>
      <c r="G182" s="1787"/>
      <c r="H182" s="906">
        <v>51000</v>
      </c>
      <c r="I182" s="1786">
        <f t="shared" si="24"/>
        <v>1</v>
      </c>
      <c r="J182" s="1423">
        <v>0</v>
      </c>
      <c r="K182" s="1474">
        <f t="shared" si="25"/>
        <v>51000</v>
      </c>
      <c r="L182" s="1749">
        <f t="shared" si="26"/>
        <v>1</v>
      </c>
      <c r="M182" s="2075"/>
      <c r="N182" s="201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251"/>
      <c r="AK182" s="251"/>
    </row>
    <row r="183" spans="1:37" ht="12.75" customHeight="1">
      <c r="A183" s="2046"/>
      <c r="B183" s="2033"/>
      <c r="C183" s="2014"/>
      <c r="D183" s="1784">
        <v>4529</v>
      </c>
      <c r="E183" s="1475">
        <v>9000</v>
      </c>
      <c r="F183" s="1475">
        <v>9000</v>
      </c>
      <c r="G183" s="1787"/>
      <c r="H183" s="906">
        <v>9000</v>
      </c>
      <c r="I183" s="1786">
        <f t="shared" si="24"/>
        <v>1</v>
      </c>
      <c r="J183" s="1423">
        <v>0</v>
      </c>
      <c r="K183" s="1474">
        <f t="shared" si="25"/>
        <v>9000</v>
      </c>
      <c r="L183" s="1749">
        <f t="shared" si="26"/>
        <v>1</v>
      </c>
      <c r="M183" s="2075"/>
      <c r="N183" s="201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</row>
    <row r="184" spans="1:37" ht="12.75" customHeight="1">
      <c r="A184" s="2046"/>
      <c r="B184" s="2033"/>
      <c r="C184" s="2014"/>
      <c r="D184" s="1784">
        <v>4618</v>
      </c>
      <c r="E184" s="1475">
        <v>119000</v>
      </c>
      <c r="F184" s="1475">
        <v>119000</v>
      </c>
      <c r="G184" s="1787"/>
      <c r="H184" s="906">
        <v>110500</v>
      </c>
      <c r="I184" s="1786">
        <f t="shared" si="24"/>
        <v>0.9285714285714286</v>
      </c>
      <c r="J184" s="1423">
        <v>0</v>
      </c>
      <c r="K184" s="1474">
        <f t="shared" si="25"/>
        <v>110500</v>
      </c>
      <c r="L184" s="1749">
        <f t="shared" si="26"/>
        <v>0.9285714285714286</v>
      </c>
      <c r="M184" s="2075"/>
      <c r="N184" s="201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1"/>
      <c r="AE184" s="251"/>
      <c r="AF184" s="251"/>
      <c r="AG184" s="251"/>
      <c r="AH184" s="251"/>
      <c r="AI184" s="251"/>
      <c r="AJ184" s="251"/>
      <c r="AK184" s="251"/>
    </row>
    <row r="185" spans="1:37" ht="12.75" customHeight="1">
      <c r="A185" s="2046"/>
      <c r="B185" s="2033"/>
      <c r="C185" s="2014"/>
      <c r="D185" s="1784">
        <v>4619</v>
      </c>
      <c r="E185" s="1475">
        <v>21000</v>
      </c>
      <c r="F185" s="1475">
        <v>21000</v>
      </c>
      <c r="G185" s="1787"/>
      <c r="H185" s="906">
        <v>19500</v>
      </c>
      <c r="I185" s="1786">
        <f t="shared" si="24"/>
        <v>0.9285714285714286</v>
      </c>
      <c r="J185" s="1423">
        <v>0</v>
      </c>
      <c r="K185" s="1474">
        <f t="shared" si="25"/>
        <v>19500</v>
      </c>
      <c r="L185" s="1749">
        <f t="shared" si="26"/>
        <v>0.9285714285714286</v>
      </c>
      <c r="M185" s="2075"/>
      <c r="N185" s="201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1"/>
      <c r="AI185" s="251"/>
      <c r="AJ185" s="251"/>
      <c r="AK185" s="251"/>
    </row>
    <row r="186" spans="1:37" ht="12.75" customHeight="1">
      <c r="A186" s="2046"/>
      <c r="B186" s="2033"/>
      <c r="C186" s="2014"/>
      <c r="D186" s="1784">
        <v>4708</v>
      </c>
      <c r="E186" s="1475">
        <v>178500</v>
      </c>
      <c r="F186" s="1475">
        <v>178500</v>
      </c>
      <c r="G186" s="1787"/>
      <c r="H186" s="906">
        <v>178500</v>
      </c>
      <c r="I186" s="1786">
        <f t="shared" si="24"/>
        <v>1</v>
      </c>
      <c r="J186" s="1423">
        <v>0</v>
      </c>
      <c r="K186" s="1474">
        <f t="shared" si="25"/>
        <v>178500</v>
      </c>
      <c r="L186" s="1749">
        <f t="shared" si="26"/>
        <v>1</v>
      </c>
      <c r="M186" s="2075"/>
      <c r="N186" s="201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</row>
    <row r="187" spans="1:37" ht="12.75" customHeight="1">
      <c r="A187" s="2046"/>
      <c r="B187" s="2033"/>
      <c r="C187" s="2014"/>
      <c r="D187" s="1784">
        <v>4709</v>
      </c>
      <c r="E187" s="1475">
        <v>31500</v>
      </c>
      <c r="F187" s="1475">
        <v>31500</v>
      </c>
      <c r="G187" s="1787"/>
      <c r="H187" s="906">
        <v>31500</v>
      </c>
      <c r="I187" s="1786">
        <f t="shared" si="24"/>
        <v>1</v>
      </c>
      <c r="J187" s="1423">
        <v>0</v>
      </c>
      <c r="K187" s="1474">
        <f t="shared" si="25"/>
        <v>31500</v>
      </c>
      <c r="L187" s="1749">
        <f t="shared" si="26"/>
        <v>1</v>
      </c>
      <c r="M187" s="2075"/>
      <c r="N187" s="201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251"/>
      <c r="AK187" s="251"/>
    </row>
    <row r="188" spans="1:37" ht="12.75" customHeight="1">
      <c r="A188" s="2046"/>
      <c r="B188" s="2033"/>
      <c r="C188" s="2014"/>
      <c r="D188" s="1784">
        <v>4718</v>
      </c>
      <c r="E188" s="1475">
        <v>170000</v>
      </c>
      <c r="F188" s="1475">
        <v>170000</v>
      </c>
      <c r="G188" s="1787"/>
      <c r="H188" s="906">
        <f>77537+114495</f>
        <v>192032</v>
      </c>
      <c r="I188" s="1786">
        <f t="shared" si="24"/>
        <v>1.1295999999999999</v>
      </c>
      <c r="J188" s="1423">
        <v>0</v>
      </c>
      <c r="K188" s="1474">
        <f t="shared" si="25"/>
        <v>192032</v>
      </c>
      <c r="L188" s="1749">
        <f t="shared" si="26"/>
        <v>1.1295999999999999</v>
      </c>
      <c r="M188" s="2075"/>
      <c r="N188" s="201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</row>
    <row r="189" spans="1:37" ht="12.75" customHeight="1" thickBot="1">
      <c r="A189" s="2047"/>
      <c r="B189" s="2034"/>
      <c r="C189" s="2062"/>
      <c r="D189" s="1865">
        <v>4719</v>
      </c>
      <c r="E189" s="1866">
        <v>30000</v>
      </c>
      <c r="F189" s="1866">
        <v>30000</v>
      </c>
      <c r="G189" s="1867"/>
      <c r="H189" s="681">
        <f>20205+13683</f>
        <v>33888</v>
      </c>
      <c r="I189" s="1828">
        <f t="shared" si="24"/>
        <v>1.1295999999999999</v>
      </c>
      <c r="J189" s="1634">
        <v>0</v>
      </c>
      <c r="K189" s="1868">
        <f t="shared" si="25"/>
        <v>33888</v>
      </c>
      <c r="L189" s="1869">
        <f t="shared" si="26"/>
        <v>1.1295999999999999</v>
      </c>
      <c r="M189" s="2076"/>
      <c r="N189" s="201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51"/>
      <c r="AJ189" s="251"/>
      <c r="AK189" s="251"/>
    </row>
    <row r="190" spans="1:37" ht="12" customHeight="1">
      <c r="A190" s="2052"/>
      <c r="B190" s="2006">
        <v>75018</v>
      </c>
      <c r="C190" s="1846" t="s">
        <v>26</v>
      </c>
      <c r="D190" s="1847"/>
      <c r="E190" s="1848"/>
      <c r="F190" s="1849"/>
      <c r="G190" s="1850"/>
      <c r="H190" s="1848"/>
      <c r="I190" s="1851"/>
      <c r="J190" s="1657"/>
      <c r="K190" s="1657"/>
      <c r="L190" s="1852"/>
      <c r="M190" s="2072"/>
      <c r="N190" s="201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  <c r="AI190" s="251"/>
      <c r="AJ190" s="251"/>
      <c r="AK190" s="251"/>
    </row>
    <row r="191" spans="1:37" ht="12" customHeight="1">
      <c r="A191" s="2046"/>
      <c r="B191" s="2007"/>
      <c r="C191" s="1422" t="s">
        <v>27</v>
      </c>
      <c r="D191" s="1309"/>
      <c r="E191" s="1783"/>
      <c r="F191" s="1425"/>
      <c r="G191" s="1789"/>
      <c r="H191" s="1783"/>
      <c r="I191" s="1781"/>
      <c r="J191" s="1423"/>
      <c r="K191" s="1423"/>
      <c r="L191" s="1515"/>
      <c r="M191" s="2073"/>
      <c r="N191" s="201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</row>
    <row r="192" spans="1:37" ht="13.5" customHeight="1">
      <c r="A192" s="2046"/>
      <c r="B192" s="2007"/>
      <c r="C192" s="1308" t="s">
        <v>28</v>
      </c>
      <c r="D192" s="1419"/>
      <c r="E192" s="1310">
        <f>SUM(E193+E201+E202)</f>
        <v>3175000</v>
      </c>
      <c r="F192" s="1310">
        <f>SUM(F193+F201+F202)</f>
        <v>3119493</v>
      </c>
      <c r="G192" s="1311">
        <f>SUM(G193+G201+G202)</f>
        <v>0</v>
      </c>
      <c r="H192" s="1310">
        <f>H193+H201+H202</f>
        <v>3437500</v>
      </c>
      <c r="I192" s="1781">
        <f t="shared" ref="I192:I200" si="27">H192/E192</f>
        <v>1.0826771653543308</v>
      </c>
      <c r="J192" s="1313">
        <f>J193+J201+J202</f>
        <v>758500</v>
      </c>
      <c r="K192" s="1313">
        <f>K193+K201+K202</f>
        <v>4196000</v>
      </c>
      <c r="L192" s="1782">
        <f t="shared" ref="L192:L200" si="28">K192/E192</f>
        <v>1.3215748031496064</v>
      </c>
      <c r="M192" s="2073"/>
      <c r="N192" s="201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</row>
    <row r="193" spans="1:37" ht="13.5" customHeight="1">
      <c r="A193" s="2046"/>
      <c r="B193" s="2007"/>
      <c r="C193" s="2013" t="s">
        <v>29</v>
      </c>
      <c r="D193" s="1309" t="s">
        <v>366</v>
      </c>
      <c r="E193" s="1425">
        <f>SUM(E194:E197)</f>
        <v>3175000</v>
      </c>
      <c r="F193" s="1425">
        <f>SUM(F194:F197)</f>
        <v>3119493</v>
      </c>
      <c r="G193" s="1783">
        <f>SUM(G194:G197)</f>
        <v>0</v>
      </c>
      <c r="H193" s="1425">
        <f>SUM(H194:H197)</f>
        <v>3437500</v>
      </c>
      <c r="I193" s="1312">
        <f t="shared" si="27"/>
        <v>1.0826771653543308</v>
      </c>
      <c r="J193" s="1423">
        <f>SUM(J194:J197)</f>
        <v>758500</v>
      </c>
      <c r="K193" s="1423">
        <f>SUM(K194:K197)</f>
        <v>4196000</v>
      </c>
      <c r="L193" s="1749">
        <f t="shared" si="28"/>
        <v>1.3215748031496064</v>
      </c>
      <c r="M193" s="2073"/>
      <c r="N193" s="201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</row>
    <row r="194" spans="1:37" ht="13.5" customHeight="1">
      <c r="A194" s="2046"/>
      <c r="B194" s="2007"/>
      <c r="C194" s="2013"/>
      <c r="D194" s="1784">
        <v>6050</v>
      </c>
      <c r="E194" s="1425">
        <v>2045000</v>
      </c>
      <c r="F194" s="1475">
        <v>2432493</v>
      </c>
      <c r="G194" s="1787"/>
      <c r="H194" s="1475">
        <v>2337500</v>
      </c>
      <c r="I194" s="1786">
        <f t="shared" si="27"/>
        <v>1.1430317848410758</v>
      </c>
      <c r="J194" s="1474">
        <v>658500</v>
      </c>
      <c r="K194" s="1474">
        <f>J194+H194</f>
        <v>2996000</v>
      </c>
      <c r="L194" s="1749">
        <f t="shared" si="28"/>
        <v>1.4650366748166259</v>
      </c>
      <c r="M194" s="2073"/>
      <c r="N194" s="201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  <c r="AB194" s="251"/>
      <c r="AC194" s="251"/>
      <c r="AD194" s="251"/>
      <c r="AE194" s="251"/>
      <c r="AF194" s="251"/>
      <c r="AG194" s="251"/>
      <c r="AH194" s="251"/>
      <c r="AI194" s="251"/>
      <c r="AJ194" s="251"/>
      <c r="AK194" s="251"/>
    </row>
    <row r="195" spans="1:37" ht="13.5" customHeight="1">
      <c r="A195" s="2046"/>
      <c r="B195" s="2007"/>
      <c r="C195" s="2013"/>
      <c r="D195" s="1784">
        <v>6060</v>
      </c>
      <c r="E195" s="1475">
        <v>1080000</v>
      </c>
      <c r="F195" s="1475">
        <v>637000</v>
      </c>
      <c r="G195" s="1787"/>
      <c r="H195" s="1475">
        <v>1100000</v>
      </c>
      <c r="I195" s="1786">
        <f t="shared" si="27"/>
        <v>1.0185185185185186</v>
      </c>
      <c r="J195" s="1474">
        <v>100000</v>
      </c>
      <c r="K195" s="1474">
        <f>H195+J195</f>
        <v>1200000</v>
      </c>
      <c r="L195" s="1749">
        <f t="shared" si="28"/>
        <v>1.1111111111111112</v>
      </c>
      <c r="M195" s="2073"/>
      <c r="N195" s="201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  <c r="AA195" s="251"/>
      <c r="AB195" s="251"/>
      <c r="AC195" s="251"/>
      <c r="AD195" s="251"/>
      <c r="AE195" s="251"/>
      <c r="AF195" s="251"/>
      <c r="AG195" s="251"/>
      <c r="AH195" s="251"/>
      <c r="AI195" s="251"/>
      <c r="AJ195" s="251"/>
      <c r="AK195" s="251"/>
    </row>
    <row r="196" spans="1:37" ht="12.75" customHeight="1">
      <c r="A196" s="2046"/>
      <c r="B196" s="2007"/>
      <c r="C196" s="2013"/>
      <c r="D196" s="1784">
        <v>6068</v>
      </c>
      <c r="E196" s="1475">
        <v>42500</v>
      </c>
      <c r="F196" s="1475">
        <v>42500</v>
      </c>
      <c r="G196" s="1787"/>
      <c r="H196" s="1474">
        <v>0</v>
      </c>
      <c r="I196" s="1786">
        <f t="shared" si="27"/>
        <v>0</v>
      </c>
      <c r="J196" s="1474">
        <v>0</v>
      </c>
      <c r="K196" s="1474">
        <f t="shared" ref="K196:K197" si="29">H196+J196</f>
        <v>0</v>
      </c>
      <c r="L196" s="1749">
        <f t="shared" si="28"/>
        <v>0</v>
      </c>
      <c r="M196" s="2073"/>
      <c r="N196" s="201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  <c r="AI196" s="251"/>
      <c r="AJ196" s="251"/>
      <c r="AK196" s="251"/>
    </row>
    <row r="197" spans="1:37" ht="15.75" customHeight="1">
      <c r="A197" s="2046"/>
      <c r="B197" s="2007"/>
      <c r="C197" s="2013"/>
      <c r="D197" s="1784">
        <v>6069</v>
      </c>
      <c r="E197" s="1475">
        <v>7500</v>
      </c>
      <c r="F197" s="1475">
        <v>7500</v>
      </c>
      <c r="G197" s="1787"/>
      <c r="H197" s="1474">
        <v>0</v>
      </c>
      <c r="I197" s="1786">
        <f t="shared" si="27"/>
        <v>0</v>
      </c>
      <c r="J197" s="1474">
        <v>0</v>
      </c>
      <c r="K197" s="1474">
        <f t="shared" si="29"/>
        <v>0</v>
      </c>
      <c r="L197" s="1749">
        <f t="shared" si="28"/>
        <v>0</v>
      </c>
      <c r="M197" s="2073"/>
      <c r="N197" s="201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</row>
    <row r="198" spans="1:37" ht="12.75" customHeight="1">
      <c r="A198" s="2046"/>
      <c r="B198" s="2007"/>
      <c r="C198" s="2014" t="s">
        <v>30</v>
      </c>
      <c r="D198" s="1309" t="s">
        <v>22</v>
      </c>
      <c r="E198" s="1425">
        <f>SUM(E199:E200)</f>
        <v>50000</v>
      </c>
      <c r="F198" s="1425">
        <f>SUM(F199:F200)</f>
        <v>50000</v>
      </c>
      <c r="G198" s="1425">
        <f>SUM(G199:G200)</f>
        <v>0</v>
      </c>
      <c r="H198" s="1425">
        <f>SUM(H199:H200)</f>
        <v>0</v>
      </c>
      <c r="I198" s="1312"/>
      <c r="J198" s="1423"/>
      <c r="K198" s="1423">
        <f>SUM(K199:K200)</f>
        <v>0</v>
      </c>
      <c r="L198" s="1749">
        <f t="shared" si="28"/>
        <v>0</v>
      </c>
      <c r="M198" s="2073"/>
      <c r="N198" s="201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</row>
    <row r="199" spans="1:37" ht="12.75" customHeight="1">
      <c r="A199" s="2046"/>
      <c r="B199" s="2007"/>
      <c r="C199" s="2014"/>
      <c r="D199" s="1784">
        <v>6068</v>
      </c>
      <c r="E199" s="1475">
        <v>42500</v>
      </c>
      <c r="F199" s="1475">
        <v>42500</v>
      </c>
      <c r="G199" s="1787"/>
      <c r="H199" s="1474">
        <v>0</v>
      </c>
      <c r="I199" s="1786">
        <f t="shared" si="27"/>
        <v>0</v>
      </c>
      <c r="J199" s="1474"/>
      <c r="K199" s="1474">
        <f t="shared" ref="K199:K200" si="30">H199+J199</f>
        <v>0</v>
      </c>
      <c r="L199" s="1749">
        <f t="shared" si="28"/>
        <v>0</v>
      </c>
      <c r="M199" s="2073"/>
      <c r="N199" s="201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1"/>
      <c r="Z199" s="251"/>
      <c r="AA199" s="251"/>
      <c r="AB199" s="251"/>
      <c r="AC199" s="251"/>
      <c r="AD199" s="251"/>
      <c r="AE199" s="251"/>
      <c r="AF199" s="251"/>
      <c r="AG199" s="251"/>
      <c r="AH199" s="251"/>
      <c r="AI199" s="251"/>
      <c r="AJ199" s="251"/>
      <c r="AK199" s="251"/>
    </row>
    <row r="200" spans="1:37" ht="12.75" customHeight="1">
      <c r="A200" s="2046"/>
      <c r="B200" s="2007"/>
      <c r="C200" s="2014"/>
      <c r="D200" s="1784">
        <v>6069</v>
      </c>
      <c r="E200" s="1475">
        <v>7500</v>
      </c>
      <c r="F200" s="1475">
        <v>7500</v>
      </c>
      <c r="G200" s="1787"/>
      <c r="H200" s="1474">
        <v>0</v>
      </c>
      <c r="I200" s="1786">
        <f t="shared" si="27"/>
        <v>0</v>
      </c>
      <c r="J200" s="1474"/>
      <c r="K200" s="1474">
        <f t="shared" si="30"/>
        <v>0</v>
      </c>
      <c r="L200" s="1749">
        <f t="shared" si="28"/>
        <v>0</v>
      </c>
      <c r="M200" s="2073"/>
      <c r="N200" s="201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1"/>
      <c r="Z200" s="251"/>
      <c r="AA200" s="251"/>
      <c r="AB200" s="251"/>
      <c r="AC200" s="251"/>
      <c r="AD200" s="251"/>
      <c r="AE200" s="251"/>
      <c r="AF200" s="251"/>
      <c r="AG200" s="251"/>
      <c r="AH200" s="251"/>
      <c r="AI200" s="251"/>
      <c r="AJ200" s="251"/>
      <c r="AK200" s="251"/>
    </row>
    <row r="201" spans="1:37" ht="12.75" customHeight="1">
      <c r="A201" s="2046"/>
      <c r="B201" s="2007"/>
      <c r="C201" s="1422" t="s">
        <v>31</v>
      </c>
      <c r="D201" s="1309"/>
      <c r="E201" s="1783"/>
      <c r="F201" s="1425"/>
      <c r="G201" s="1789"/>
      <c r="H201" s="1783"/>
      <c r="I201" s="1781"/>
      <c r="J201" s="1423"/>
      <c r="K201" s="1423"/>
      <c r="L201" s="1515"/>
      <c r="M201" s="2073"/>
      <c r="N201" s="201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  <c r="AI201" s="251"/>
      <c r="AJ201" s="251"/>
      <c r="AK201" s="251"/>
    </row>
    <row r="202" spans="1:37" ht="12.75" customHeight="1" thickBot="1">
      <c r="A202" s="2053"/>
      <c r="B202" s="2007"/>
      <c r="C202" s="1428" t="s">
        <v>32</v>
      </c>
      <c r="D202" s="1309"/>
      <c r="E202" s="1783"/>
      <c r="F202" s="1425"/>
      <c r="G202" s="1789"/>
      <c r="H202" s="1783"/>
      <c r="I202" s="1781"/>
      <c r="J202" s="1423"/>
      <c r="K202" s="1423"/>
      <c r="L202" s="1515"/>
      <c r="M202" s="2037"/>
      <c r="N202" s="2023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  <c r="AA202" s="251"/>
      <c r="AB202" s="251"/>
      <c r="AC202" s="251"/>
      <c r="AD202" s="251"/>
      <c r="AE202" s="251"/>
      <c r="AF202" s="251"/>
      <c r="AG202" s="251"/>
      <c r="AH202" s="251"/>
      <c r="AI202" s="251"/>
      <c r="AJ202" s="251"/>
      <c r="AK202" s="251"/>
    </row>
    <row r="203" spans="1:37" ht="12.75" customHeight="1">
      <c r="A203" s="2042"/>
      <c r="B203" s="2007">
        <v>75095</v>
      </c>
      <c r="C203" s="1853" t="s">
        <v>17</v>
      </c>
      <c r="D203" s="1854"/>
      <c r="E203" s="1855">
        <f>E204+E215</f>
        <v>275000</v>
      </c>
      <c r="F203" s="1855">
        <f>F204+F215</f>
        <v>1352268</v>
      </c>
      <c r="G203" s="1856">
        <f>G204+G215</f>
        <v>0</v>
      </c>
      <c r="H203" s="1855">
        <f>H204+H215</f>
        <v>302500</v>
      </c>
      <c r="I203" s="1857">
        <f>H203/E203</f>
        <v>1.1000000000000001</v>
      </c>
      <c r="J203" s="1858">
        <f>J204+J215</f>
        <v>0</v>
      </c>
      <c r="K203" s="1858">
        <f>K204+K215</f>
        <v>302500</v>
      </c>
      <c r="L203" s="1799">
        <f>K203/E203</f>
        <v>1.1000000000000001</v>
      </c>
      <c r="M203" s="2009" t="s">
        <v>391</v>
      </c>
      <c r="N203" s="2022" t="s">
        <v>392</v>
      </c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1"/>
      <c r="AH203" s="251"/>
      <c r="AI203" s="251"/>
      <c r="AJ203" s="251"/>
      <c r="AK203" s="251"/>
    </row>
    <row r="204" spans="1:37" ht="12.75" customHeight="1">
      <c r="A204" s="2042"/>
      <c r="B204" s="2007"/>
      <c r="C204" s="1418" t="s">
        <v>18</v>
      </c>
      <c r="D204" s="1309"/>
      <c r="E204" s="1310">
        <f>E205+E210+E211+E212+E213+E214</f>
        <v>0</v>
      </c>
      <c r="F204" s="1310">
        <f>SUM(F207)</f>
        <v>471761</v>
      </c>
      <c r="G204" s="1310">
        <f>G205+G210+G211+G212+G213+G214</f>
        <v>0</v>
      </c>
      <c r="H204" s="1310">
        <f>H205+H210+H211+H212+H213+H214</f>
        <v>0</v>
      </c>
      <c r="I204" s="1781"/>
      <c r="J204" s="1313">
        <f>J205+J210+J211+J212+J213+J214</f>
        <v>0</v>
      </c>
      <c r="K204" s="1313">
        <f>K205+K210+K211+K212+K213+K214</f>
        <v>0</v>
      </c>
      <c r="L204" s="1314"/>
      <c r="M204" s="2048"/>
      <c r="N204" s="2050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1"/>
      <c r="Z204" s="251"/>
      <c r="AA204" s="251"/>
      <c r="AB204" s="251"/>
      <c r="AC204" s="251"/>
      <c r="AD204" s="251"/>
      <c r="AE204" s="251"/>
      <c r="AF204" s="251"/>
      <c r="AG204" s="251"/>
      <c r="AH204" s="251"/>
      <c r="AI204" s="251"/>
      <c r="AJ204" s="251"/>
      <c r="AK204" s="251"/>
    </row>
    <row r="205" spans="1:37" ht="12.75" customHeight="1">
      <c r="A205" s="2042"/>
      <c r="B205" s="2007"/>
      <c r="C205" s="1422" t="s">
        <v>19</v>
      </c>
      <c r="D205" s="1309"/>
      <c r="E205" s="1425"/>
      <c r="F205" s="1425"/>
      <c r="G205" s="1425"/>
      <c r="H205" s="1425"/>
      <c r="I205" s="1312"/>
      <c r="J205" s="1423"/>
      <c r="K205" s="1423"/>
      <c r="L205" s="1515"/>
      <c r="M205" s="2048"/>
      <c r="N205" s="2050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/>
      <c r="AC205" s="251"/>
      <c r="AD205" s="251"/>
      <c r="AE205" s="251"/>
      <c r="AF205" s="251"/>
      <c r="AG205" s="251"/>
      <c r="AH205" s="251"/>
      <c r="AI205" s="251"/>
      <c r="AJ205" s="251"/>
      <c r="AK205" s="251"/>
    </row>
    <row r="206" spans="1:37" ht="12.75" customHeight="1">
      <c r="A206" s="2042"/>
      <c r="B206" s="2007"/>
      <c r="C206" s="1422" t="s">
        <v>20</v>
      </c>
      <c r="D206" s="1309"/>
      <c r="E206" s="1425"/>
      <c r="F206" s="1425"/>
      <c r="G206" s="1859"/>
      <c r="H206" s="1425"/>
      <c r="I206" s="1312"/>
      <c r="J206" s="1423"/>
      <c r="K206" s="1423"/>
      <c r="L206" s="1515"/>
      <c r="M206" s="2048"/>
      <c r="N206" s="2050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  <c r="AI206" s="251"/>
      <c r="AJ206" s="251"/>
      <c r="AK206" s="251"/>
    </row>
    <row r="207" spans="1:37" ht="12" customHeight="1">
      <c r="A207" s="2042"/>
      <c r="B207" s="2007"/>
      <c r="C207" s="2014" t="s">
        <v>21</v>
      </c>
      <c r="D207" s="1309" t="s">
        <v>22</v>
      </c>
      <c r="E207" s="1425"/>
      <c r="F207" s="1425">
        <f>SUM(F208:F209)</f>
        <v>471761</v>
      </c>
      <c r="G207" s="1859"/>
      <c r="H207" s="1425"/>
      <c r="I207" s="1312"/>
      <c r="J207" s="1423"/>
      <c r="K207" s="1423"/>
      <c r="L207" s="1782"/>
      <c r="M207" s="2048"/>
      <c r="N207" s="2050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  <c r="AI207" s="251"/>
      <c r="AJ207" s="251"/>
      <c r="AK207" s="251"/>
    </row>
    <row r="208" spans="1:37" ht="12.75" customHeight="1">
      <c r="A208" s="2042"/>
      <c r="B208" s="2007"/>
      <c r="C208" s="2014"/>
      <c r="D208" s="1784">
        <v>4580</v>
      </c>
      <c r="E208" s="1475">
        <v>0</v>
      </c>
      <c r="F208" s="1475">
        <v>365488</v>
      </c>
      <c r="G208" s="1860"/>
      <c r="H208" s="1475">
        <v>0</v>
      </c>
      <c r="I208" s="1786"/>
      <c r="J208" s="1474"/>
      <c r="K208" s="1474">
        <f>J208+H208</f>
        <v>0</v>
      </c>
      <c r="L208" s="1782"/>
      <c r="M208" s="2048"/>
      <c r="N208" s="2050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1"/>
      <c r="AA208" s="251"/>
      <c r="AB208" s="251"/>
      <c r="AC208" s="251"/>
      <c r="AD208" s="251"/>
      <c r="AE208" s="251"/>
      <c r="AF208" s="251"/>
      <c r="AG208" s="251"/>
      <c r="AH208" s="251"/>
      <c r="AI208" s="251"/>
      <c r="AJ208" s="251"/>
      <c r="AK208" s="251"/>
    </row>
    <row r="209" spans="1:37" ht="12.75" customHeight="1">
      <c r="A209" s="2042"/>
      <c r="B209" s="2007"/>
      <c r="C209" s="2014"/>
      <c r="D209" s="1784">
        <v>4610</v>
      </c>
      <c r="E209" s="1475">
        <v>0</v>
      </c>
      <c r="F209" s="1475">
        <v>106273</v>
      </c>
      <c r="G209" s="1860"/>
      <c r="H209" s="1475">
        <v>0</v>
      </c>
      <c r="I209" s="1786"/>
      <c r="J209" s="1474"/>
      <c r="K209" s="1474">
        <f>J209+H209</f>
        <v>0</v>
      </c>
      <c r="L209" s="1782"/>
      <c r="M209" s="2048"/>
      <c r="N209" s="2050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1"/>
      <c r="Z209" s="251"/>
      <c r="AA209" s="251"/>
      <c r="AB209" s="251"/>
      <c r="AC209" s="251"/>
      <c r="AD209" s="251"/>
      <c r="AE209" s="251"/>
      <c r="AF209" s="251"/>
      <c r="AG209" s="251"/>
      <c r="AH209" s="251"/>
      <c r="AI209" s="251"/>
      <c r="AJ209" s="251"/>
      <c r="AK209" s="251"/>
    </row>
    <row r="210" spans="1:37" ht="12.75" customHeight="1">
      <c r="A210" s="2042"/>
      <c r="B210" s="2007"/>
      <c r="C210" s="1422" t="s">
        <v>23</v>
      </c>
      <c r="D210" s="1429"/>
      <c r="E210" s="1425"/>
      <c r="F210" s="1425"/>
      <c r="G210" s="1859"/>
      <c r="H210" s="1425"/>
      <c r="I210" s="1781"/>
      <c r="J210" s="1423"/>
      <c r="K210" s="1423"/>
      <c r="L210" s="1515"/>
      <c r="M210" s="2048"/>
      <c r="N210" s="2050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1"/>
      <c r="Z210" s="251"/>
      <c r="AA210" s="251"/>
      <c r="AB210" s="251"/>
      <c r="AC210" s="251"/>
      <c r="AD210" s="251"/>
      <c r="AE210" s="251"/>
      <c r="AF210" s="251"/>
      <c r="AG210" s="251"/>
      <c r="AH210" s="251"/>
      <c r="AI210" s="251"/>
      <c r="AJ210" s="251"/>
      <c r="AK210" s="251"/>
    </row>
    <row r="211" spans="1:37" ht="12.75" customHeight="1">
      <c r="A211" s="2042"/>
      <c r="B211" s="2007"/>
      <c r="C211" s="1422" t="s">
        <v>24</v>
      </c>
      <c r="D211" s="1309"/>
      <c r="E211" s="1425"/>
      <c r="F211" s="1425"/>
      <c r="G211" s="1859"/>
      <c r="H211" s="1425"/>
      <c r="I211" s="1781"/>
      <c r="J211" s="1423"/>
      <c r="K211" s="1423"/>
      <c r="L211" s="1515"/>
      <c r="M211" s="2048"/>
      <c r="N211" s="2050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  <c r="AI211" s="251"/>
      <c r="AJ211" s="251"/>
      <c r="AK211" s="251"/>
    </row>
    <row r="212" spans="1:37" ht="22.5">
      <c r="A212" s="2042"/>
      <c r="B212" s="2007"/>
      <c r="C212" s="1428" t="s">
        <v>25</v>
      </c>
      <c r="D212" s="1309"/>
      <c r="E212" s="1425"/>
      <c r="F212" s="1425"/>
      <c r="G212" s="1859"/>
      <c r="H212" s="1425"/>
      <c r="I212" s="1781"/>
      <c r="J212" s="1423"/>
      <c r="K212" s="1423"/>
      <c r="L212" s="1515"/>
      <c r="M212" s="2048"/>
      <c r="N212" s="2050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  <c r="AI212" s="251"/>
      <c r="AJ212" s="251"/>
      <c r="AK212" s="251"/>
    </row>
    <row r="213" spans="1:37" ht="12.75" customHeight="1">
      <c r="A213" s="2042"/>
      <c r="B213" s="2007"/>
      <c r="C213" s="1422" t="s">
        <v>26</v>
      </c>
      <c r="D213" s="1309"/>
      <c r="E213" s="1425"/>
      <c r="F213" s="1425"/>
      <c r="G213" s="1859"/>
      <c r="H213" s="1425"/>
      <c r="I213" s="1781"/>
      <c r="J213" s="1423"/>
      <c r="K213" s="1423"/>
      <c r="L213" s="1515"/>
      <c r="M213" s="2048"/>
      <c r="N213" s="2050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  <c r="AI213" s="251"/>
      <c r="AJ213" s="251"/>
      <c r="AK213" s="251"/>
    </row>
    <row r="214" spans="1:37" ht="11.25" customHeight="1">
      <c r="A214" s="2042"/>
      <c r="B214" s="2007"/>
      <c r="C214" s="1422" t="s">
        <v>27</v>
      </c>
      <c r="D214" s="1309"/>
      <c r="E214" s="1425"/>
      <c r="F214" s="1425"/>
      <c r="G214" s="1859"/>
      <c r="H214" s="1425"/>
      <c r="I214" s="1781"/>
      <c r="J214" s="1423"/>
      <c r="K214" s="1423"/>
      <c r="L214" s="1515"/>
      <c r="M214" s="2048"/>
      <c r="N214" s="2050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1"/>
      <c r="AD214" s="251"/>
      <c r="AE214" s="251"/>
      <c r="AF214" s="251"/>
      <c r="AG214" s="251"/>
      <c r="AH214" s="251"/>
      <c r="AI214" s="251"/>
      <c r="AJ214" s="251"/>
      <c r="AK214" s="251"/>
    </row>
    <row r="215" spans="1:37" ht="12.75" customHeight="1">
      <c r="A215" s="2042"/>
      <c r="B215" s="2007"/>
      <c r="C215" s="1308" t="s">
        <v>28</v>
      </c>
      <c r="D215" s="1309"/>
      <c r="E215" s="1310">
        <f>SUM(E216+E218+E219)</f>
        <v>275000</v>
      </c>
      <c r="F215" s="1310">
        <f>SUM(F216+F218+F219)</f>
        <v>880507</v>
      </c>
      <c r="G215" s="1310">
        <f>SUM(G216+G218+G219)</f>
        <v>0</v>
      </c>
      <c r="H215" s="1310">
        <f>SUM(H216+H218+H219)</f>
        <v>302500</v>
      </c>
      <c r="I215" s="1781">
        <f>H215/E215</f>
        <v>1.1000000000000001</v>
      </c>
      <c r="J215" s="1313">
        <f>SUM(J216+J218+J219)</f>
        <v>0</v>
      </c>
      <c r="K215" s="1313">
        <f>SUM(K216+K218+K219)</f>
        <v>302500</v>
      </c>
      <c r="L215" s="1782">
        <f t="shared" ref="L215:L216" si="31">K215/E215</f>
        <v>1.1000000000000001</v>
      </c>
      <c r="M215" s="2048"/>
      <c r="N215" s="2050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1"/>
      <c r="Z215" s="251"/>
      <c r="AA215" s="251"/>
      <c r="AB215" s="251"/>
      <c r="AC215" s="251"/>
      <c r="AD215" s="251"/>
      <c r="AE215" s="251"/>
      <c r="AF215" s="251"/>
      <c r="AG215" s="251"/>
      <c r="AH215" s="251"/>
      <c r="AI215" s="251"/>
      <c r="AJ215" s="251"/>
      <c r="AK215" s="251"/>
    </row>
    <row r="216" spans="1:37" ht="12.75" customHeight="1">
      <c r="A216" s="2042"/>
      <c r="B216" s="2007"/>
      <c r="C216" s="1422" t="s">
        <v>29</v>
      </c>
      <c r="D216" s="1429">
        <v>6050</v>
      </c>
      <c r="E216" s="1425">
        <v>275000</v>
      </c>
      <c r="F216" s="1425">
        <v>880507</v>
      </c>
      <c r="G216" s="1425"/>
      <c r="H216" s="1425">
        <v>302500</v>
      </c>
      <c r="I216" s="1781">
        <f>H216/E216</f>
        <v>1.1000000000000001</v>
      </c>
      <c r="J216" s="1423"/>
      <c r="K216" s="1423">
        <f>J216+H216</f>
        <v>302500</v>
      </c>
      <c r="L216" s="1749">
        <f t="shared" si="31"/>
        <v>1.1000000000000001</v>
      </c>
      <c r="M216" s="2048"/>
      <c r="N216" s="2050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</row>
    <row r="217" spans="1:37" ht="22.5" customHeight="1">
      <c r="A217" s="2042"/>
      <c r="B217" s="2007"/>
      <c r="C217" s="1428" t="s">
        <v>30</v>
      </c>
      <c r="D217" s="1309"/>
      <c r="E217" s="1425"/>
      <c r="F217" s="1425"/>
      <c r="G217" s="1859"/>
      <c r="H217" s="1783"/>
      <c r="I217" s="1781"/>
      <c r="J217" s="1423"/>
      <c r="K217" s="1423"/>
      <c r="L217" s="1515"/>
      <c r="M217" s="2048"/>
      <c r="N217" s="2050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1"/>
      <c r="AI217" s="251"/>
      <c r="AJ217" s="251"/>
      <c r="AK217" s="251"/>
    </row>
    <row r="218" spans="1:37" ht="12" customHeight="1">
      <c r="A218" s="2042"/>
      <c r="B218" s="2007"/>
      <c r="C218" s="1422" t="s">
        <v>31</v>
      </c>
      <c r="D218" s="1309"/>
      <c r="E218" s="1425"/>
      <c r="F218" s="1425"/>
      <c r="G218" s="1859"/>
      <c r="H218" s="1783"/>
      <c r="I218" s="1781"/>
      <c r="J218" s="1423"/>
      <c r="K218" s="1423"/>
      <c r="L218" s="1515"/>
      <c r="M218" s="2048"/>
      <c r="N218" s="2050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51"/>
      <c r="AK218" s="251"/>
    </row>
    <row r="219" spans="1:37" ht="12.75" customHeight="1" thickBot="1">
      <c r="A219" s="2043"/>
      <c r="B219" s="2044"/>
      <c r="C219" s="1039" t="s">
        <v>32</v>
      </c>
      <c r="D219" s="1633"/>
      <c r="E219" s="1637"/>
      <c r="F219" s="1637"/>
      <c r="G219" s="1806"/>
      <c r="H219" s="1861"/>
      <c r="I219" s="1837"/>
      <c r="J219" s="1634"/>
      <c r="K219" s="1634"/>
      <c r="L219" s="1808"/>
      <c r="M219" s="2049"/>
      <c r="N219" s="20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1"/>
      <c r="Z219" s="251"/>
      <c r="AA219" s="251"/>
      <c r="AB219" s="251"/>
      <c r="AC219" s="251"/>
      <c r="AD219" s="251"/>
      <c r="AE219" s="251"/>
      <c r="AF219" s="251"/>
      <c r="AG219" s="251"/>
      <c r="AH219" s="251"/>
      <c r="AI219" s="251"/>
      <c r="AJ219" s="251"/>
      <c r="AK219" s="251"/>
    </row>
    <row r="220" spans="1:37" ht="11.25" customHeight="1">
      <c r="A220" s="438" t="s">
        <v>393</v>
      </c>
      <c r="B220" s="1691"/>
      <c r="C220" s="1840" t="s">
        <v>394</v>
      </c>
      <c r="D220" s="1810"/>
      <c r="E220" s="1693">
        <f>E221</f>
        <v>5000</v>
      </c>
      <c r="F220" s="1693">
        <f>F221</f>
        <v>6200</v>
      </c>
      <c r="G220" s="1811">
        <f>G221</f>
        <v>0</v>
      </c>
      <c r="H220" s="1693">
        <f>H221</f>
        <v>0</v>
      </c>
      <c r="I220" s="1841"/>
      <c r="J220" s="1692">
        <f>J221</f>
        <v>0</v>
      </c>
      <c r="K220" s="1692">
        <f>K221</f>
        <v>0</v>
      </c>
      <c r="L220" s="1813">
        <f>K220/E220</f>
        <v>0</v>
      </c>
      <c r="M220" s="2008"/>
      <c r="N220" s="2010" t="s">
        <v>395</v>
      </c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251"/>
      <c r="AH220" s="251"/>
      <c r="AI220" s="251"/>
      <c r="AJ220" s="251"/>
      <c r="AK220" s="251"/>
    </row>
    <row r="221" spans="1:37" ht="12.75" customHeight="1">
      <c r="A221" s="2042"/>
      <c r="B221" s="2007">
        <v>75212</v>
      </c>
      <c r="C221" s="1466" t="s">
        <v>396</v>
      </c>
      <c r="D221" s="1823"/>
      <c r="E221" s="1464">
        <f>E222+E234</f>
        <v>5000</v>
      </c>
      <c r="F221" s="1464">
        <f>F222+F234</f>
        <v>6200</v>
      </c>
      <c r="G221" s="1824">
        <f>G222+G234</f>
        <v>0</v>
      </c>
      <c r="H221" s="1464">
        <f>H222+H234</f>
        <v>0</v>
      </c>
      <c r="I221" s="1842"/>
      <c r="J221" s="1463">
        <f>J222+J234</f>
        <v>0</v>
      </c>
      <c r="K221" s="1463">
        <f>K222+K234</f>
        <v>0</v>
      </c>
      <c r="L221" s="1799">
        <f>K221/E221</f>
        <v>0</v>
      </c>
      <c r="M221" s="2057"/>
      <c r="N221" s="2058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251"/>
      <c r="AH221" s="251"/>
      <c r="AI221" s="251"/>
      <c r="AJ221" s="251"/>
      <c r="AK221" s="251"/>
    </row>
    <row r="222" spans="1:37" ht="12.75" customHeight="1">
      <c r="A222" s="2060"/>
      <c r="B222" s="2061"/>
      <c r="C222" s="1418" t="s">
        <v>18</v>
      </c>
      <c r="D222" s="1309"/>
      <c r="E222" s="1310">
        <f>E223+E229+E230+E231+E232+E233</f>
        <v>5000</v>
      </c>
      <c r="F222" s="1310">
        <f>F223+F229+F230+F231+F232+F233</f>
        <v>6200</v>
      </c>
      <c r="G222" s="1311">
        <f>G223+G229+G230+G231+G232+G233</f>
        <v>0</v>
      </c>
      <c r="H222" s="1310">
        <f>H223+H229+H230+H231+H232+H233</f>
        <v>0</v>
      </c>
      <c r="I222" s="1781"/>
      <c r="J222" s="1313"/>
      <c r="K222" s="1313">
        <f>K223+K229+K230+K231+K232+K233</f>
        <v>0</v>
      </c>
      <c r="L222" s="1314"/>
      <c r="M222" s="2057"/>
      <c r="N222" s="2058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1"/>
      <c r="AH222" s="251"/>
      <c r="AI222" s="251"/>
      <c r="AJ222" s="251"/>
      <c r="AK222" s="251"/>
    </row>
    <row r="223" spans="1:37" ht="12.75" customHeight="1">
      <c r="A223" s="2060"/>
      <c r="B223" s="2061"/>
      <c r="C223" s="1422" t="s">
        <v>19</v>
      </c>
      <c r="D223" s="1309"/>
      <c r="E223" s="1425">
        <f>E224+E225</f>
        <v>5000</v>
      </c>
      <c r="F223" s="1425">
        <f t="shared" ref="F223:K223" si="32">F224+F225</f>
        <v>6200</v>
      </c>
      <c r="G223" s="1783">
        <f t="shared" si="32"/>
        <v>0</v>
      </c>
      <c r="H223" s="1425">
        <f t="shared" si="32"/>
        <v>0</v>
      </c>
      <c r="I223" s="1312"/>
      <c r="J223" s="1423"/>
      <c r="K223" s="1423">
        <f t="shared" si="32"/>
        <v>0</v>
      </c>
      <c r="L223" s="1515"/>
      <c r="M223" s="2057"/>
      <c r="N223" s="2058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  <c r="AA223" s="251"/>
      <c r="AB223" s="251"/>
      <c r="AC223" s="251"/>
      <c r="AD223" s="251"/>
      <c r="AE223" s="251"/>
      <c r="AF223" s="251"/>
      <c r="AG223" s="251"/>
      <c r="AH223" s="251"/>
      <c r="AI223" s="251"/>
      <c r="AJ223" s="251"/>
      <c r="AK223" s="251"/>
    </row>
    <row r="224" spans="1:37" ht="12.75" customHeight="1">
      <c r="A224" s="2060"/>
      <c r="B224" s="2061"/>
      <c r="C224" s="1422" t="s">
        <v>20</v>
      </c>
      <c r="D224" s="1309"/>
      <c r="E224" s="1425"/>
      <c r="F224" s="1425"/>
      <c r="G224" s="1789"/>
      <c r="H224" s="1425"/>
      <c r="I224" s="1312"/>
      <c r="J224" s="1423"/>
      <c r="K224" s="1423"/>
      <c r="L224" s="1515"/>
      <c r="M224" s="2057"/>
      <c r="N224" s="2058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1"/>
      <c r="Z224" s="251"/>
      <c r="AA224" s="251"/>
      <c r="AB224" s="251"/>
      <c r="AC224" s="251"/>
      <c r="AD224" s="251"/>
      <c r="AE224" s="251"/>
      <c r="AF224" s="251"/>
      <c r="AG224" s="251"/>
      <c r="AH224" s="251"/>
      <c r="AI224" s="251"/>
      <c r="AJ224" s="251"/>
      <c r="AK224" s="251"/>
    </row>
    <row r="225" spans="1:37" ht="12.75" customHeight="1">
      <c r="A225" s="2060"/>
      <c r="B225" s="2061"/>
      <c r="C225" s="2014" t="s">
        <v>21</v>
      </c>
      <c r="D225" s="1429" t="s">
        <v>22</v>
      </c>
      <c r="E225" s="1425">
        <f>E226+E228</f>
        <v>5000</v>
      </c>
      <c r="F225" s="1425">
        <f>SUM(F226:F228)</f>
        <v>6200</v>
      </c>
      <c r="G225" s="1783">
        <f t="shared" ref="G225:K225" si="33">G226+G228</f>
        <v>0</v>
      </c>
      <c r="H225" s="1425">
        <f t="shared" si="33"/>
        <v>0</v>
      </c>
      <c r="I225" s="1312"/>
      <c r="J225" s="1423">
        <f t="shared" si="33"/>
        <v>0</v>
      </c>
      <c r="K225" s="1423">
        <f t="shared" si="33"/>
        <v>0</v>
      </c>
      <c r="L225" s="1515"/>
      <c r="M225" s="2057"/>
      <c r="N225" s="2058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1"/>
      <c r="Z225" s="251"/>
      <c r="AA225" s="251"/>
      <c r="AB225" s="251"/>
      <c r="AC225" s="251"/>
      <c r="AD225" s="251"/>
      <c r="AE225" s="251"/>
      <c r="AF225" s="251"/>
      <c r="AG225" s="251"/>
      <c r="AH225" s="251"/>
      <c r="AI225" s="251"/>
      <c r="AJ225" s="251"/>
      <c r="AK225" s="251"/>
    </row>
    <row r="226" spans="1:37" ht="12.75" customHeight="1">
      <c r="A226" s="2060"/>
      <c r="B226" s="2061"/>
      <c r="C226" s="2014"/>
      <c r="D226" s="1784">
        <v>4210</v>
      </c>
      <c r="E226" s="1475">
        <v>2000</v>
      </c>
      <c r="F226" s="1475">
        <v>1500</v>
      </c>
      <c r="G226" s="1787"/>
      <c r="H226" s="1475">
        <v>0</v>
      </c>
      <c r="I226" s="1786"/>
      <c r="J226" s="1474"/>
      <c r="K226" s="1474">
        <f>H226+J226</f>
        <v>0</v>
      </c>
      <c r="L226" s="1516"/>
      <c r="M226" s="2057"/>
      <c r="N226" s="2058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1"/>
      <c r="Z226" s="251"/>
      <c r="AA226" s="251"/>
      <c r="AB226" s="251"/>
      <c r="AC226" s="251"/>
      <c r="AD226" s="251"/>
      <c r="AE226" s="251"/>
      <c r="AF226" s="251"/>
      <c r="AG226" s="251"/>
      <c r="AH226" s="251"/>
      <c r="AI226" s="251"/>
      <c r="AJ226" s="251"/>
      <c r="AK226" s="251"/>
    </row>
    <row r="227" spans="1:37" ht="15.75" customHeight="1">
      <c r="A227" s="2060"/>
      <c r="B227" s="2061"/>
      <c r="C227" s="2014"/>
      <c r="D227" s="1784">
        <v>4220</v>
      </c>
      <c r="E227" s="1475">
        <v>0</v>
      </c>
      <c r="F227" s="1475">
        <v>1200</v>
      </c>
      <c r="G227" s="1787"/>
      <c r="H227" s="1475">
        <v>0</v>
      </c>
      <c r="I227" s="1786"/>
      <c r="J227" s="1474"/>
      <c r="K227" s="1474">
        <f t="shared" ref="K227:K228" si="34">H227+J227</f>
        <v>0</v>
      </c>
      <c r="L227" s="1516"/>
      <c r="M227" s="2057"/>
      <c r="N227" s="2058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1"/>
      <c r="Z227" s="251"/>
      <c r="AA227" s="251"/>
      <c r="AB227" s="251"/>
      <c r="AC227" s="251"/>
      <c r="AD227" s="251"/>
      <c r="AE227" s="251"/>
      <c r="AF227" s="251"/>
      <c r="AG227" s="251"/>
      <c r="AH227" s="251"/>
      <c r="AI227" s="251"/>
      <c r="AJ227" s="251"/>
      <c r="AK227" s="251"/>
    </row>
    <row r="228" spans="1:37" ht="12.75" customHeight="1">
      <c r="A228" s="2060"/>
      <c r="B228" s="2061"/>
      <c r="C228" s="2014"/>
      <c r="D228" s="1784">
        <v>4300</v>
      </c>
      <c r="E228" s="1475">
        <v>3000</v>
      </c>
      <c r="F228" s="1475">
        <v>3500</v>
      </c>
      <c r="G228" s="1787"/>
      <c r="H228" s="1475">
        <v>0</v>
      </c>
      <c r="I228" s="1786"/>
      <c r="J228" s="1474"/>
      <c r="K228" s="1474">
        <f t="shared" si="34"/>
        <v>0</v>
      </c>
      <c r="L228" s="1516"/>
      <c r="M228" s="2057"/>
      <c r="N228" s="2058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1"/>
      <c r="Z228" s="251"/>
      <c r="AA228" s="251"/>
      <c r="AB228" s="251"/>
      <c r="AC228" s="251"/>
      <c r="AD228" s="251"/>
      <c r="AE228" s="251"/>
      <c r="AF228" s="251"/>
      <c r="AG228" s="251"/>
      <c r="AH228" s="251"/>
      <c r="AI228" s="251"/>
      <c r="AJ228" s="251"/>
      <c r="AK228" s="251"/>
    </row>
    <row r="229" spans="1:37" ht="12.75" customHeight="1">
      <c r="A229" s="2060"/>
      <c r="B229" s="2061"/>
      <c r="C229" s="1422" t="s">
        <v>23</v>
      </c>
      <c r="D229" s="1429"/>
      <c r="E229" s="1425"/>
      <c r="F229" s="1425"/>
      <c r="G229" s="1789"/>
      <c r="H229" s="1425"/>
      <c r="I229" s="1781"/>
      <c r="J229" s="1423"/>
      <c r="K229" s="1423"/>
      <c r="L229" s="1515"/>
      <c r="M229" s="2057"/>
      <c r="N229" s="2058"/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1"/>
      <c r="Z229" s="251"/>
      <c r="AA229" s="251"/>
      <c r="AB229" s="251"/>
      <c r="AC229" s="251"/>
      <c r="AD229" s="251"/>
      <c r="AE229" s="251"/>
      <c r="AF229" s="251"/>
      <c r="AG229" s="251"/>
      <c r="AH229" s="251"/>
      <c r="AI229" s="251"/>
      <c r="AJ229" s="251"/>
      <c r="AK229" s="251"/>
    </row>
    <row r="230" spans="1:37" ht="11.25" customHeight="1">
      <c r="A230" s="2060"/>
      <c r="B230" s="2061"/>
      <c r="C230" s="1422" t="s">
        <v>24</v>
      </c>
      <c r="D230" s="1309"/>
      <c r="E230" s="1425"/>
      <c r="F230" s="1425"/>
      <c r="G230" s="1789"/>
      <c r="H230" s="1425"/>
      <c r="I230" s="1781"/>
      <c r="J230" s="1423"/>
      <c r="K230" s="1423"/>
      <c r="L230" s="1515"/>
      <c r="M230" s="2057"/>
      <c r="N230" s="2058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1"/>
      <c r="Z230" s="251"/>
      <c r="AA230" s="251"/>
      <c r="AB230" s="251"/>
      <c r="AC230" s="251"/>
      <c r="AD230" s="251"/>
      <c r="AE230" s="251"/>
      <c r="AF230" s="251"/>
      <c r="AG230" s="251"/>
      <c r="AH230" s="251"/>
      <c r="AI230" s="251"/>
      <c r="AJ230" s="251"/>
      <c r="AK230" s="251"/>
    </row>
    <row r="231" spans="1:37" ht="22.5">
      <c r="A231" s="2060"/>
      <c r="B231" s="2061"/>
      <c r="C231" s="1428" t="s">
        <v>25</v>
      </c>
      <c r="D231" s="1309"/>
      <c r="E231" s="1425"/>
      <c r="F231" s="1425"/>
      <c r="G231" s="1789"/>
      <c r="H231" s="1425"/>
      <c r="I231" s="1781"/>
      <c r="J231" s="1423"/>
      <c r="K231" s="1423"/>
      <c r="L231" s="1515"/>
      <c r="M231" s="2057"/>
      <c r="N231" s="2058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251"/>
      <c r="AH231" s="251"/>
      <c r="AI231" s="251"/>
      <c r="AJ231" s="251"/>
      <c r="AK231" s="251"/>
    </row>
    <row r="232" spans="1:37" ht="12.75" customHeight="1">
      <c r="A232" s="2060"/>
      <c r="B232" s="2061"/>
      <c r="C232" s="1422" t="s">
        <v>26</v>
      </c>
      <c r="D232" s="1309"/>
      <c r="E232" s="1425"/>
      <c r="F232" s="1425"/>
      <c r="G232" s="1789"/>
      <c r="H232" s="1425"/>
      <c r="I232" s="1781"/>
      <c r="J232" s="1423"/>
      <c r="K232" s="1423"/>
      <c r="L232" s="1515"/>
      <c r="M232" s="2057"/>
      <c r="N232" s="2058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251"/>
      <c r="AH232" s="251"/>
      <c r="AI232" s="251"/>
      <c r="AJ232" s="251"/>
      <c r="AK232" s="251"/>
    </row>
    <row r="233" spans="1:37" ht="12.75" customHeight="1">
      <c r="A233" s="2060"/>
      <c r="B233" s="2061"/>
      <c r="C233" s="1422" t="s">
        <v>27</v>
      </c>
      <c r="D233" s="1309"/>
      <c r="E233" s="1425"/>
      <c r="F233" s="1425"/>
      <c r="G233" s="1789"/>
      <c r="H233" s="1425"/>
      <c r="I233" s="1781"/>
      <c r="J233" s="1423"/>
      <c r="K233" s="1423"/>
      <c r="L233" s="1515"/>
      <c r="M233" s="2057"/>
      <c r="N233" s="2058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251"/>
      <c r="AH233" s="251"/>
      <c r="AI233" s="251"/>
      <c r="AJ233" s="251"/>
      <c r="AK233" s="251"/>
    </row>
    <row r="234" spans="1:37" ht="12.75" customHeight="1">
      <c r="A234" s="2060"/>
      <c r="B234" s="2061"/>
      <c r="C234" s="1308" t="s">
        <v>28</v>
      </c>
      <c r="D234" s="1309"/>
      <c r="E234" s="1310">
        <f>SUM(E235+E237+E238)</f>
        <v>0</v>
      </c>
      <c r="F234" s="1310">
        <f>SUM(F235+F237+F238)</f>
        <v>0</v>
      </c>
      <c r="G234" s="1311">
        <f>SUM(G235+G237+G238)</f>
        <v>0</v>
      </c>
      <c r="H234" s="1310">
        <f>SUM(H235+H237+H238)</f>
        <v>0</v>
      </c>
      <c r="I234" s="1781"/>
      <c r="J234" s="1313">
        <f>SUM(J235+J237+J238)</f>
        <v>0</v>
      </c>
      <c r="K234" s="1313">
        <f>SUM(K235+K237+K238)</f>
        <v>0</v>
      </c>
      <c r="L234" s="1314"/>
      <c r="M234" s="2057"/>
      <c r="N234" s="2058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1"/>
      <c r="Z234" s="251"/>
      <c r="AA234" s="251"/>
      <c r="AB234" s="251"/>
      <c r="AC234" s="251"/>
      <c r="AD234" s="251"/>
      <c r="AE234" s="251"/>
      <c r="AF234" s="251"/>
      <c r="AG234" s="251"/>
      <c r="AH234" s="251"/>
      <c r="AI234" s="251"/>
      <c r="AJ234" s="251"/>
      <c r="AK234" s="251"/>
    </row>
    <row r="235" spans="1:37" ht="12.75" customHeight="1">
      <c r="A235" s="2060"/>
      <c r="B235" s="2061"/>
      <c r="C235" s="1422" t="s">
        <v>29</v>
      </c>
      <c r="D235" s="1429"/>
      <c r="E235" s="1425"/>
      <c r="F235" s="1425"/>
      <c r="G235" s="1783"/>
      <c r="H235" s="1425"/>
      <c r="I235" s="1781"/>
      <c r="J235" s="1423"/>
      <c r="K235" s="1423"/>
      <c r="L235" s="1515"/>
      <c r="M235" s="2057"/>
      <c r="N235" s="2058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1"/>
      <c r="AC235" s="251"/>
      <c r="AD235" s="251"/>
      <c r="AE235" s="251"/>
      <c r="AF235" s="251"/>
      <c r="AG235" s="251"/>
      <c r="AH235" s="251"/>
      <c r="AI235" s="251"/>
      <c r="AJ235" s="251"/>
      <c r="AK235" s="251"/>
    </row>
    <row r="236" spans="1:37" ht="22.5" customHeight="1">
      <c r="A236" s="2060"/>
      <c r="B236" s="2061"/>
      <c r="C236" s="1428" t="s">
        <v>30</v>
      </c>
      <c r="D236" s="1309"/>
      <c r="E236" s="1425"/>
      <c r="F236" s="1425"/>
      <c r="G236" s="1789"/>
      <c r="H236" s="1425"/>
      <c r="I236" s="1781"/>
      <c r="J236" s="1423"/>
      <c r="K236" s="1423"/>
      <c r="L236" s="1515"/>
      <c r="M236" s="2057"/>
      <c r="N236" s="2058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1"/>
      <c r="AE236" s="251"/>
      <c r="AF236" s="251"/>
      <c r="AG236" s="251"/>
      <c r="AH236" s="251"/>
      <c r="AI236" s="251"/>
      <c r="AJ236" s="251"/>
      <c r="AK236" s="251"/>
    </row>
    <row r="237" spans="1:37" ht="11.25" customHeight="1">
      <c r="A237" s="2060"/>
      <c r="B237" s="2061"/>
      <c r="C237" s="1422" t="s">
        <v>31</v>
      </c>
      <c r="D237" s="1309"/>
      <c r="E237" s="1425"/>
      <c r="F237" s="1425"/>
      <c r="G237" s="1789"/>
      <c r="H237" s="1425"/>
      <c r="I237" s="1781"/>
      <c r="J237" s="1423"/>
      <c r="K237" s="1423"/>
      <c r="L237" s="1515"/>
      <c r="M237" s="2057"/>
      <c r="N237" s="2058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  <c r="AG237" s="251"/>
      <c r="AH237" s="251"/>
      <c r="AI237" s="251"/>
      <c r="AJ237" s="251"/>
      <c r="AK237" s="251"/>
    </row>
    <row r="238" spans="1:37">
      <c r="A238" s="2060"/>
      <c r="B238" s="2061"/>
      <c r="C238" s="1422" t="s">
        <v>32</v>
      </c>
      <c r="D238" s="1309"/>
      <c r="E238" s="1425"/>
      <c r="F238" s="1425"/>
      <c r="G238" s="1789"/>
      <c r="H238" s="1425"/>
      <c r="I238" s="1781"/>
      <c r="J238" s="1423"/>
      <c r="K238" s="1423"/>
      <c r="L238" s="1515"/>
      <c r="M238" s="2057"/>
      <c r="N238" s="2059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1"/>
      <c r="Z238" s="251"/>
      <c r="AA238" s="251"/>
      <c r="AB238" s="251"/>
      <c r="AC238" s="251"/>
      <c r="AD238" s="251"/>
      <c r="AE238" s="251"/>
      <c r="AF238" s="251"/>
      <c r="AG238" s="251"/>
      <c r="AH238" s="251"/>
      <c r="AI238" s="251"/>
      <c r="AJ238" s="251"/>
      <c r="AK238" s="251"/>
    </row>
    <row r="239" spans="1:37" ht="23.25" customHeight="1">
      <c r="A239" s="1012" t="s">
        <v>107</v>
      </c>
      <c r="B239" s="1505"/>
      <c r="C239" s="1843" t="s">
        <v>108</v>
      </c>
      <c r="D239" s="1818"/>
      <c r="E239" s="1507">
        <f>E240+E255+E270+E285</f>
        <v>1661000</v>
      </c>
      <c r="F239" s="1507">
        <f>F240+F255+F270+F285+F300</f>
        <v>3511000</v>
      </c>
      <c r="G239" s="1819">
        <f t="shared" ref="G239:J239" si="35">G240+G255+G270+G285</f>
        <v>0</v>
      </c>
      <c r="H239" s="1507">
        <f>H240+H255+H270+H285</f>
        <v>1827100</v>
      </c>
      <c r="I239" s="1844">
        <f>H239/E239</f>
        <v>1.1000000000000001</v>
      </c>
      <c r="J239" s="1506">
        <f t="shared" si="35"/>
        <v>65000</v>
      </c>
      <c r="K239" s="1506">
        <f>K240+K255+K270+K285</f>
        <v>1892100</v>
      </c>
      <c r="L239" s="1497">
        <f>K239/E239</f>
        <v>1.1391330523780856</v>
      </c>
      <c r="M239" s="1821"/>
      <c r="N239" s="739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1"/>
      <c r="Z239" s="251"/>
      <c r="AA239" s="251"/>
      <c r="AB239" s="251"/>
      <c r="AC239" s="251"/>
      <c r="AD239" s="251"/>
      <c r="AE239" s="251"/>
      <c r="AF239" s="251"/>
      <c r="AG239" s="251"/>
      <c r="AH239" s="251"/>
      <c r="AI239" s="251"/>
      <c r="AJ239" s="251"/>
      <c r="AK239" s="251"/>
    </row>
    <row r="240" spans="1:37" ht="12.75" customHeight="1">
      <c r="A240" s="2045"/>
      <c r="B240" s="2007">
        <v>75404</v>
      </c>
      <c r="C240" s="1466" t="s">
        <v>397</v>
      </c>
      <c r="D240" s="1823"/>
      <c r="E240" s="1464">
        <f>SUM(E241+E250)</f>
        <v>385000</v>
      </c>
      <c r="F240" s="1464">
        <f>SUM(F241+F250)</f>
        <v>385000</v>
      </c>
      <c r="G240" s="1824">
        <f>SUM(G241+G250)</f>
        <v>0</v>
      </c>
      <c r="H240" s="1464">
        <f>SUM(H241+H250)</f>
        <v>385000</v>
      </c>
      <c r="I240" s="1842">
        <f>H240/E240</f>
        <v>1</v>
      </c>
      <c r="J240" s="1463">
        <f>SUM(J241+J250)</f>
        <v>65000</v>
      </c>
      <c r="K240" s="1463">
        <f>SUM(K241+K250)</f>
        <v>450000</v>
      </c>
      <c r="L240" s="1799">
        <f>K240/E240</f>
        <v>1.1688311688311688</v>
      </c>
      <c r="M240" s="2009" t="s">
        <v>398</v>
      </c>
      <c r="N240" s="2010" t="s">
        <v>399</v>
      </c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1"/>
      <c r="Z240" s="251"/>
      <c r="AA240" s="251"/>
      <c r="AB240" s="251"/>
      <c r="AC240" s="251"/>
      <c r="AD240" s="251"/>
      <c r="AE240" s="251"/>
      <c r="AF240" s="251"/>
      <c r="AG240" s="251"/>
      <c r="AH240" s="251"/>
      <c r="AI240" s="251"/>
      <c r="AJ240" s="251"/>
      <c r="AK240" s="251"/>
    </row>
    <row r="241" spans="1:37" ht="12.75" customHeight="1">
      <c r="A241" s="2046"/>
      <c r="B241" s="2007"/>
      <c r="C241" s="1418" t="s">
        <v>18</v>
      </c>
      <c r="D241" s="1309"/>
      <c r="E241" s="1310">
        <f>E242+E245+E246+E247+E248+E249</f>
        <v>0</v>
      </c>
      <c r="F241" s="1310">
        <f>F242+F245+F246+F247+F248+F249</f>
        <v>0</v>
      </c>
      <c r="G241" s="1311">
        <f>G242+G245+G246+G247+G248+G249</f>
        <v>0</v>
      </c>
      <c r="H241" s="1310">
        <f>H242+H245+H246+H247+H248+H249</f>
        <v>0</v>
      </c>
      <c r="I241" s="1845"/>
      <c r="J241" s="1313">
        <f>J242+J245+J246+J247+J248+J249</f>
        <v>0</v>
      </c>
      <c r="K241" s="1313">
        <f>K242+K245+K246+K247+K248+K249</f>
        <v>0</v>
      </c>
      <c r="L241" s="1314"/>
      <c r="M241" s="2009"/>
      <c r="N241" s="201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1"/>
      <c r="AE241" s="251"/>
      <c r="AF241" s="251"/>
      <c r="AG241" s="251"/>
      <c r="AH241" s="251"/>
      <c r="AI241" s="251"/>
      <c r="AJ241" s="251"/>
      <c r="AK241" s="251"/>
    </row>
    <row r="242" spans="1:37" ht="12.75" customHeight="1">
      <c r="A242" s="2046"/>
      <c r="B242" s="2007"/>
      <c r="C242" s="1422" t="s">
        <v>19</v>
      </c>
      <c r="D242" s="1309"/>
      <c r="E242" s="1425"/>
      <c r="F242" s="1425"/>
      <c r="G242" s="1789"/>
      <c r="H242" s="1425"/>
      <c r="I242" s="1312"/>
      <c r="J242" s="1423"/>
      <c r="K242" s="1423"/>
      <c r="L242" s="1515"/>
      <c r="M242" s="2009"/>
      <c r="N242" s="201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1"/>
      <c r="Z242" s="251"/>
      <c r="AA242" s="251"/>
      <c r="AB242" s="251"/>
      <c r="AC242" s="251"/>
      <c r="AD242" s="251"/>
      <c r="AE242" s="251"/>
      <c r="AF242" s="251"/>
      <c r="AG242" s="251"/>
      <c r="AH242" s="251"/>
      <c r="AI242" s="251"/>
      <c r="AJ242" s="251"/>
      <c r="AK242" s="251"/>
    </row>
    <row r="243" spans="1:37" ht="12.75" customHeight="1">
      <c r="A243" s="2046"/>
      <c r="B243" s="2007"/>
      <c r="C243" s="1422" t="s">
        <v>20</v>
      </c>
      <c r="D243" s="1309"/>
      <c r="E243" s="1425"/>
      <c r="F243" s="1425"/>
      <c r="G243" s="1789"/>
      <c r="H243" s="1425"/>
      <c r="I243" s="1312"/>
      <c r="J243" s="1423"/>
      <c r="K243" s="1423"/>
      <c r="L243" s="1515"/>
      <c r="M243" s="2009"/>
      <c r="N243" s="201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1"/>
      <c r="Z243" s="251"/>
      <c r="AA243" s="251"/>
      <c r="AB243" s="251"/>
      <c r="AC243" s="251"/>
      <c r="AD243" s="251"/>
      <c r="AE243" s="251"/>
      <c r="AF243" s="251"/>
      <c r="AG243" s="251"/>
      <c r="AH243" s="251"/>
      <c r="AI243" s="251"/>
      <c r="AJ243" s="251"/>
      <c r="AK243" s="251"/>
    </row>
    <row r="244" spans="1:37" ht="12.75" customHeight="1">
      <c r="A244" s="2046"/>
      <c r="B244" s="2007"/>
      <c r="C244" s="1428" t="s">
        <v>21</v>
      </c>
      <c r="D244" s="1309"/>
      <c r="E244" s="1425"/>
      <c r="F244" s="1425"/>
      <c r="G244" s="1789"/>
      <c r="H244" s="1425"/>
      <c r="I244" s="1312"/>
      <c r="J244" s="1423"/>
      <c r="K244" s="1423"/>
      <c r="L244" s="1515"/>
      <c r="M244" s="2009"/>
      <c r="N244" s="201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1"/>
      <c r="Z244" s="251"/>
      <c r="AA244" s="251"/>
      <c r="AB244" s="251"/>
      <c r="AC244" s="251"/>
      <c r="AD244" s="251"/>
      <c r="AE244" s="251"/>
      <c r="AF244" s="251"/>
      <c r="AG244" s="251"/>
      <c r="AH244" s="251"/>
      <c r="AI244" s="251"/>
      <c r="AJ244" s="251"/>
      <c r="AK244" s="251"/>
    </row>
    <row r="245" spans="1:37" ht="12.75" customHeight="1">
      <c r="A245" s="2046"/>
      <c r="B245" s="2007"/>
      <c r="C245" s="1428" t="s">
        <v>23</v>
      </c>
      <c r="D245" s="1429"/>
      <c r="E245" s="1425"/>
      <c r="F245" s="1425">
        <v>0</v>
      </c>
      <c r="G245" s="1789"/>
      <c r="H245" s="1425"/>
      <c r="I245" s="1312"/>
      <c r="J245" s="1423"/>
      <c r="K245" s="1423"/>
      <c r="L245" s="1515"/>
      <c r="M245" s="2009"/>
      <c r="N245" s="201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1"/>
      <c r="Z245" s="251"/>
      <c r="AA245" s="251"/>
      <c r="AB245" s="251"/>
      <c r="AC245" s="251"/>
      <c r="AD245" s="251"/>
      <c r="AE245" s="251"/>
      <c r="AF245" s="251"/>
      <c r="AG245" s="251"/>
      <c r="AH245" s="251"/>
      <c r="AI245" s="251"/>
      <c r="AJ245" s="251"/>
      <c r="AK245" s="251"/>
    </row>
    <row r="246" spans="1:37" ht="11.25" customHeight="1">
      <c r="A246" s="2046"/>
      <c r="B246" s="2007"/>
      <c r="C246" s="1422" t="s">
        <v>24</v>
      </c>
      <c r="D246" s="1309"/>
      <c r="E246" s="1425"/>
      <c r="F246" s="1425"/>
      <c r="G246" s="1789"/>
      <c r="H246" s="1425"/>
      <c r="I246" s="1312"/>
      <c r="J246" s="1423"/>
      <c r="K246" s="1423"/>
      <c r="L246" s="1515"/>
      <c r="M246" s="2009"/>
      <c r="N246" s="201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1"/>
      <c r="AA246" s="251"/>
      <c r="AB246" s="251"/>
      <c r="AC246" s="251"/>
      <c r="AD246" s="251"/>
      <c r="AE246" s="251"/>
      <c r="AF246" s="251"/>
      <c r="AG246" s="251"/>
      <c r="AH246" s="251"/>
      <c r="AI246" s="251"/>
      <c r="AJ246" s="251"/>
      <c r="AK246" s="251"/>
    </row>
    <row r="247" spans="1:37" ht="23.25" customHeight="1">
      <c r="A247" s="2046"/>
      <c r="B247" s="2007"/>
      <c r="C247" s="1428" t="s">
        <v>25</v>
      </c>
      <c r="D247" s="1309"/>
      <c r="E247" s="1425"/>
      <c r="F247" s="1425"/>
      <c r="G247" s="1789"/>
      <c r="H247" s="1425"/>
      <c r="I247" s="1312"/>
      <c r="J247" s="1423"/>
      <c r="K247" s="1423"/>
      <c r="L247" s="1515"/>
      <c r="M247" s="2009"/>
      <c r="N247" s="201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251"/>
      <c r="AH247" s="251"/>
      <c r="AI247" s="251"/>
      <c r="AJ247" s="251"/>
      <c r="AK247" s="251"/>
    </row>
    <row r="248" spans="1:37" ht="12.75" customHeight="1">
      <c r="A248" s="2046"/>
      <c r="B248" s="2007"/>
      <c r="C248" s="1422" t="s">
        <v>26</v>
      </c>
      <c r="D248" s="1309"/>
      <c r="E248" s="1425"/>
      <c r="F248" s="1425"/>
      <c r="G248" s="1789"/>
      <c r="H248" s="1425"/>
      <c r="I248" s="1312"/>
      <c r="J248" s="1423"/>
      <c r="K248" s="1423"/>
      <c r="L248" s="1515"/>
      <c r="M248" s="2009"/>
      <c r="N248" s="201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  <c r="AI248" s="251"/>
      <c r="AJ248" s="251"/>
      <c r="AK248" s="251"/>
    </row>
    <row r="249" spans="1:37" ht="10.5" customHeight="1">
      <c r="A249" s="2046"/>
      <c r="B249" s="2007"/>
      <c r="C249" s="1422" t="s">
        <v>27</v>
      </c>
      <c r="D249" s="1309"/>
      <c r="E249" s="1425"/>
      <c r="F249" s="1425"/>
      <c r="G249" s="1789"/>
      <c r="H249" s="1425"/>
      <c r="I249" s="1312"/>
      <c r="J249" s="1423"/>
      <c r="K249" s="1423"/>
      <c r="L249" s="1515"/>
      <c r="M249" s="2009"/>
      <c r="N249" s="201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  <c r="Z249" s="251"/>
      <c r="AA249" s="251"/>
      <c r="AB249" s="251"/>
      <c r="AC249" s="251"/>
      <c r="AD249" s="251"/>
      <c r="AE249" s="251"/>
      <c r="AF249" s="251"/>
      <c r="AG249" s="251"/>
      <c r="AH249" s="251"/>
      <c r="AI249" s="251"/>
      <c r="AJ249" s="251"/>
      <c r="AK249" s="251"/>
    </row>
    <row r="250" spans="1:37" ht="12.75" customHeight="1">
      <c r="A250" s="2046"/>
      <c r="B250" s="2007"/>
      <c r="C250" s="1308" t="s">
        <v>28</v>
      </c>
      <c r="D250" s="1309"/>
      <c r="E250" s="1310">
        <f>E251+E253+E254</f>
        <v>385000</v>
      </c>
      <c r="F250" s="1310">
        <f>F251+F253+F254</f>
        <v>385000</v>
      </c>
      <c r="G250" s="1311">
        <f>G251+G253+G254</f>
        <v>0</v>
      </c>
      <c r="H250" s="1310">
        <f>H251+H253+H254</f>
        <v>385000</v>
      </c>
      <c r="I250" s="1420">
        <f>H250/E250</f>
        <v>1</v>
      </c>
      <c r="J250" s="1313">
        <f>J251+J253+J254</f>
        <v>65000</v>
      </c>
      <c r="K250" s="1313">
        <f>K251+K253+K254</f>
        <v>450000</v>
      </c>
      <c r="L250" s="1782">
        <f t="shared" ref="L250:L251" si="36">K250/E250</f>
        <v>1.1688311688311688</v>
      </c>
      <c r="M250" s="2009"/>
      <c r="N250" s="201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1"/>
      <c r="Z250" s="251"/>
      <c r="AA250" s="251"/>
      <c r="AB250" s="251"/>
      <c r="AC250" s="251"/>
      <c r="AD250" s="251"/>
      <c r="AE250" s="251"/>
      <c r="AF250" s="251"/>
      <c r="AG250" s="251"/>
      <c r="AH250" s="251"/>
      <c r="AI250" s="251"/>
      <c r="AJ250" s="251"/>
      <c r="AK250" s="251"/>
    </row>
    <row r="251" spans="1:37" ht="12.75" customHeight="1">
      <c r="A251" s="2046"/>
      <c r="B251" s="2007"/>
      <c r="C251" s="1422" t="s">
        <v>29</v>
      </c>
      <c r="D251" s="1429">
        <v>6170</v>
      </c>
      <c r="E251" s="1425">
        <v>385000</v>
      </c>
      <c r="F251" s="1425">
        <v>385000</v>
      </c>
      <c r="G251" s="1789"/>
      <c r="H251" s="1425">
        <f>E251+G251</f>
        <v>385000</v>
      </c>
      <c r="I251" s="1424">
        <f>H251/E251</f>
        <v>1</v>
      </c>
      <c r="J251" s="1423">
        <v>65000</v>
      </c>
      <c r="K251" s="1423">
        <f>J251+H251</f>
        <v>450000</v>
      </c>
      <c r="L251" s="1749">
        <f t="shared" si="36"/>
        <v>1.1688311688311688</v>
      </c>
      <c r="M251" s="2009"/>
      <c r="N251" s="201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  <c r="AI251" s="251"/>
      <c r="AJ251" s="251"/>
      <c r="AK251" s="251"/>
    </row>
    <row r="252" spans="1:37" ht="22.5" customHeight="1">
      <c r="A252" s="2046"/>
      <c r="B252" s="2007"/>
      <c r="C252" s="1428" t="s">
        <v>30</v>
      </c>
      <c r="D252" s="1309"/>
      <c r="E252" s="1425"/>
      <c r="F252" s="1425"/>
      <c r="G252" s="1789"/>
      <c r="H252" s="1425"/>
      <c r="I252" s="1781"/>
      <c r="J252" s="1423"/>
      <c r="K252" s="1423"/>
      <c r="L252" s="1515"/>
      <c r="M252" s="2009"/>
      <c r="N252" s="201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  <c r="AI252" s="251"/>
      <c r="AJ252" s="251"/>
      <c r="AK252" s="251"/>
    </row>
    <row r="253" spans="1:37" ht="12.75" customHeight="1">
      <c r="A253" s="2046"/>
      <c r="B253" s="2007"/>
      <c r="C253" s="1422" t="s">
        <v>31</v>
      </c>
      <c r="D253" s="1309"/>
      <c r="E253" s="1425"/>
      <c r="F253" s="1425"/>
      <c r="G253" s="1789"/>
      <c r="H253" s="1425"/>
      <c r="I253" s="1781"/>
      <c r="J253" s="1423"/>
      <c r="K253" s="1423"/>
      <c r="L253" s="1515"/>
      <c r="M253" s="2009"/>
      <c r="N253" s="201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251"/>
      <c r="AH253" s="251"/>
      <c r="AI253" s="251"/>
      <c r="AJ253" s="251"/>
      <c r="AK253" s="251"/>
    </row>
    <row r="254" spans="1:37" ht="12.75" customHeight="1" thickBot="1">
      <c r="A254" s="2047"/>
      <c r="B254" s="2044"/>
      <c r="C254" s="1039" t="s">
        <v>32</v>
      </c>
      <c r="D254" s="1633"/>
      <c r="E254" s="1637"/>
      <c r="F254" s="1637"/>
      <c r="G254" s="1806"/>
      <c r="H254" s="1637"/>
      <c r="I254" s="1837"/>
      <c r="J254" s="1634"/>
      <c r="K254" s="1634"/>
      <c r="L254" s="1808"/>
      <c r="M254" s="2021"/>
      <c r="N254" s="2023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1"/>
      <c r="Z254" s="251"/>
      <c r="AA254" s="251"/>
      <c r="AB254" s="251"/>
      <c r="AC254" s="251"/>
      <c r="AD254" s="251"/>
      <c r="AE254" s="251"/>
      <c r="AF254" s="251"/>
      <c r="AG254" s="251"/>
      <c r="AH254" s="251"/>
      <c r="AI254" s="251"/>
      <c r="AJ254" s="251"/>
      <c r="AK254" s="251"/>
    </row>
    <row r="255" spans="1:37" ht="14.25" customHeight="1">
      <c r="A255" s="2052"/>
      <c r="B255" s="2006">
        <v>75406</v>
      </c>
      <c r="C255" s="1683" t="s">
        <v>400</v>
      </c>
      <c r="D255" s="1778"/>
      <c r="E255" s="1664">
        <f>SUM(E256+E265)</f>
        <v>250000</v>
      </c>
      <c r="F255" s="1664">
        <f>SUM(F256+F265)</f>
        <v>250000</v>
      </c>
      <c r="G255" s="1779">
        <f>SUM(G256+G265)</f>
        <v>0</v>
      </c>
      <c r="H255" s="1664">
        <f>SUM(H256+H265)</f>
        <v>363500</v>
      </c>
      <c r="I255" s="1780">
        <f>H255/E255</f>
        <v>1.454</v>
      </c>
      <c r="J255" s="1663">
        <f>SUM(J256+J265)</f>
        <v>0</v>
      </c>
      <c r="K255" s="1663">
        <f>SUM(K256+K265)</f>
        <v>363500</v>
      </c>
      <c r="L255" s="1742">
        <f>K255/E255</f>
        <v>1.454</v>
      </c>
      <c r="M255" s="2008" t="s">
        <v>401</v>
      </c>
      <c r="N255" s="2022" t="s">
        <v>402</v>
      </c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1"/>
      <c r="Z255" s="251"/>
      <c r="AA255" s="251"/>
      <c r="AB255" s="251"/>
      <c r="AC255" s="251"/>
      <c r="AD255" s="251"/>
      <c r="AE255" s="251"/>
      <c r="AF255" s="251"/>
      <c r="AG255" s="251"/>
      <c r="AH255" s="251"/>
      <c r="AI255" s="251"/>
      <c r="AJ255" s="251"/>
      <c r="AK255" s="251"/>
    </row>
    <row r="256" spans="1:37" ht="12.75" customHeight="1">
      <c r="A256" s="2046"/>
      <c r="B256" s="2007"/>
      <c r="C256" s="1418" t="s">
        <v>18</v>
      </c>
      <c r="D256" s="1419"/>
      <c r="E256" s="1310">
        <f>E257+E260+E261+E262+E263+E264</f>
        <v>0</v>
      </c>
      <c r="F256" s="1310">
        <f>F257+F260+F261+F262+F263+F264</f>
        <v>0</v>
      </c>
      <c r="G256" s="1311">
        <f>G257+G260+G261+G262+G263+G264</f>
        <v>0</v>
      </c>
      <c r="H256" s="1310">
        <f>H257+H260+H261+H262+H263+H264</f>
        <v>0</v>
      </c>
      <c r="I256" s="1781"/>
      <c r="J256" s="1313">
        <f>J257+J260+J261+J262+J263+J264</f>
        <v>0</v>
      </c>
      <c r="K256" s="1313">
        <f>K257+K260+K261+K262+K263+K264</f>
        <v>0</v>
      </c>
      <c r="L256" s="1314"/>
      <c r="M256" s="2009"/>
      <c r="N256" s="201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1"/>
      <c r="AH256" s="251"/>
      <c r="AI256" s="251"/>
      <c r="AJ256" s="251"/>
      <c r="AK256" s="251"/>
    </row>
    <row r="257" spans="1:37" ht="12.75" customHeight="1">
      <c r="A257" s="2046"/>
      <c r="B257" s="2007"/>
      <c r="C257" s="1422" t="s">
        <v>19</v>
      </c>
      <c r="D257" s="1309"/>
      <c r="E257" s="1425"/>
      <c r="F257" s="1425"/>
      <c r="G257" s="1783"/>
      <c r="H257" s="1425"/>
      <c r="I257" s="1781"/>
      <c r="J257" s="1423"/>
      <c r="K257" s="1423"/>
      <c r="L257" s="1515"/>
      <c r="M257" s="2009"/>
      <c r="N257" s="201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1"/>
      <c r="AH257" s="251"/>
      <c r="AI257" s="251"/>
      <c r="AJ257" s="251"/>
      <c r="AK257" s="251"/>
    </row>
    <row r="258" spans="1:37" ht="12.75" customHeight="1">
      <c r="A258" s="2046"/>
      <c r="B258" s="2007"/>
      <c r="C258" s="1422" t="s">
        <v>20</v>
      </c>
      <c r="D258" s="1309"/>
      <c r="E258" s="1425"/>
      <c r="F258" s="1425"/>
      <c r="G258" s="1789"/>
      <c r="H258" s="1425"/>
      <c r="I258" s="1781"/>
      <c r="J258" s="1423"/>
      <c r="K258" s="1423"/>
      <c r="L258" s="1515"/>
      <c r="M258" s="2009"/>
      <c r="N258" s="201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251"/>
      <c r="AH258" s="251"/>
      <c r="AI258" s="251"/>
      <c r="AJ258" s="251"/>
      <c r="AK258" s="251"/>
    </row>
    <row r="259" spans="1:37">
      <c r="A259" s="2046"/>
      <c r="B259" s="2007"/>
      <c r="C259" s="1428" t="s">
        <v>21</v>
      </c>
      <c r="D259" s="1309"/>
      <c r="E259" s="1425"/>
      <c r="F259" s="1425"/>
      <c r="G259" s="1789"/>
      <c r="H259" s="1425"/>
      <c r="I259" s="1781"/>
      <c r="J259" s="1423"/>
      <c r="K259" s="1423"/>
      <c r="L259" s="1515"/>
      <c r="M259" s="2009"/>
      <c r="N259" s="201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1"/>
      <c r="Z259" s="251"/>
      <c r="AA259" s="251"/>
      <c r="AB259" s="251"/>
      <c r="AC259" s="251"/>
      <c r="AD259" s="251"/>
      <c r="AE259" s="251"/>
      <c r="AF259" s="251"/>
      <c r="AG259" s="251"/>
      <c r="AH259" s="251"/>
      <c r="AI259" s="251"/>
      <c r="AJ259" s="251"/>
      <c r="AK259" s="251"/>
    </row>
    <row r="260" spans="1:37" ht="12.75" customHeight="1">
      <c r="A260" s="2046"/>
      <c r="B260" s="2007"/>
      <c r="C260" s="1422" t="s">
        <v>23</v>
      </c>
      <c r="D260" s="1429"/>
      <c r="E260" s="1425"/>
      <c r="F260" s="1425"/>
      <c r="G260" s="1789"/>
      <c r="H260" s="1425"/>
      <c r="I260" s="1312"/>
      <c r="J260" s="1423"/>
      <c r="K260" s="1423"/>
      <c r="L260" s="1515"/>
      <c r="M260" s="2009"/>
      <c r="N260" s="201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1"/>
      <c r="Z260" s="251"/>
      <c r="AA260" s="251"/>
      <c r="AB260" s="251"/>
      <c r="AC260" s="251"/>
      <c r="AD260" s="251"/>
      <c r="AE260" s="251"/>
      <c r="AF260" s="251"/>
      <c r="AG260" s="251"/>
      <c r="AH260" s="251"/>
      <c r="AI260" s="251"/>
      <c r="AJ260" s="251"/>
      <c r="AK260" s="251"/>
    </row>
    <row r="261" spans="1:37" ht="12.75" customHeight="1">
      <c r="A261" s="2046"/>
      <c r="B261" s="2007"/>
      <c r="C261" s="1422" t="s">
        <v>24</v>
      </c>
      <c r="D261" s="1309"/>
      <c r="E261" s="1425"/>
      <c r="F261" s="1425"/>
      <c r="G261" s="1789"/>
      <c r="H261" s="1425"/>
      <c r="I261" s="1781"/>
      <c r="J261" s="1423"/>
      <c r="K261" s="1423"/>
      <c r="L261" s="1515"/>
      <c r="M261" s="2009"/>
      <c r="N261" s="201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  <c r="Z261" s="251"/>
      <c r="AA261" s="251"/>
      <c r="AB261" s="251"/>
      <c r="AC261" s="251"/>
      <c r="AD261" s="251"/>
      <c r="AE261" s="251"/>
      <c r="AF261" s="251"/>
      <c r="AG261" s="251"/>
      <c r="AH261" s="251"/>
      <c r="AI261" s="251"/>
      <c r="AJ261" s="251"/>
      <c r="AK261" s="251"/>
    </row>
    <row r="262" spans="1:37" ht="22.5">
      <c r="A262" s="2046"/>
      <c r="B262" s="2007"/>
      <c r="C262" s="1428" t="s">
        <v>25</v>
      </c>
      <c r="D262" s="1309"/>
      <c r="E262" s="1425"/>
      <c r="F262" s="1425"/>
      <c r="G262" s="1789"/>
      <c r="H262" s="1425"/>
      <c r="I262" s="1781"/>
      <c r="J262" s="1423"/>
      <c r="K262" s="1423"/>
      <c r="L262" s="1515"/>
      <c r="M262" s="2009"/>
      <c r="N262" s="201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1"/>
      <c r="Z262" s="251"/>
      <c r="AA262" s="251"/>
      <c r="AB262" s="251"/>
      <c r="AC262" s="251"/>
      <c r="AD262" s="251"/>
      <c r="AE262" s="251"/>
      <c r="AF262" s="251"/>
      <c r="AG262" s="251"/>
      <c r="AH262" s="251"/>
      <c r="AI262" s="251"/>
      <c r="AJ262" s="251"/>
      <c r="AK262" s="251"/>
    </row>
    <row r="263" spans="1:37" ht="12.75" customHeight="1">
      <c r="A263" s="2046"/>
      <c r="B263" s="2007"/>
      <c r="C263" s="1422" t="s">
        <v>26</v>
      </c>
      <c r="D263" s="1309"/>
      <c r="E263" s="1425"/>
      <c r="F263" s="1425"/>
      <c r="G263" s="1789"/>
      <c r="H263" s="1425"/>
      <c r="I263" s="1781"/>
      <c r="J263" s="1423"/>
      <c r="K263" s="1423"/>
      <c r="L263" s="1515"/>
      <c r="M263" s="2009"/>
      <c r="N263" s="201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1"/>
      <c r="Z263" s="251"/>
      <c r="AA263" s="251"/>
      <c r="AB263" s="251"/>
      <c r="AC263" s="251"/>
      <c r="AD263" s="251"/>
      <c r="AE263" s="251"/>
      <c r="AF263" s="251"/>
      <c r="AG263" s="251"/>
      <c r="AH263" s="251"/>
      <c r="AI263" s="251"/>
      <c r="AJ263" s="251"/>
      <c r="AK263" s="251"/>
    </row>
    <row r="264" spans="1:37" ht="12.75" customHeight="1">
      <c r="A264" s="2046"/>
      <c r="B264" s="2007"/>
      <c r="C264" s="1422" t="s">
        <v>27</v>
      </c>
      <c r="D264" s="1309"/>
      <c r="E264" s="1425"/>
      <c r="F264" s="1425"/>
      <c r="G264" s="1789"/>
      <c r="H264" s="1425"/>
      <c r="I264" s="1781"/>
      <c r="J264" s="1423"/>
      <c r="K264" s="1423"/>
      <c r="L264" s="1515"/>
      <c r="M264" s="2009"/>
      <c r="N264" s="201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1"/>
      <c r="Z264" s="251"/>
      <c r="AA264" s="251"/>
      <c r="AB264" s="251"/>
      <c r="AC264" s="251"/>
      <c r="AD264" s="251"/>
      <c r="AE264" s="251"/>
      <c r="AF264" s="251"/>
      <c r="AG264" s="251"/>
      <c r="AH264" s="251"/>
      <c r="AI264" s="251"/>
      <c r="AJ264" s="251"/>
      <c r="AK264" s="251"/>
    </row>
    <row r="265" spans="1:37" ht="12.75" customHeight="1">
      <c r="A265" s="2046"/>
      <c r="B265" s="2007"/>
      <c r="C265" s="1308" t="s">
        <v>28</v>
      </c>
      <c r="D265" s="1419"/>
      <c r="E265" s="1310">
        <f>E266+E268+E269</f>
        <v>250000</v>
      </c>
      <c r="F265" s="1310">
        <f>F266+F268+F269</f>
        <v>250000</v>
      </c>
      <c r="G265" s="1311">
        <f>G266+G268+G269</f>
        <v>0</v>
      </c>
      <c r="H265" s="1310">
        <f>H266+H268+H269</f>
        <v>363500</v>
      </c>
      <c r="I265" s="1420">
        <f>H265/E265</f>
        <v>1.454</v>
      </c>
      <c r="J265" s="1313">
        <f>J266+J268+J269</f>
        <v>0</v>
      </c>
      <c r="K265" s="1313">
        <f>K266+K268+K269</f>
        <v>363500</v>
      </c>
      <c r="L265" s="1782">
        <f t="shared" ref="L265:L266" si="37">K265/E265</f>
        <v>1.454</v>
      </c>
      <c r="M265" s="2009"/>
      <c r="N265" s="201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1"/>
      <c r="Z265" s="251"/>
      <c r="AA265" s="251"/>
      <c r="AB265" s="251"/>
      <c r="AC265" s="251"/>
      <c r="AD265" s="251"/>
      <c r="AE265" s="251"/>
      <c r="AF265" s="251"/>
      <c r="AG265" s="251"/>
      <c r="AH265" s="251"/>
      <c r="AI265" s="251"/>
      <c r="AJ265" s="251"/>
      <c r="AK265" s="251"/>
    </row>
    <row r="266" spans="1:37" ht="12.75" customHeight="1">
      <c r="A266" s="2046"/>
      <c r="B266" s="2007"/>
      <c r="C266" s="1422" t="s">
        <v>29</v>
      </c>
      <c r="D266" s="1429">
        <v>6170</v>
      </c>
      <c r="E266" s="1425">
        <v>250000</v>
      </c>
      <c r="F266" s="1425">
        <v>250000</v>
      </c>
      <c r="G266" s="1789"/>
      <c r="H266" s="1425">
        <v>363500</v>
      </c>
      <c r="I266" s="1424">
        <f>H266/E266</f>
        <v>1.454</v>
      </c>
      <c r="J266" s="1423"/>
      <c r="K266" s="1423">
        <f>SUM(J266,H266)</f>
        <v>363500</v>
      </c>
      <c r="L266" s="1749">
        <f t="shared" si="37"/>
        <v>1.454</v>
      </c>
      <c r="M266" s="2009"/>
      <c r="N266" s="201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1"/>
      <c r="Z266" s="251"/>
      <c r="AA266" s="251"/>
      <c r="AB266" s="251"/>
      <c r="AC266" s="251"/>
      <c r="AD266" s="251"/>
      <c r="AE266" s="251"/>
      <c r="AF266" s="251"/>
      <c r="AG266" s="251"/>
      <c r="AH266" s="251"/>
      <c r="AI266" s="251"/>
      <c r="AJ266" s="251"/>
      <c r="AK266" s="251"/>
    </row>
    <row r="267" spans="1:37" ht="22.5">
      <c r="A267" s="2046"/>
      <c r="B267" s="2007"/>
      <c r="C267" s="1428" t="s">
        <v>30</v>
      </c>
      <c r="D267" s="1309"/>
      <c r="E267" s="1425"/>
      <c r="F267" s="1425"/>
      <c r="G267" s="1789"/>
      <c r="H267" s="1425"/>
      <c r="I267" s="1781"/>
      <c r="J267" s="1423"/>
      <c r="K267" s="1423"/>
      <c r="L267" s="1515"/>
      <c r="M267" s="2009"/>
      <c r="N267" s="201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251"/>
      <c r="AH267" s="251"/>
      <c r="AI267" s="251"/>
      <c r="AJ267" s="251"/>
      <c r="AK267" s="251"/>
    </row>
    <row r="268" spans="1:37" ht="22.5" customHeight="1">
      <c r="A268" s="2046"/>
      <c r="B268" s="2007"/>
      <c r="C268" s="1422" t="s">
        <v>31</v>
      </c>
      <c r="D268" s="1309"/>
      <c r="E268" s="1425"/>
      <c r="F268" s="1425"/>
      <c r="G268" s="1789"/>
      <c r="H268" s="1425"/>
      <c r="I268" s="1781"/>
      <c r="J268" s="1423"/>
      <c r="K268" s="1423"/>
      <c r="L268" s="1515"/>
      <c r="M268" s="2009"/>
      <c r="N268" s="2011"/>
      <c r="O268" s="251"/>
      <c r="P268" s="251"/>
      <c r="Q268" s="251"/>
      <c r="R268" s="251"/>
      <c r="S268" s="251"/>
      <c r="T268" s="251"/>
      <c r="U268" s="251"/>
      <c r="V268" s="251"/>
      <c r="W268" s="251"/>
      <c r="X268" s="251"/>
      <c r="Y268" s="251"/>
      <c r="Z268" s="251"/>
      <c r="AA268" s="251"/>
      <c r="AB268" s="251"/>
      <c r="AC268" s="251"/>
      <c r="AD268" s="251"/>
      <c r="AE268" s="251"/>
      <c r="AF268" s="251"/>
      <c r="AG268" s="251"/>
      <c r="AH268" s="251"/>
      <c r="AI268" s="251"/>
      <c r="AJ268" s="251"/>
      <c r="AK268" s="251"/>
    </row>
    <row r="269" spans="1:37" ht="16.5" customHeight="1">
      <c r="A269" s="2053"/>
      <c r="B269" s="2007"/>
      <c r="C269" s="1422" t="s">
        <v>32</v>
      </c>
      <c r="D269" s="1309"/>
      <c r="E269" s="1425"/>
      <c r="F269" s="1425"/>
      <c r="G269" s="1789"/>
      <c r="H269" s="1425"/>
      <c r="I269" s="1781"/>
      <c r="J269" s="1423"/>
      <c r="K269" s="1423"/>
      <c r="L269" s="1515"/>
      <c r="M269" s="2009"/>
      <c r="N269" s="2012"/>
      <c r="O269" s="251"/>
      <c r="P269" s="251"/>
      <c r="Q269" s="251"/>
      <c r="R269" s="251"/>
      <c r="S269" s="251"/>
      <c r="T269" s="251"/>
      <c r="U269" s="251"/>
      <c r="V269" s="251"/>
      <c r="W269" s="251"/>
      <c r="X269" s="251"/>
      <c r="Y269" s="251"/>
      <c r="Z269" s="251"/>
      <c r="AA269" s="251"/>
      <c r="AB269" s="251"/>
      <c r="AC269" s="251"/>
      <c r="AD269" s="251"/>
      <c r="AE269" s="251"/>
      <c r="AF269" s="251"/>
      <c r="AG269" s="251"/>
      <c r="AH269" s="251"/>
      <c r="AI269" s="251"/>
      <c r="AJ269" s="251"/>
      <c r="AK269" s="251"/>
    </row>
    <row r="270" spans="1:37" ht="14.25" customHeight="1">
      <c r="A270" s="2045"/>
      <c r="B270" s="2007">
        <v>75410</v>
      </c>
      <c r="C270" s="1512" t="s">
        <v>403</v>
      </c>
      <c r="D270" s="1838"/>
      <c r="E270" s="1464">
        <f>E271+E280</f>
        <v>500000</v>
      </c>
      <c r="F270" s="1464">
        <f>F271+F280</f>
        <v>500000</v>
      </c>
      <c r="G270" s="1824">
        <f>G271+G280</f>
        <v>0</v>
      </c>
      <c r="H270" s="1464">
        <f>H271+H280</f>
        <v>500000</v>
      </c>
      <c r="I270" s="1798">
        <f>H270/E270</f>
        <v>1</v>
      </c>
      <c r="J270" s="1463">
        <f>J271+J280</f>
        <v>0</v>
      </c>
      <c r="K270" s="1463">
        <f>K271+K280</f>
        <v>500000</v>
      </c>
      <c r="L270" s="1799">
        <f>K270/E270</f>
        <v>1</v>
      </c>
      <c r="M270" s="2009" t="s">
        <v>404</v>
      </c>
      <c r="N270" s="2010" t="s">
        <v>405</v>
      </c>
      <c r="O270" s="251"/>
      <c r="P270" s="251"/>
      <c r="Q270" s="251"/>
      <c r="R270" s="251"/>
      <c r="S270" s="251"/>
      <c r="T270" s="251"/>
      <c r="U270" s="251"/>
      <c r="V270" s="251"/>
      <c r="W270" s="251"/>
      <c r="X270" s="251"/>
      <c r="Y270" s="251"/>
      <c r="Z270" s="251"/>
      <c r="AA270" s="251"/>
      <c r="AB270" s="251"/>
      <c r="AC270" s="251"/>
      <c r="AD270" s="251"/>
      <c r="AE270" s="251"/>
      <c r="AF270" s="251"/>
      <c r="AG270" s="251"/>
      <c r="AH270" s="251"/>
      <c r="AI270" s="251"/>
      <c r="AJ270" s="251"/>
      <c r="AK270" s="251"/>
    </row>
    <row r="271" spans="1:37" ht="14.25" customHeight="1">
      <c r="A271" s="2046"/>
      <c r="B271" s="2007"/>
      <c r="C271" s="1418" t="s">
        <v>18</v>
      </c>
      <c r="D271" s="1309"/>
      <c r="E271" s="1310">
        <f>E272+E275+E276+E277+E278+E279</f>
        <v>0</v>
      </c>
      <c r="F271" s="1310">
        <f>F272+F275+F276+F277+F278+F279</f>
        <v>0</v>
      </c>
      <c r="G271" s="1311">
        <f>G272+G275+G276+G277+G278+G279</f>
        <v>0</v>
      </c>
      <c r="H271" s="1310">
        <f>H272+H275+H276+H277+H278+H279</f>
        <v>0</v>
      </c>
      <c r="I271" s="1747"/>
      <c r="J271" s="1313">
        <f>J272+J275+J276+J277+J278+J279</f>
        <v>0</v>
      </c>
      <c r="K271" s="1313">
        <f>K272+K275+K276+K277+K278+K279</f>
        <v>0</v>
      </c>
      <c r="L271" s="1314"/>
      <c r="M271" s="2048"/>
      <c r="N271" s="2050"/>
      <c r="O271" s="251"/>
      <c r="P271" s="251"/>
      <c r="Q271" s="251"/>
      <c r="R271" s="251"/>
      <c r="S271" s="251"/>
      <c r="T271" s="251"/>
      <c r="U271" s="251"/>
      <c r="V271" s="251"/>
      <c r="W271" s="251"/>
      <c r="X271" s="251"/>
      <c r="Y271" s="251"/>
      <c r="Z271" s="251"/>
      <c r="AA271" s="251"/>
      <c r="AB271" s="251"/>
      <c r="AC271" s="251"/>
      <c r="AD271" s="251"/>
      <c r="AE271" s="251"/>
      <c r="AF271" s="251"/>
      <c r="AG271" s="251"/>
      <c r="AH271" s="251"/>
      <c r="AI271" s="251"/>
      <c r="AJ271" s="251"/>
      <c r="AK271" s="251"/>
    </row>
    <row r="272" spans="1:37" ht="14.25" customHeight="1">
      <c r="A272" s="2046"/>
      <c r="B272" s="2007"/>
      <c r="C272" s="1422" t="s">
        <v>19</v>
      </c>
      <c r="D272" s="1309"/>
      <c r="E272" s="1425"/>
      <c r="F272" s="1425"/>
      <c r="G272" s="1783"/>
      <c r="H272" s="1425"/>
      <c r="I272" s="1747"/>
      <c r="J272" s="1423"/>
      <c r="K272" s="1423"/>
      <c r="L272" s="1515"/>
      <c r="M272" s="2048"/>
      <c r="N272" s="2050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251"/>
      <c r="AH272" s="251"/>
      <c r="AI272" s="251"/>
      <c r="AJ272" s="251"/>
      <c r="AK272" s="251"/>
    </row>
    <row r="273" spans="1:37" ht="12.75" customHeight="1">
      <c r="A273" s="2046"/>
      <c r="B273" s="2007"/>
      <c r="C273" s="1422" t="s">
        <v>20</v>
      </c>
      <c r="D273" s="1309"/>
      <c r="E273" s="1425"/>
      <c r="F273" s="1425"/>
      <c r="G273" s="1789"/>
      <c r="H273" s="1425"/>
      <c r="I273" s="1747"/>
      <c r="J273" s="1423"/>
      <c r="K273" s="1423"/>
      <c r="L273" s="1515"/>
      <c r="M273" s="2048"/>
      <c r="N273" s="2050"/>
      <c r="O273" s="251"/>
      <c r="P273" s="251"/>
      <c r="Q273" s="251"/>
      <c r="R273" s="251"/>
      <c r="S273" s="251"/>
      <c r="T273" s="251"/>
      <c r="U273" s="251"/>
      <c r="V273" s="251"/>
      <c r="W273" s="251"/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251"/>
      <c r="AH273" s="251"/>
      <c r="AI273" s="251"/>
      <c r="AJ273" s="251"/>
      <c r="AK273" s="251"/>
    </row>
    <row r="274" spans="1:37" ht="19.5" customHeight="1">
      <c r="A274" s="2046"/>
      <c r="B274" s="2007"/>
      <c r="C274" s="1428" t="s">
        <v>21</v>
      </c>
      <c r="D274" s="1309"/>
      <c r="E274" s="1425"/>
      <c r="F274" s="1425"/>
      <c r="G274" s="1789"/>
      <c r="H274" s="1425"/>
      <c r="I274" s="1747"/>
      <c r="J274" s="1423"/>
      <c r="K274" s="1423"/>
      <c r="L274" s="1515"/>
      <c r="M274" s="2048"/>
      <c r="N274" s="2050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251"/>
      <c r="AF274" s="251"/>
      <c r="AG274" s="251"/>
      <c r="AH274" s="251"/>
      <c r="AI274" s="251"/>
      <c r="AJ274" s="251"/>
      <c r="AK274" s="251"/>
    </row>
    <row r="275" spans="1:37" ht="18.75" customHeight="1">
      <c r="A275" s="2046"/>
      <c r="B275" s="2007"/>
      <c r="C275" s="1422" t="s">
        <v>23</v>
      </c>
      <c r="D275" s="1429"/>
      <c r="E275" s="1425"/>
      <c r="F275" s="1425"/>
      <c r="G275" s="1789"/>
      <c r="H275" s="1425"/>
      <c r="I275" s="1753"/>
      <c r="J275" s="1423"/>
      <c r="K275" s="1423"/>
      <c r="L275" s="1515"/>
      <c r="M275" s="2048"/>
      <c r="N275" s="2050"/>
      <c r="O275" s="251"/>
      <c r="P275" s="251"/>
      <c r="Q275" s="251"/>
      <c r="R275" s="251"/>
      <c r="S275" s="251"/>
      <c r="T275" s="251"/>
      <c r="U275" s="251"/>
      <c r="V275" s="251"/>
      <c r="W275" s="251"/>
      <c r="X275" s="251"/>
      <c r="Y275" s="251"/>
      <c r="Z275" s="251"/>
      <c r="AA275" s="251"/>
      <c r="AB275" s="251"/>
      <c r="AC275" s="251"/>
      <c r="AD275" s="251"/>
      <c r="AE275" s="251"/>
      <c r="AF275" s="251"/>
      <c r="AG275" s="251"/>
      <c r="AH275" s="251"/>
      <c r="AI275" s="251"/>
      <c r="AJ275" s="251"/>
      <c r="AK275" s="251"/>
    </row>
    <row r="276" spans="1:37" ht="17.25" customHeight="1">
      <c r="A276" s="2046"/>
      <c r="B276" s="2007"/>
      <c r="C276" s="1422" t="s">
        <v>24</v>
      </c>
      <c r="D276" s="1309"/>
      <c r="E276" s="1425"/>
      <c r="F276" s="1425"/>
      <c r="G276" s="1789"/>
      <c r="H276" s="1425"/>
      <c r="I276" s="1753"/>
      <c r="J276" s="1423"/>
      <c r="K276" s="1423"/>
      <c r="L276" s="1515"/>
      <c r="M276" s="2048"/>
      <c r="N276" s="2050"/>
      <c r="O276" s="251"/>
      <c r="P276" s="251"/>
      <c r="Q276" s="251"/>
      <c r="R276" s="251"/>
      <c r="S276" s="251"/>
      <c r="T276" s="251"/>
      <c r="U276" s="251"/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251"/>
      <c r="AH276" s="251"/>
      <c r="AI276" s="251"/>
      <c r="AJ276" s="251"/>
      <c r="AK276" s="251"/>
    </row>
    <row r="277" spans="1:37" ht="27" customHeight="1">
      <c r="A277" s="2046"/>
      <c r="B277" s="2007"/>
      <c r="C277" s="1428" t="s">
        <v>25</v>
      </c>
      <c r="D277" s="1309"/>
      <c r="E277" s="1425"/>
      <c r="F277" s="1425"/>
      <c r="G277" s="1789"/>
      <c r="H277" s="1425"/>
      <c r="I277" s="1753"/>
      <c r="J277" s="1423"/>
      <c r="K277" s="1423"/>
      <c r="L277" s="1515"/>
      <c r="M277" s="2048"/>
      <c r="N277" s="2050"/>
      <c r="O277" s="251"/>
      <c r="P277" s="251"/>
      <c r="Q277" s="251"/>
      <c r="R277" s="251"/>
      <c r="S277" s="251"/>
      <c r="T277" s="251"/>
      <c r="U277" s="251"/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  <c r="AF277" s="251"/>
      <c r="AG277" s="251"/>
      <c r="AH277" s="251"/>
      <c r="AI277" s="251"/>
      <c r="AJ277" s="251"/>
      <c r="AK277" s="251"/>
    </row>
    <row r="278" spans="1:37" ht="22.5" customHeight="1">
      <c r="A278" s="2046"/>
      <c r="B278" s="2007"/>
      <c r="C278" s="1422" t="s">
        <v>26</v>
      </c>
      <c r="D278" s="1309"/>
      <c r="E278" s="1425"/>
      <c r="F278" s="1425"/>
      <c r="G278" s="1789"/>
      <c r="H278" s="1425"/>
      <c r="I278" s="1753"/>
      <c r="J278" s="1423"/>
      <c r="K278" s="1423"/>
      <c r="L278" s="1515"/>
      <c r="M278" s="2048"/>
      <c r="N278" s="2050"/>
      <c r="O278" s="251"/>
      <c r="P278" s="251"/>
      <c r="Q278" s="251"/>
      <c r="R278" s="251"/>
      <c r="S278" s="251"/>
      <c r="T278" s="251"/>
      <c r="U278" s="251"/>
      <c r="V278" s="251"/>
      <c r="W278" s="251"/>
      <c r="X278" s="251"/>
      <c r="Y278" s="251"/>
      <c r="Z278" s="251"/>
      <c r="AA278" s="251"/>
      <c r="AB278" s="251"/>
      <c r="AC278" s="251"/>
      <c r="AD278" s="251"/>
      <c r="AE278" s="251"/>
      <c r="AF278" s="251"/>
      <c r="AG278" s="251"/>
      <c r="AH278" s="251"/>
      <c r="AI278" s="251"/>
      <c r="AJ278" s="251"/>
      <c r="AK278" s="251"/>
    </row>
    <row r="279" spans="1:37" ht="19.5" customHeight="1">
      <c r="A279" s="2046"/>
      <c r="B279" s="2007"/>
      <c r="C279" s="1422" t="s">
        <v>27</v>
      </c>
      <c r="D279" s="1309"/>
      <c r="E279" s="1425"/>
      <c r="F279" s="1425"/>
      <c r="G279" s="1789"/>
      <c r="H279" s="1425"/>
      <c r="I279" s="1753"/>
      <c r="J279" s="1423"/>
      <c r="K279" s="1423"/>
      <c r="L279" s="1515"/>
      <c r="M279" s="2048"/>
      <c r="N279" s="2050"/>
      <c r="O279" s="251"/>
      <c r="P279" s="251"/>
      <c r="Q279" s="251"/>
      <c r="R279" s="251"/>
      <c r="S279" s="251"/>
      <c r="T279" s="251"/>
      <c r="U279" s="251"/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251"/>
      <c r="AH279" s="251"/>
      <c r="AI279" s="251"/>
      <c r="AJ279" s="251"/>
      <c r="AK279" s="251"/>
    </row>
    <row r="280" spans="1:37" ht="16.5" customHeight="1">
      <c r="A280" s="2046"/>
      <c r="B280" s="2007"/>
      <c r="C280" s="1308" t="s">
        <v>28</v>
      </c>
      <c r="D280" s="1309"/>
      <c r="E280" s="1310">
        <f>E281+E283+E284</f>
        <v>500000</v>
      </c>
      <c r="F280" s="1310">
        <f>F281+F283+F284</f>
        <v>500000</v>
      </c>
      <c r="G280" s="1311">
        <f>G281+G283+G284</f>
        <v>0</v>
      </c>
      <c r="H280" s="1310">
        <f>H281+H283+H284</f>
        <v>500000</v>
      </c>
      <c r="I280" s="1747">
        <f>H280/E280</f>
        <v>1</v>
      </c>
      <c r="J280" s="1313">
        <f>J281+J283+J284</f>
        <v>0</v>
      </c>
      <c r="K280" s="1313">
        <f>K281+K283+K284</f>
        <v>500000</v>
      </c>
      <c r="L280" s="1782">
        <f t="shared" ref="L280:L281" si="38">K280/E280</f>
        <v>1</v>
      </c>
      <c r="M280" s="2048"/>
      <c r="N280" s="2050"/>
      <c r="O280" s="251"/>
      <c r="P280" s="251"/>
      <c r="Q280" s="251"/>
      <c r="R280" s="251"/>
      <c r="S280" s="251"/>
      <c r="T280" s="251"/>
      <c r="U280" s="251"/>
      <c r="V280" s="251"/>
      <c r="W280" s="251"/>
      <c r="X280" s="251"/>
      <c r="Y280" s="251"/>
      <c r="Z280" s="251"/>
      <c r="AA280" s="251"/>
      <c r="AB280" s="251"/>
      <c r="AC280" s="251"/>
      <c r="AD280" s="251"/>
      <c r="AE280" s="251"/>
      <c r="AF280" s="251"/>
      <c r="AG280" s="251"/>
      <c r="AH280" s="251"/>
      <c r="AI280" s="251"/>
      <c r="AJ280" s="251"/>
      <c r="AK280" s="251"/>
    </row>
    <row r="281" spans="1:37" ht="17.25" customHeight="1">
      <c r="A281" s="2046"/>
      <c r="B281" s="2007"/>
      <c r="C281" s="1422" t="s">
        <v>29</v>
      </c>
      <c r="D281" s="1429">
        <v>6170</v>
      </c>
      <c r="E281" s="1425">
        <v>500000</v>
      </c>
      <c r="F281" s="1425">
        <v>500000</v>
      </c>
      <c r="G281" s="1789"/>
      <c r="H281" s="1425">
        <f>E281+G281</f>
        <v>500000</v>
      </c>
      <c r="I281" s="1753">
        <f>H281/E281</f>
        <v>1</v>
      </c>
      <c r="J281" s="1423">
        <v>0</v>
      </c>
      <c r="K281" s="1423">
        <f>J281+H281</f>
        <v>500000</v>
      </c>
      <c r="L281" s="1749">
        <f t="shared" si="38"/>
        <v>1</v>
      </c>
      <c r="M281" s="2048"/>
      <c r="N281" s="2050"/>
      <c r="O281" s="251"/>
      <c r="P281" s="251"/>
      <c r="Q281" s="251"/>
      <c r="R281" s="251"/>
      <c r="S281" s="251"/>
      <c r="T281" s="251"/>
      <c r="U281" s="251"/>
      <c r="V281" s="251"/>
      <c r="W281" s="251"/>
      <c r="X281" s="251"/>
      <c r="Y281" s="251"/>
      <c r="Z281" s="251"/>
      <c r="AA281" s="251"/>
      <c r="AB281" s="251"/>
      <c r="AC281" s="251"/>
      <c r="AD281" s="251"/>
      <c r="AE281" s="251"/>
      <c r="AF281" s="251"/>
      <c r="AG281" s="251"/>
      <c r="AH281" s="251"/>
      <c r="AI281" s="251"/>
      <c r="AJ281" s="251"/>
      <c r="AK281" s="251"/>
    </row>
    <row r="282" spans="1:37" ht="22.5">
      <c r="A282" s="2046"/>
      <c r="B282" s="2007"/>
      <c r="C282" s="1428" t="s">
        <v>30</v>
      </c>
      <c r="D282" s="1309"/>
      <c r="E282" s="1425"/>
      <c r="F282" s="1425"/>
      <c r="G282" s="1789"/>
      <c r="H282" s="1425"/>
      <c r="I282" s="1747"/>
      <c r="J282" s="1423"/>
      <c r="K282" s="1423"/>
      <c r="L282" s="1515"/>
      <c r="M282" s="2048"/>
      <c r="N282" s="2050"/>
      <c r="O282" s="251"/>
      <c r="P282" s="251"/>
      <c r="Q282" s="251"/>
      <c r="R282" s="251"/>
      <c r="S282" s="251"/>
      <c r="T282" s="251"/>
      <c r="U282" s="251"/>
      <c r="V282" s="251"/>
      <c r="W282" s="251"/>
      <c r="X282" s="251"/>
      <c r="Y282" s="251"/>
      <c r="Z282" s="251"/>
      <c r="AA282" s="251"/>
      <c r="AB282" s="251"/>
      <c r="AC282" s="251"/>
      <c r="AD282" s="251"/>
      <c r="AE282" s="251"/>
      <c r="AF282" s="251"/>
      <c r="AG282" s="251"/>
      <c r="AH282" s="251"/>
      <c r="AI282" s="251"/>
      <c r="AJ282" s="251"/>
      <c r="AK282" s="251"/>
    </row>
    <row r="283" spans="1:37" ht="12.75" customHeight="1">
      <c r="A283" s="2046"/>
      <c r="B283" s="2007"/>
      <c r="C283" s="1422" t="s">
        <v>31</v>
      </c>
      <c r="D283" s="1309"/>
      <c r="E283" s="1425"/>
      <c r="F283" s="1425"/>
      <c r="G283" s="1789"/>
      <c r="H283" s="1425"/>
      <c r="I283" s="1747"/>
      <c r="J283" s="1423"/>
      <c r="K283" s="1423"/>
      <c r="L283" s="1515"/>
      <c r="M283" s="2048"/>
      <c r="N283" s="2050"/>
      <c r="O283" s="251"/>
      <c r="P283" s="251"/>
      <c r="Q283" s="251"/>
      <c r="R283" s="251"/>
      <c r="S283" s="251"/>
      <c r="T283" s="251"/>
      <c r="U283" s="251"/>
      <c r="V283" s="251"/>
      <c r="W283" s="251"/>
      <c r="X283" s="251"/>
      <c r="Y283" s="251"/>
      <c r="Z283" s="251"/>
      <c r="AA283" s="251"/>
      <c r="AB283" s="251"/>
      <c r="AC283" s="251"/>
      <c r="AD283" s="251"/>
      <c r="AE283" s="251"/>
      <c r="AF283" s="251"/>
      <c r="AG283" s="251"/>
      <c r="AH283" s="251"/>
      <c r="AI283" s="251"/>
      <c r="AJ283" s="251"/>
      <c r="AK283" s="251"/>
    </row>
    <row r="284" spans="1:37" ht="12.75" customHeight="1" thickBot="1">
      <c r="A284" s="2047"/>
      <c r="B284" s="2044"/>
      <c r="C284" s="1039" t="s">
        <v>32</v>
      </c>
      <c r="D284" s="1633"/>
      <c r="E284" s="1637"/>
      <c r="F284" s="1637"/>
      <c r="G284" s="1806"/>
      <c r="H284" s="1637"/>
      <c r="I284" s="1839"/>
      <c r="J284" s="1634"/>
      <c r="K284" s="1634"/>
      <c r="L284" s="1808"/>
      <c r="M284" s="2049"/>
      <c r="N284" s="2051"/>
      <c r="O284" s="251"/>
      <c r="P284" s="251"/>
      <c r="Q284" s="251"/>
      <c r="R284" s="251"/>
      <c r="S284" s="251"/>
      <c r="T284" s="251"/>
      <c r="U284" s="251"/>
      <c r="V284" s="251"/>
      <c r="W284" s="251"/>
      <c r="X284" s="251"/>
      <c r="Y284" s="251"/>
      <c r="Z284" s="251"/>
      <c r="AA284" s="251"/>
      <c r="AB284" s="251"/>
      <c r="AC284" s="251"/>
      <c r="AD284" s="251"/>
      <c r="AE284" s="251"/>
      <c r="AF284" s="251"/>
      <c r="AG284" s="251"/>
      <c r="AH284" s="251"/>
      <c r="AI284" s="251"/>
      <c r="AJ284" s="251"/>
      <c r="AK284" s="251"/>
    </row>
    <row r="285" spans="1:37" ht="12.75" customHeight="1">
      <c r="A285" s="2052"/>
      <c r="B285" s="2006">
        <v>75415</v>
      </c>
      <c r="C285" s="1829" t="s">
        <v>406</v>
      </c>
      <c r="D285" s="1778"/>
      <c r="E285" s="1664">
        <f>E286+E295</f>
        <v>526000</v>
      </c>
      <c r="F285" s="1664">
        <f>F286+F295</f>
        <v>526000</v>
      </c>
      <c r="G285" s="1779">
        <f>G286+G295</f>
        <v>0</v>
      </c>
      <c r="H285" s="1664">
        <f>H286+H295</f>
        <v>578600</v>
      </c>
      <c r="I285" s="1689">
        <f>H285/E285</f>
        <v>1.1000000000000001</v>
      </c>
      <c r="J285" s="1663">
        <f>J286+J295</f>
        <v>0</v>
      </c>
      <c r="K285" s="1663">
        <f>K286+K295</f>
        <v>578600</v>
      </c>
      <c r="L285" s="1742">
        <f>K285/E285</f>
        <v>1.1000000000000001</v>
      </c>
      <c r="M285" s="2008" t="s">
        <v>407</v>
      </c>
      <c r="N285" s="2010" t="s">
        <v>408</v>
      </c>
      <c r="O285" s="251"/>
      <c r="P285" s="251"/>
      <c r="Q285" s="251"/>
      <c r="R285" s="251"/>
      <c r="S285" s="251"/>
      <c r="T285" s="251"/>
      <c r="U285" s="251"/>
      <c r="V285" s="251"/>
      <c r="W285" s="251"/>
      <c r="X285" s="251"/>
      <c r="Y285" s="251"/>
      <c r="Z285" s="251"/>
      <c r="AA285" s="251"/>
      <c r="AB285" s="251"/>
      <c r="AC285" s="251"/>
      <c r="AD285" s="251"/>
      <c r="AE285" s="251"/>
      <c r="AF285" s="251"/>
      <c r="AG285" s="251"/>
      <c r="AH285" s="251"/>
      <c r="AI285" s="251"/>
      <c r="AJ285" s="251"/>
      <c r="AK285" s="251"/>
    </row>
    <row r="286" spans="1:37" ht="12.75" customHeight="1">
      <c r="A286" s="2046"/>
      <c r="B286" s="2007"/>
      <c r="C286" s="1418" t="s">
        <v>18</v>
      </c>
      <c r="D286" s="1419"/>
      <c r="E286" s="1310">
        <f>E287+E290+E291+E292+E293+E294</f>
        <v>526000</v>
      </c>
      <c r="F286" s="1310">
        <f>F287+F290+F291+F292+F293+F294</f>
        <v>526000</v>
      </c>
      <c r="G286" s="1311">
        <f>G287+G290+G291+G292+G293+G294</f>
        <v>0</v>
      </c>
      <c r="H286" s="1310">
        <f>H287+H290+H291+H292+H293+H294</f>
        <v>578600</v>
      </c>
      <c r="I286" s="1420">
        <f>H286/E286</f>
        <v>1.1000000000000001</v>
      </c>
      <c r="J286" s="1313">
        <f>J287+J290+J291+J292+J293+J294</f>
        <v>0</v>
      </c>
      <c r="K286" s="1313">
        <f>K287+K290+K291+K292+K293+K294</f>
        <v>578600</v>
      </c>
      <c r="L286" s="1782">
        <f t="shared" ref="L286" si="39">K286/E286</f>
        <v>1.1000000000000001</v>
      </c>
      <c r="M286" s="2009"/>
      <c r="N286" s="2011"/>
      <c r="O286" s="251"/>
      <c r="P286" s="251"/>
      <c r="Q286" s="251"/>
      <c r="R286" s="251"/>
      <c r="S286" s="251"/>
      <c r="T286" s="251"/>
      <c r="U286" s="251"/>
      <c r="V286" s="251"/>
      <c r="W286" s="251"/>
      <c r="X286" s="251"/>
      <c r="Y286" s="251"/>
      <c r="Z286" s="251"/>
      <c r="AA286" s="251"/>
      <c r="AB286" s="251"/>
      <c r="AC286" s="251"/>
      <c r="AD286" s="251"/>
      <c r="AE286" s="251"/>
      <c r="AF286" s="251"/>
      <c r="AG286" s="251"/>
      <c r="AH286" s="251"/>
      <c r="AI286" s="251"/>
      <c r="AJ286" s="251"/>
      <c r="AK286" s="251"/>
    </row>
    <row r="287" spans="1:37" ht="12.75" customHeight="1">
      <c r="A287" s="2046"/>
      <c r="B287" s="2007"/>
      <c r="C287" s="1422" t="s">
        <v>19</v>
      </c>
      <c r="D287" s="1309"/>
      <c r="E287" s="1425"/>
      <c r="F287" s="1425"/>
      <c r="G287" s="1783"/>
      <c r="H287" s="1425"/>
      <c r="I287" s="1424"/>
      <c r="J287" s="1423"/>
      <c r="K287" s="1423"/>
      <c r="L287" s="1515"/>
      <c r="M287" s="2009"/>
      <c r="N287" s="2011"/>
      <c r="O287" s="251"/>
      <c r="P287" s="251"/>
      <c r="Q287" s="251"/>
      <c r="R287" s="251"/>
      <c r="S287" s="251"/>
      <c r="T287" s="251"/>
      <c r="U287" s="251"/>
      <c r="V287" s="251"/>
      <c r="W287" s="251"/>
      <c r="X287" s="251"/>
      <c r="Y287" s="251"/>
      <c r="Z287" s="251"/>
      <c r="AA287" s="251"/>
      <c r="AB287" s="251"/>
      <c r="AC287" s="251"/>
      <c r="AD287" s="251"/>
      <c r="AE287" s="251"/>
      <c r="AF287" s="251"/>
      <c r="AG287" s="251"/>
      <c r="AH287" s="251"/>
      <c r="AI287" s="251"/>
      <c r="AJ287" s="251"/>
      <c r="AK287" s="251"/>
    </row>
    <row r="288" spans="1:37" ht="12.75" customHeight="1">
      <c r="A288" s="2046"/>
      <c r="B288" s="2007"/>
      <c r="C288" s="1422" t="s">
        <v>20</v>
      </c>
      <c r="D288" s="1309"/>
      <c r="E288" s="1425"/>
      <c r="F288" s="1425"/>
      <c r="G288" s="1789"/>
      <c r="H288" s="1425"/>
      <c r="I288" s="1781"/>
      <c r="J288" s="1423"/>
      <c r="K288" s="1423"/>
      <c r="L288" s="1515"/>
      <c r="M288" s="2009"/>
      <c r="N288" s="2011"/>
      <c r="O288" s="251"/>
      <c r="P288" s="251"/>
      <c r="Q288" s="251"/>
      <c r="R288" s="251"/>
      <c r="S288" s="251"/>
      <c r="T288" s="251"/>
      <c r="U288" s="251"/>
      <c r="V288" s="251"/>
      <c r="W288" s="251"/>
      <c r="X288" s="251"/>
      <c r="Y288" s="251"/>
      <c r="Z288" s="251"/>
      <c r="AA288" s="251"/>
      <c r="AB288" s="251"/>
      <c r="AC288" s="251"/>
      <c r="AD288" s="251"/>
      <c r="AE288" s="251"/>
      <c r="AF288" s="251"/>
      <c r="AG288" s="251"/>
      <c r="AH288" s="251"/>
      <c r="AI288" s="251"/>
      <c r="AJ288" s="251"/>
      <c r="AK288" s="251"/>
    </row>
    <row r="289" spans="1:37" ht="12.75" customHeight="1">
      <c r="A289" s="2046"/>
      <c r="B289" s="2007"/>
      <c r="C289" s="1428" t="s">
        <v>21</v>
      </c>
      <c r="D289" s="1309"/>
      <c r="E289" s="1425"/>
      <c r="F289" s="1425"/>
      <c r="G289" s="1789"/>
      <c r="H289" s="1425"/>
      <c r="I289" s="1781"/>
      <c r="J289" s="1423"/>
      <c r="K289" s="1423"/>
      <c r="L289" s="1515"/>
      <c r="M289" s="2009"/>
      <c r="N289" s="2011"/>
      <c r="O289" s="251"/>
      <c r="P289" s="251"/>
      <c r="Q289" s="251"/>
      <c r="R289" s="251"/>
      <c r="S289" s="251"/>
      <c r="T289" s="251"/>
      <c r="U289" s="251"/>
      <c r="V289" s="251"/>
      <c r="W289" s="251"/>
      <c r="X289" s="251"/>
      <c r="Y289" s="251"/>
      <c r="Z289" s="251"/>
      <c r="AA289" s="251"/>
      <c r="AB289" s="251"/>
      <c r="AC289" s="251"/>
      <c r="AD289" s="251"/>
      <c r="AE289" s="251"/>
      <c r="AF289" s="251"/>
      <c r="AG289" s="251"/>
      <c r="AH289" s="251"/>
      <c r="AI289" s="251"/>
      <c r="AJ289" s="251"/>
      <c r="AK289" s="251"/>
    </row>
    <row r="290" spans="1:37" ht="12.75" customHeight="1">
      <c r="A290" s="2046"/>
      <c r="B290" s="2007"/>
      <c r="C290" s="1422" t="s">
        <v>23</v>
      </c>
      <c r="D290" s="1429">
        <v>2360</v>
      </c>
      <c r="E290" s="1425">
        <v>526000</v>
      </c>
      <c r="F290" s="1425">
        <v>526000</v>
      </c>
      <c r="G290" s="1789"/>
      <c r="H290" s="1425">
        <v>578600</v>
      </c>
      <c r="I290" s="1312">
        <f>H290/E290</f>
        <v>1.1000000000000001</v>
      </c>
      <c r="J290" s="1423">
        <v>0</v>
      </c>
      <c r="K290" s="1423">
        <f>J290+H290</f>
        <v>578600</v>
      </c>
      <c r="L290" s="1782">
        <f t="shared" ref="L290" si="40">K290/E290</f>
        <v>1.1000000000000001</v>
      </c>
      <c r="M290" s="2009"/>
      <c r="N290" s="2011"/>
      <c r="O290" s="251"/>
      <c r="P290" s="251"/>
      <c r="Q290" s="251"/>
      <c r="R290" s="251"/>
      <c r="S290" s="251"/>
      <c r="T290" s="251"/>
      <c r="U290" s="251"/>
      <c r="V290" s="251"/>
      <c r="W290" s="251"/>
      <c r="X290" s="251"/>
      <c r="Y290" s="251"/>
      <c r="Z290" s="251"/>
      <c r="AA290" s="251"/>
      <c r="AB290" s="251"/>
      <c r="AC290" s="251"/>
      <c r="AD290" s="251"/>
      <c r="AE290" s="251"/>
      <c r="AF290" s="251"/>
      <c r="AG290" s="251"/>
      <c r="AH290" s="251"/>
      <c r="AI290" s="251"/>
      <c r="AJ290" s="251"/>
      <c r="AK290" s="251"/>
    </row>
    <row r="291" spans="1:37" ht="12.75" customHeight="1">
      <c r="A291" s="2046"/>
      <c r="B291" s="2007"/>
      <c r="C291" s="1422" t="s">
        <v>24</v>
      </c>
      <c r="D291" s="1309"/>
      <c r="E291" s="1425"/>
      <c r="F291" s="1425"/>
      <c r="G291" s="1789"/>
      <c r="H291" s="1425"/>
      <c r="I291" s="1312"/>
      <c r="J291" s="1423"/>
      <c r="K291" s="1423"/>
      <c r="L291" s="1515"/>
      <c r="M291" s="2009"/>
      <c r="N291" s="2011"/>
      <c r="O291" s="251"/>
      <c r="P291" s="251"/>
      <c r="Q291" s="251"/>
      <c r="R291" s="251"/>
      <c r="S291" s="251"/>
      <c r="T291" s="251"/>
      <c r="U291" s="251"/>
      <c r="V291" s="251"/>
      <c r="W291" s="251"/>
      <c r="X291" s="251"/>
      <c r="Y291" s="251"/>
      <c r="Z291" s="251"/>
      <c r="AA291" s="251"/>
      <c r="AB291" s="251"/>
      <c r="AC291" s="251"/>
      <c r="AD291" s="251"/>
      <c r="AE291" s="251"/>
      <c r="AF291" s="251"/>
      <c r="AG291" s="251"/>
      <c r="AH291" s="251"/>
      <c r="AI291" s="251"/>
      <c r="AJ291" s="251"/>
      <c r="AK291" s="251"/>
    </row>
    <row r="292" spans="1:37" ht="22.5">
      <c r="A292" s="2046"/>
      <c r="B292" s="2007"/>
      <c r="C292" s="1428" t="s">
        <v>25</v>
      </c>
      <c r="D292" s="1309"/>
      <c r="E292" s="1425"/>
      <c r="F292" s="1425"/>
      <c r="G292" s="1789"/>
      <c r="H292" s="1425"/>
      <c r="I292" s="1312"/>
      <c r="J292" s="1423"/>
      <c r="K292" s="1423"/>
      <c r="L292" s="1515"/>
      <c r="M292" s="2009"/>
      <c r="N292" s="2011"/>
      <c r="O292" s="251"/>
      <c r="P292" s="251"/>
      <c r="Q292" s="251"/>
      <c r="R292" s="251"/>
      <c r="S292" s="251"/>
      <c r="T292" s="251"/>
      <c r="U292" s="251"/>
      <c r="V292" s="251"/>
      <c r="W292" s="251"/>
      <c r="X292" s="251"/>
      <c r="Y292" s="251"/>
      <c r="Z292" s="251"/>
      <c r="AA292" s="251"/>
      <c r="AB292" s="251"/>
      <c r="AC292" s="251"/>
      <c r="AD292" s="251"/>
      <c r="AE292" s="251"/>
      <c r="AF292" s="251"/>
      <c r="AG292" s="251"/>
      <c r="AH292" s="251"/>
      <c r="AI292" s="251"/>
      <c r="AJ292" s="251"/>
      <c r="AK292" s="251"/>
    </row>
    <row r="293" spans="1:37" ht="12.75" customHeight="1">
      <c r="A293" s="2046"/>
      <c r="B293" s="2007"/>
      <c r="C293" s="1422" t="s">
        <v>26</v>
      </c>
      <c r="D293" s="1309"/>
      <c r="E293" s="1425"/>
      <c r="F293" s="1425"/>
      <c r="G293" s="1789"/>
      <c r="H293" s="1425"/>
      <c r="I293" s="1312"/>
      <c r="J293" s="1423"/>
      <c r="K293" s="1423"/>
      <c r="L293" s="1515"/>
      <c r="M293" s="2009"/>
      <c r="N293" s="2011"/>
      <c r="O293" s="251"/>
      <c r="P293" s="251"/>
      <c r="Q293" s="251"/>
      <c r="R293" s="251"/>
      <c r="S293" s="251"/>
      <c r="T293" s="251"/>
      <c r="U293" s="251"/>
      <c r="V293" s="251"/>
      <c r="W293" s="251"/>
      <c r="X293" s="251"/>
      <c r="Y293" s="251"/>
      <c r="Z293" s="251"/>
      <c r="AA293" s="251"/>
      <c r="AB293" s="251"/>
      <c r="AC293" s="251"/>
      <c r="AD293" s="251"/>
      <c r="AE293" s="251"/>
      <c r="AF293" s="251"/>
      <c r="AG293" s="251"/>
      <c r="AH293" s="251"/>
      <c r="AI293" s="251"/>
      <c r="AJ293" s="251"/>
      <c r="AK293" s="251"/>
    </row>
    <row r="294" spans="1:37" ht="12.75" customHeight="1">
      <c r="A294" s="2046"/>
      <c r="B294" s="2007"/>
      <c r="C294" s="1422" t="s">
        <v>27</v>
      </c>
      <c r="D294" s="1309"/>
      <c r="E294" s="1425"/>
      <c r="F294" s="1425"/>
      <c r="G294" s="1789"/>
      <c r="H294" s="1425"/>
      <c r="I294" s="1312"/>
      <c r="J294" s="1423"/>
      <c r="K294" s="1423"/>
      <c r="L294" s="1515"/>
      <c r="M294" s="2009"/>
      <c r="N294" s="2011"/>
      <c r="O294" s="251"/>
      <c r="P294" s="251"/>
      <c r="Q294" s="251"/>
      <c r="R294" s="251"/>
      <c r="S294" s="251"/>
      <c r="T294" s="251"/>
      <c r="U294" s="251"/>
      <c r="V294" s="251"/>
      <c r="W294" s="251"/>
      <c r="X294" s="251"/>
      <c r="Y294" s="251"/>
      <c r="Z294" s="251"/>
      <c r="AA294" s="251"/>
      <c r="AB294" s="251"/>
      <c r="AC294" s="251"/>
      <c r="AD294" s="251"/>
      <c r="AE294" s="251"/>
      <c r="AF294" s="251"/>
      <c r="AG294" s="251"/>
      <c r="AH294" s="251"/>
      <c r="AI294" s="251"/>
      <c r="AJ294" s="251"/>
      <c r="AK294" s="251"/>
    </row>
    <row r="295" spans="1:37" ht="12.75" customHeight="1">
      <c r="A295" s="2046"/>
      <c r="B295" s="2007"/>
      <c r="C295" s="1308" t="s">
        <v>28</v>
      </c>
      <c r="D295" s="1309"/>
      <c r="E295" s="1310">
        <f>E296+E298+E299</f>
        <v>0</v>
      </c>
      <c r="F295" s="1310">
        <f>F296+F298+F299</f>
        <v>0</v>
      </c>
      <c r="G295" s="1311">
        <f>G296+G298+G299</f>
        <v>0</v>
      </c>
      <c r="H295" s="1310">
        <f>H296+H298+H299</f>
        <v>0</v>
      </c>
      <c r="I295" s="1312"/>
      <c r="J295" s="1313">
        <f>J296+J298+J299</f>
        <v>0</v>
      </c>
      <c r="K295" s="1313">
        <f>K296+K298+K299</f>
        <v>0</v>
      </c>
      <c r="L295" s="1782"/>
      <c r="M295" s="2009"/>
      <c r="N295" s="2011"/>
      <c r="O295" s="251"/>
      <c r="P295" s="251"/>
      <c r="Q295" s="251"/>
      <c r="R295" s="251"/>
      <c r="S295" s="251"/>
      <c r="T295" s="251"/>
      <c r="U295" s="251"/>
      <c r="V295" s="251"/>
      <c r="W295" s="251"/>
      <c r="X295" s="251"/>
      <c r="Y295" s="251"/>
      <c r="Z295" s="251"/>
      <c r="AA295" s="251"/>
      <c r="AB295" s="251"/>
      <c r="AC295" s="251"/>
      <c r="AD295" s="251"/>
      <c r="AE295" s="251"/>
      <c r="AF295" s="251"/>
      <c r="AG295" s="251"/>
      <c r="AH295" s="251"/>
      <c r="AI295" s="251"/>
      <c r="AJ295" s="251"/>
      <c r="AK295" s="251"/>
    </row>
    <row r="296" spans="1:37" ht="19.5" customHeight="1">
      <c r="A296" s="2046"/>
      <c r="B296" s="2007"/>
      <c r="C296" s="1422" t="s">
        <v>29</v>
      </c>
      <c r="D296" s="1429"/>
      <c r="E296" s="1425"/>
      <c r="F296" s="1425"/>
      <c r="G296" s="1789"/>
      <c r="H296" s="1425"/>
      <c r="I296" s="1312"/>
      <c r="J296" s="1423"/>
      <c r="K296" s="1423"/>
      <c r="L296" s="1782"/>
      <c r="M296" s="2009"/>
      <c r="N296" s="2011"/>
      <c r="O296" s="251"/>
      <c r="P296" s="251"/>
      <c r="Q296" s="251"/>
      <c r="R296" s="251"/>
      <c r="S296" s="251"/>
      <c r="T296" s="251"/>
      <c r="U296" s="251"/>
      <c r="V296" s="251"/>
      <c r="W296" s="251"/>
      <c r="X296" s="251"/>
      <c r="Y296" s="251"/>
      <c r="Z296" s="251"/>
      <c r="AA296" s="251"/>
      <c r="AB296" s="251"/>
      <c r="AC296" s="251"/>
      <c r="AD296" s="251"/>
      <c r="AE296" s="251"/>
      <c r="AF296" s="251"/>
      <c r="AG296" s="251"/>
      <c r="AH296" s="251"/>
      <c r="AI296" s="251"/>
      <c r="AJ296" s="251"/>
      <c r="AK296" s="251"/>
    </row>
    <row r="297" spans="1:37" ht="22.5">
      <c r="A297" s="2046"/>
      <c r="B297" s="2007"/>
      <c r="C297" s="1428" t="s">
        <v>30</v>
      </c>
      <c r="D297" s="1309"/>
      <c r="E297" s="1425"/>
      <c r="F297" s="1425"/>
      <c r="G297" s="1789"/>
      <c r="H297" s="1425"/>
      <c r="I297" s="1781"/>
      <c r="J297" s="1423"/>
      <c r="K297" s="1423"/>
      <c r="L297" s="1515"/>
      <c r="M297" s="2009"/>
      <c r="N297" s="2011"/>
      <c r="O297" s="251"/>
      <c r="P297" s="251"/>
      <c r="Q297" s="251"/>
      <c r="R297" s="251"/>
      <c r="S297" s="251"/>
      <c r="T297" s="251"/>
      <c r="U297" s="251"/>
      <c r="V297" s="251"/>
      <c r="W297" s="251"/>
      <c r="X297" s="251"/>
      <c r="Y297" s="251"/>
      <c r="Z297" s="251"/>
      <c r="AA297" s="251"/>
      <c r="AB297" s="251"/>
      <c r="AC297" s="251"/>
      <c r="AD297" s="251"/>
      <c r="AE297" s="251"/>
      <c r="AF297" s="251"/>
      <c r="AG297" s="251"/>
      <c r="AH297" s="251"/>
      <c r="AI297" s="251"/>
      <c r="AJ297" s="251"/>
      <c r="AK297" s="251"/>
    </row>
    <row r="298" spans="1:37" ht="12.75" customHeight="1">
      <c r="A298" s="2046"/>
      <c r="B298" s="2007"/>
      <c r="C298" s="1422" t="s">
        <v>31</v>
      </c>
      <c r="D298" s="1309"/>
      <c r="E298" s="1425"/>
      <c r="F298" s="1425"/>
      <c r="G298" s="1789"/>
      <c r="H298" s="1425"/>
      <c r="I298" s="1781"/>
      <c r="J298" s="1423"/>
      <c r="K298" s="1423"/>
      <c r="L298" s="1515"/>
      <c r="M298" s="2009"/>
      <c r="N298" s="2011"/>
      <c r="O298" s="251"/>
      <c r="P298" s="251"/>
      <c r="Q298" s="251"/>
      <c r="R298" s="251"/>
      <c r="S298" s="251"/>
      <c r="T298" s="251"/>
      <c r="U298" s="251"/>
      <c r="V298" s="251"/>
      <c r="W298" s="251"/>
      <c r="X298" s="251"/>
      <c r="Y298" s="251"/>
      <c r="Z298" s="251"/>
      <c r="AA298" s="251"/>
      <c r="AB298" s="251"/>
      <c r="AC298" s="251"/>
      <c r="AD298" s="251"/>
      <c r="AE298" s="251"/>
      <c r="AF298" s="251"/>
      <c r="AG298" s="251"/>
      <c r="AH298" s="251"/>
      <c r="AI298" s="251"/>
      <c r="AJ298" s="251"/>
      <c r="AK298" s="251"/>
    </row>
    <row r="299" spans="1:37" ht="17.25" customHeight="1" thickBot="1">
      <c r="A299" s="2053"/>
      <c r="B299" s="2007"/>
      <c r="C299" s="1422" t="s">
        <v>32</v>
      </c>
      <c r="D299" s="1309"/>
      <c r="E299" s="1425"/>
      <c r="F299" s="1425"/>
      <c r="G299" s="1789"/>
      <c r="H299" s="1425"/>
      <c r="I299" s="1781"/>
      <c r="J299" s="1423"/>
      <c r="K299" s="1423"/>
      <c r="L299" s="1515"/>
      <c r="M299" s="2009"/>
      <c r="N299" s="2023"/>
      <c r="O299" s="251"/>
      <c r="P299" s="251"/>
      <c r="Q299" s="251"/>
      <c r="R299" s="251"/>
      <c r="S299" s="251"/>
      <c r="T299" s="251"/>
      <c r="U299" s="251"/>
      <c r="V299" s="251"/>
      <c r="W299" s="251"/>
      <c r="X299" s="251"/>
      <c r="Y299" s="251"/>
      <c r="Z299" s="251"/>
      <c r="AA299" s="251"/>
      <c r="AB299" s="251"/>
      <c r="AC299" s="251"/>
      <c r="AD299" s="251"/>
      <c r="AE299" s="251"/>
      <c r="AF299" s="251"/>
      <c r="AG299" s="251"/>
      <c r="AH299" s="251"/>
      <c r="AI299" s="251"/>
      <c r="AJ299" s="251"/>
      <c r="AK299" s="251"/>
    </row>
    <row r="300" spans="1:37">
      <c r="A300" s="2042"/>
      <c r="B300" s="2007">
        <v>75421</v>
      </c>
      <c r="C300" s="1830" t="s">
        <v>409</v>
      </c>
      <c r="D300" s="1831"/>
      <c r="E300" s="1832">
        <f>E301+E312</f>
        <v>0</v>
      </c>
      <c r="F300" s="1832">
        <f>F301+F312</f>
        <v>1850000</v>
      </c>
      <c r="G300" s="1833">
        <f>G301+G312</f>
        <v>0</v>
      </c>
      <c r="H300" s="1832">
        <f>H301+H312</f>
        <v>0</v>
      </c>
      <c r="I300" s="1834"/>
      <c r="J300" s="1835">
        <f>J301+J312</f>
        <v>0</v>
      </c>
      <c r="K300" s="1835">
        <f>K301+K312</f>
        <v>0</v>
      </c>
      <c r="L300" s="1836"/>
      <c r="M300" s="2009"/>
      <c r="N300" s="2022" t="s">
        <v>410</v>
      </c>
      <c r="O300" s="251"/>
      <c r="P300" s="251"/>
      <c r="Q300" s="251"/>
      <c r="R300" s="251"/>
      <c r="S300" s="251"/>
      <c r="T300" s="251"/>
      <c r="U300" s="251"/>
      <c r="V300" s="251"/>
      <c r="W300" s="251"/>
      <c r="X300" s="251"/>
      <c r="Y300" s="251"/>
      <c r="Z300" s="251"/>
      <c r="AA300" s="251"/>
      <c r="AB300" s="251"/>
      <c r="AC300" s="251"/>
      <c r="AD300" s="251"/>
      <c r="AE300" s="251"/>
      <c r="AF300" s="251"/>
      <c r="AG300" s="251"/>
      <c r="AH300" s="251"/>
      <c r="AI300" s="251"/>
      <c r="AJ300" s="251"/>
      <c r="AK300" s="251"/>
    </row>
    <row r="301" spans="1:37">
      <c r="A301" s="2042"/>
      <c r="B301" s="2007"/>
      <c r="C301" s="1418" t="s">
        <v>18</v>
      </c>
      <c r="D301" s="1419"/>
      <c r="E301" s="1310">
        <f>E302+E306+E308+E309+E310+E311</f>
        <v>0</v>
      </c>
      <c r="F301" s="1310">
        <f>SUM(F305)</f>
        <v>1275000</v>
      </c>
      <c r="G301" s="1311">
        <f>G302+G306+G308+G309+G310+G311</f>
        <v>0</v>
      </c>
      <c r="H301" s="1310">
        <f>H302+H306+H308+H309+H310+H311</f>
        <v>0</v>
      </c>
      <c r="I301" s="1420"/>
      <c r="J301" s="1313">
        <f>J302+J306+J308+J309+J310+J311</f>
        <v>0</v>
      </c>
      <c r="K301" s="1313">
        <f>K302+K306+K308+K309+K310+K311</f>
        <v>0</v>
      </c>
      <c r="L301" s="1314"/>
      <c r="M301" s="2009"/>
      <c r="N301" s="2011"/>
      <c r="O301" s="251"/>
      <c r="P301" s="251"/>
      <c r="Q301" s="251"/>
      <c r="R301" s="251"/>
      <c r="S301" s="251"/>
      <c r="T301" s="251"/>
      <c r="U301" s="251"/>
      <c r="V301" s="251"/>
      <c r="W301" s="251"/>
      <c r="X301" s="251"/>
      <c r="Y301" s="251"/>
      <c r="Z301" s="251"/>
      <c r="AA301" s="251"/>
      <c r="AB301" s="251"/>
      <c r="AC301" s="251"/>
      <c r="AD301" s="251"/>
      <c r="AE301" s="251"/>
      <c r="AF301" s="251"/>
      <c r="AG301" s="251"/>
      <c r="AH301" s="251"/>
      <c r="AI301" s="251"/>
      <c r="AJ301" s="251"/>
      <c r="AK301" s="251"/>
    </row>
    <row r="302" spans="1:37" ht="16.5" customHeight="1">
      <c r="A302" s="2042"/>
      <c r="B302" s="2007"/>
      <c r="C302" s="1422" t="s">
        <v>19</v>
      </c>
      <c r="D302" s="1309"/>
      <c r="E302" s="1425"/>
      <c r="F302" s="1425"/>
      <c r="G302" s="1783"/>
      <c r="H302" s="1425"/>
      <c r="I302" s="1424"/>
      <c r="J302" s="1423"/>
      <c r="K302" s="1423"/>
      <c r="L302" s="1515"/>
      <c r="M302" s="2009"/>
      <c r="N302" s="2011"/>
      <c r="O302" s="251"/>
      <c r="P302" s="251"/>
      <c r="Q302" s="251"/>
      <c r="R302" s="251"/>
      <c r="S302" s="251"/>
      <c r="T302" s="251"/>
      <c r="U302" s="251"/>
      <c r="V302" s="251"/>
      <c r="W302" s="251"/>
      <c r="X302" s="251"/>
      <c r="Y302" s="251"/>
      <c r="Z302" s="251"/>
      <c r="AA302" s="251"/>
      <c r="AB302" s="251"/>
      <c r="AC302" s="251"/>
      <c r="AD302" s="251"/>
      <c r="AE302" s="251"/>
      <c r="AF302" s="251"/>
      <c r="AG302" s="251"/>
      <c r="AH302" s="251"/>
      <c r="AI302" s="251"/>
      <c r="AJ302" s="251"/>
      <c r="AK302" s="251"/>
    </row>
    <row r="303" spans="1:37">
      <c r="A303" s="2042"/>
      <c r="B303" s="2007"/>
      <c r="C303" s="1422" t="s">
        <v>20</v>
      </c>
      <c r="D303" s="1309"/>
      <c r="E303" s="1425"/>
      <c r="F303" s="1425"/>
      <c r="G303" s="1789"/>
      <c r="H303" s="1425"/>
      <c r="I303" s="1781"/>
      <c r="J303" s="1423"/>
      <c r="K303" s="1423"/>
      <c r="L303" s="1515"/>
      <c r="M303" s="2009"/>
      <c r="N303" s="2011"/>
      <c r="O303" s="251"/>
      <c r="P303" s="251"/>
      <c r="Q303" s="251"/>
      <c r="R303" s="251"/>
      <c r="S303" s="251"/>
      <c r="T303" s="251"/>
      <c r="U303" s="251"/>
      <c r="V303" s="251"/>
      <c r="W303" s="251"/>
      <c r="X303" s="251"/>
      <c r="Y303" s="251"/>
      <c r="Z303" s="251"/>
      <c r="AA303" s="251"/>
      <c r="AB303" s="251"/>
      <c r="AC303" s="251"/>
      <c r="AD303" s="251"/>
      <c r="AE303" s="251"/>
      <c r="AF303" s="251"/>
      <c r="AG303" s="251"/>
      <c r="AH303" s="251"/>
      <c r="AI303" s="251"/>
      <c r="AJ303" s="251"/>
      <c r="AK303" s="251"/>
    </row>
    <row r="304" spans="1:37">
      <c r="A304" s="2042"/>
      <c r="B304" s="2007"/>
      <c r="C304" s="1428" t="s">
        <v>21</v>
      </c>
      <c r="D304" s="1309"/>
      <c r="E304" s="1425"/>
      <c r="F304" s="1425"/>
      <c r="G304" s="1789"/>
      <c r="H304" s="1425"/>
      <c r="I304" s="1781"/>
      <c r="J304" s="1423"/>
      <c r="K304" s="1423"/>
      <c r="L304" s="1515"/>
      <c r="M304" s="2009"/>
      <c r="N304" s="2011"/>
      <c r="O304" s="251"/>
      <c r="P304" s="251"/>
      <c r="Q304" s="251"/>
      <c r="R304" s="251"/>
      <c r="S304" s="251"/>
      <c r="T304" s="251"/>
      <c r="U304" s="251"/>
      <c r="V304" s="251"/>
      <c r="W304" s="251"/>
      <c r="X304" s="251"/>
      <c r="Y304" s="251"/>
      <c r="Z304" s="251"/>
      <c r="AA304" s="251"/>
      <c r="AB304" s="251"/>
      <c r="AC304" s="251"/>
      <c r="AD304" s="251"/>
      <c r="AE304" s="251"/>
      <c r="AF304" s="251"/>
      <c r="AG304" s="251"/>
      <c r="AH304" s="251"/>
      <c r="AI304" s="251"/>
      <c r="AJ304" s="251"/>
      <c r="AK304" s="251"/>
    </row>
    <row r="305" spans="1:37" ht="15" customHeight="1">
      <c r="A305" s="2042"/>
      <c r="B305" s="2007"/>
      <c r="C305" s="2013" t="s">
        <v>23</v>
      </c>
      <c r="D305" s="1309" t="s">
        <v>22</v>
      </c>
      <c r="E305" s="1425">
        <v>0</v>
      </c>
      <c r="F305" s="1425">
        <f>SUM(F306:F307)</f>
        <v>1275000</v>
      </c>
      <c r="G305" s="1789"/>
      <c r="H305" s="1425">
        <v>0</v>
      </c>
      <c r="I305" s="1781"/>
      <c r="J305" s="1423"/>
      <c r="K305" s="1423"/>
      <c r="L305" s="1515"/>
      <c r="M305" s="2009"/>
      <c r="N305" s="2011"/>
      <c r="O305" s="251"/>
      <c r="P305" s="251"/>
      <c r="Q305" s="251"/>
      <c r="R305" s="251"/>
      <c r="S305" s="251"/>
      <c r="T305" s="251"/>
      <c r="U305" s="251"/>
      <c r="V305" s="251"/>
      <c r="W305" s="251"/>
      <c r="X305" s="251"/>
      <c r="Y305" s="251"/>
      <c r="Z305" s="251"/>
      <c r="AA305" s="251"/>
      <c r="AB305" s="251"/>
      <c r="AC305" s="251"/>
      <c r="AD305" s="251"/>
      <c r="AE305" s="251"/>
      <c r="AF305" s="251"/>
      <c r="AG305" s="251"/>
      <c r="AH305" s="251"/>
      <c r="AI305" s="251"/>
      <c r="AJ305" s="251"/>
      <c r="AK305" s="251"/>
    </row>
    <row r="306" spans="1:37" ht="12.75" customHeight="1">
      <c r="A306" s="2042"/>
      <c r="B306" s="2007"/>
      <c r="C306" s="2013"/>
      <c r="D306" s="1784">
        <v>2710</v>
      </c>
      <c r="E306" s="1475">
        <v>0</v>
      </c>
      <c r="F306" s="1475">
        <v>775000</v>
      </c>
      <c r="G306" s="1787"/>
      <c r="H306" s="1475">
        <f>E306+G306</f>
        <v>0</v>
      </c>
      <c r="I306" s="1786"/>
      <c r="J306" s="1474"/>
      <c r="K306" s="1474">
        <f>J306+H306</f>
        <v>0</v>
      </c>
      <c r="L306" s="1515"/>
      <c r="M306" s="2009"/>
      <c r="N306" s="2011"/>
      <c r="O306" s="251"/>
      <c r="P306" s="251"/>
      <c r="Q306" s="251"/>
      <c r="R306" s="251"/>
      <c r="S306" s="251"/>
      <c r="T306" s="251"/>
      <c r="U306" s="251"/>
      <c r="V306" s="251"/>
      <c r="W306" s="251"/>
      <c r="X306" s="251"/>
      <c r="Y306" s="251"/>
      <c r="Z306" s="251"/>
      <c r="AA306" s="251"/>
      <c r="AB306" s="251"/>
      <c r="AC306" s="251"/>
      <c r="AD306" s="251"/>
      <c r="AE306" s="251"/>
      <c r="AF306" s="251"/>
      <c r="AG306" s="251"/>
      <c r="AH306" s="251"/>
      <c r="AI306" s="251"/>
      <c r="AJ306" s="251"/>
      <c r="AK306" s="251"/>
    </row>
    <row r="307" spans="1:37" ht="15.75" customHeight="1">
      <c r="A307" s="2042"/>
      <c r="B307" s="2007"/>
      <c r="C307" s="2013"/>
      <c r="D307" s="1784">
        <v>2820</v>
      </c>
      <c r="E307" s="1475">
        <v>0</v>
      </c>
      <c r="F307" s="1475">
        <v>500000</v>
      </c>
      <c r="G307" s="1787"/>
      <c r="H307" s="1475">
        <v>0</v>
      </c>
      <c r="I307" s="1786"/>
      <c r="J307" s="1474"/>
      <c r="K307" s="1474">
        <f>J307+H307</f>
        <v>0</v>
      </c>
      <c r="L307" s="1515"/>
      <c r="M307" s="2009"/>
      <c r="N307" s="2011"/>
      <c r="O307" s="251"/>
      <c r="P307" s="251"/>
      <c r="Q307" s="251"/>
      <c r="R307" s="251"/>
      <c r="S307" s="251"/>
      <c r="T307" s="251"/>
      <c r="U307" s="251"/>
      <c r="V307" s="251"/>
      <c r="W307" s="251"/>
      <c r="X307" s="251"/>
      <c r="Y307" s="251"/>
      <c r="Z307" s="251"/>
      <c r="AA307" s="251"/>
      <c r="AB307" s="251"/>
      <c r="AC307" s="251"/>
      <c r="AD307" s="251"/>
      <c r="AE307" s="251"/>
      <c r="AF307" s="251"/>
      <c r="AG307" s="251"/>
      <c r="AH307" s="251"/>
      <c r="AI307" s="251"/>
      <c r="AJ307" s="251"/>
      <c r="AK307" s="251"/>
    </row>
    <row r="308" spans="1:37" ht="14.25" customHeight="1">
      <c r="A308" s="2042"/>
      <c r="B308" s="2007"/>
      <c r="C308" s="1422" t="s">
        <v>24</v>
      </c>
      <c r="D308" s="1309"/>
      <c r="E308" s="1425"/>
      <c r="F308" s="1425"/>
      <c r="G308" s="1789"/>
      <c r="H308" s="1425"/>
      <c r="I308" s="1312"/>
      <c r="J308" s="1423"/>
      <c r="K308" s="1423"/>
      <c r="L308" s="1515"/>
      <c r="M308" s="2009"/>
      <c r="N308" s="2011"/>
      <c r="O308" s="251"/>
      <c r="P308" s="251"/>
      <c r="Q308" s="251"/>
      <c r="R308" s="251"/>
      <c r="S308" s="251"/>
      <c r="T308" s="251"/>
      <c r="U308" s="251"/>
      <c r="V308" s="251"/>
      <c r="W308" s="251"/>
      <c r="X308" s="251"/>
      <c r="Y308" s="251"/>
      <c r="Z308" s="251"/>
      <c r="AA308" s="251"/>
      <c r="AB308" s="251"/>
      <c r="AC308" s="251"/>
      <c r="AD308" s="251"/>
      <c r="AE308" s="251"/>
      <c r="AF308" s="251"/>
      <c r="AG308" s="251"/>
      <c r="AH308" s="251"/>
      <c r="AI308" s="251"/>
      <c r="AJ308" s="251"/>
      <c r="AK308" s="251"/>
    </row>
    <row r="309" spans="1:37" ht="26.25" customHeight="1">
      <c r="A309" s="2042"/>
      <c r="B309" s="2007"/>
      <c r="C309" s="1428" t="s">
        <v>25</v>
      </c>
      <c r="D309" s="1309"/>
      <c r="E309" s="1425"/>
      <c r="F309" s="1425"/>
      <c r="G309" s="1789"/>
      <c r="H309" s="1425"/>
      <c r="I309" s="1312"/>
      <c r="J309" s="1423"/>
      <c r="K309" s="1423"/>
      <c r="L309" s="1515"/>
      <c r="M309" s="2009"/>
      <c r="N309" s="2011"/>
      <c r="O309" s="251"/>
      <c r="P309" s="251"/>
      <c r="Q309" s="251"/>
      <c r="R309" s="251"/>
      <c r="S309" s="251"/>
      <c r="T309" s="251"/>
      <c r="U309" s="251"/>
      <c r="V309" s="251"/>
      <c r="W309" s="251"/>
      <c r="X309" s="251"/>
      <c r="Y309" s="251"/>
      <c r="Z309" s="251"/>
      <c r="AA309" s="251"/>
      <c r="AB309" s="251"/>
      <c r="AC309" s="251"/>
      <c r="AD309" s="251"/>
      <c r="AE309" s="251"/>
      <c r="AF309" s="251"/>
      <c r="AG309" s="251"/>
      <c r="AH309" s="251"/>
      <c r="AI309" s="251"/>
      <c r="AJ309" s="251"/>
      <c r="AK309" s="251"/>
    </row>
    <row r="310" spans="1:37" ht="12.75" customHeight="1">
      <c r="A310" s="2042"/>
      <c r="B310" s="2007"/>
      <c r="C310" s="1422" t="s">
        <v>26</v>
      </c>
      <c r="D310" s="1309"/>
      <c r="E310" s="1425"/>
      <c r="F310" s="1425"/>
      <c r="G310" s="1789"/>
      <c r="H310" s="1425"/>
      <c r="I310" s="1312"/>
      <c r="J310" s="1423"/>
      <c r="K310" s="1423"/>
      <c r="L310" s="1515"/>
      <c r="M310" s="2009"/>
      <c r="N310" s="2011"/>
      <c r="O310" s="251"/>
      <c r="P310" s="251"/>
      <c r="Q310" s="251"/>
      <c r="R310" s="251"/>
      <c r="S310" s="251"/>
      <c r="T310" s="251"/>
      <c r="U310" s="251"/>
      <c r="V310" s="251"/>
      <c r="W310" s="251"/>
      <c r="X310" s="251"/>
      <c r="Y310" s="251"/>
      <c r="Z310" s="251"/>
      <c r="AA310" s="251"/>
      <c r="AB310" s="251"/>
      <c r="AC310" s="251"/>
      <c r="AD310" s="251"/>
      <c r="AE310" s="251"/>
      <c r="AF310" s="251"/>
      <c r="AG310" s="251"/>
      <c r="AH310" s="251"/>
      <c r="AI310" s="251"/>
      <c r="AJ310" s="251"/>
      <c r="AK310" s="251"/>
    </row>
    <row r="311" spans="1:37" ht="15.75" customHeight="1">
      <c r="A311" s="2042"/>
      <c r="B311" s="2007"/>
      <c r="C311" s="1422" t="s">
        <v>27</v>
      </c>
      <c r="D311" s="1309"/>
      <c r="E311" s="1425"/>
      <c r="F311" s="1425"/>
      <c r="G311" s="1789"/>
      <c r="H311" s="1425"/>
      <c r="I311" s="1312"/>
      <c r="J311" s="1423"/>
      <c r="K311" s="1423"/>
      <c r="L311" s="1515"/>
      <c r="M311" s="2009"/>
      <c r="N311" s="2011"/>
      <c r="O311" s="251"/>
      <c r="P311" s="251"/>
      <c r="Q311" s="251"/>
      <c r="R311" s="251"/>
      <c r="S311" s="251"/>
      <c r="T311" s="251"/>
      <c r="U311" s="251"/>
      <c r="V311" s="251"/>
      <c r="W311" s="251"/>
      <c r="X311" s="251"/>
      <c r="Y311" s="251"/>
      <c r="Z311" s="251"/>
      <c r="AA311" s="251"/>
      <c r="AB311" s="251"/>
      <c r="AC311" s="251"/>
      <c r="AD311" s="251"/>
      <c r="AE311" s="251"/>
      <c r="AF311" s="251"/>
      <c r="AG311" s="251"/>
      <c r="AH311" s="251"/>
      <c r="AI311" s="251"/>
      <c r="AJ311" s="251"/>
      <c r="AK311" s="251"/>
    </row>
    <row r="312" spans="1:37" ht="14.25" customHeight="1">
      <c r="A312" s="2042"/>
      <c r="B312" s="2007"/>
      <c r="C312" s="1308" t="s">
        <v>28</v>
      </c>
      <c r="D312" s="1309"/>
      <c r="E312" s="1310">
        <f>E314+E317+E318</f>
        <v>0</v>
      </c>
      <c r="F312" s="1310">
        <f>SUM(F314:F315)</f>
        <v>575000</v>
      </c>
      <c r="G312" s="1311">
        <f>G314+G317+G318</f>
        <v>0</v>
      </c>
      <c r="H312" s="1310">
        <f>H314+H317+H318</f>
        <v>0</v>
      </c>
      <c r="I312" s="1312"/>
      <c r="J312" s="1313">
        <f>J314+J317+J318</f>
        <v>0</v>
      </c>
      <c r="K312" s="1313">
        <f>K314+K317+K318</f>
        <v>0</v>
      </c>
      <c r="L312" s="1314"/>
      <c r="M312" s="2009"/>
      <c r="N312" s="2011"/>
      <c r="O312" s="251"/>
      <c r="P312" s="251"/>
      <c r="Q312" s="251"/>
      <c r="R312" s="251"/>
      <c r="S312" s="251"/>
      <c r="T312" s="251"/>
      <c r="U312" s="251"/>
      <c r="V312" s="251"/>
      <c r="W312" s="251"/>
      <c r="X312" s="251"/>
      <c r="Y312" s="251"/>
      <c r="Z312" s="251"/>
      <c r="AA312" s="251"/>
      <c r="AB312" s="251"/>
      <c r="AC312" s="251"/>
      <c r="AD312" s="251"/>
      <c r="AE312" s="251"/>
      <c r="AF312" s="251"/>
      <c r="AG312" s="251"/>
      <c r="AH312" s="251"/>
      <c r="AI312" s="251"/>
      <c r="AJ312" s="251"/>
      <c r="AK312" s="251"/>
    </row>
    <row r="313" spans="1:37" ht="14.25" customHeight="1">
      <c r="A313" s="2042"/>
      <c r="B313" s="2007"/>
      <c r="C313" s="2054" t="s">
        <v>29</v>
      </c>
      <c r="D313" s="1309" t="s">
        <v>22</v>
      </c>
      <c r="E313" s="1310">
        <f>SUM(E314:E315)</f>
        <v>0</v>
      </c>
      <c r="F313" s="1310">
        <f>SUM(F314:F315)</f>
        <v>575000</v>
      </c>
      <c r="G313" s="1311"/>
      <c r="H313" s="1310"/>
      <c r="I313" s="1312"/>
      <c r="J313" s="1313"/>
      <c r="K313" s="1313"/>
      <c r="L313" s="1314"/>
      <c r="M313" s="2009"/>
      <c r="N313" s="2011"/>
      <c r="O313" s="251"/>
      <c r="P313" s="251"/>
      <c r="Q313" s="251"/>
      <c r="R313" s="251"/>
      <c r="S313" s="251"/>
      <c r="T313" s="251"/>
      <c r="U313" s="251"/>
      <c r="V313" s="251"/>
      <c r="W313" s="251"/>
      <c r="X313" s="251"/>
      <c r="Y313" s="251"/>
      <c r="Z313" s="251"/>
      <c r="AA313" s="251"/>
      <c r="AB313" s="251"/>
      <c r="AC313" s="251"/>
      <c r="AD313" s="251"/>
      <c r="AE313" s="251"/>
      <c r="AF313" s="251"/>
      <c r="AG313" s="251"/>
      <c r="AH313" s="251"/>
      <c r="AI313" s="251"/>
      <c r="AJ313" s="251"/>
      <c r="AK313" s="251"/>
    </row>
    <row r="314" spans="1:37">
      <c r="A314" s="2042"/>
      <c r="B314" s="2007"/>
      <c r="C314" s="2055"/>
      <c r="D314" s="1784">
        <v>6230</v>
      </c>
      <c r="E314" s="1475">
        <v>0</v>
      </c>
      <c r="F314" s="1475">
        <v>500000</v>
      </c>
      <c r="G314" s="1787"/>
      <c r="H314" s="1475">
        <f>E314+G314</f>
        <v>0</v>
      </c>
      <c r="I314" s="1786"/>
      <c r="J314" s="1474"/>
      <c r="K314" s="1474">
        <f>H314+J314</f>
        <v>0</v>
      </c>
      <c r="L314" s="1515"/>
      <c r="M314" s="2009"/>
      <c r="N314" s="2011"/>
      <c r="O314" s="251"/>
      <c r="P314" s="251"/>
      <c r="Q314" s="251"/>
      <c r="R314" s="251"/>
      <c r="S314" s="251"/>
      <c r="T314" s="251"/>
      <c r="U314" s="251"/>
      <c r="V314" s="251"/>
      <c r="W314" s="251"/>
      <c r="X314" s="251"/>
      <c r="Y314" s="251"/>
      <c r="Z314" s="251"/>
      <c r="AA314" s="251"/>
      <c r="AB314" s="251"/>
      <c r="AC314" s="251"/>
      <c r="AD314" s="251"/>
      <c r="AE314" s="251"/>
      <c r="AF314" s="251"/>
      <c r="AG314" s="251"/>
      <c r="AH314" s="251"/>
      <c r="AI314" s="251"/>
      <c r="AJ314" s="251"/>
      <c r="AK314" s="251"/>
    </row>
    <row r="315" spans="1:37">
      <c r="A315" s="2042"/>
      <c r="B315" s="2007"/>
      <c r="C315" s="2056"/>
      <c r="D315" s="1784">
        <v>6300</v>
      </c>
      <c r="E315" s="1475">
        <v>0</v>
      </c>
      <c r="F315" s="1475">
        <v>75000</v>
      </c>
      <c r="G315" s="1787"/>
      <c r="H315" s="1475">
        <v>0</v>
      </c>
      <c r="I315" s="1786"/>
      <c r="J315" s="1474"/>
      <c r="K315" s="1474">
        <f>J315+H315</f>
        <v>0</v>
      </c>
      <c r="L315" s="1515"/>
      <c r="M315" s="2009"/>
      <c r="N315" s="2011"/>
      <c r="O315" s="251"/>
      <c r="P315" s="251"/>
      <c r="Q315" s="251"/>
      <c r="R315" s="251"/>
      <c r="S315" s="251"/>
      <c r="T315" s="251"/>
      <c r="U315" s="251"/>
      <c r="V315" s="251"/>
      <c r="W315" s="251"/>
      <c r="X315" s="251"/>
      <c r="Y315" s="251"/>
      <c r="Z315" s="251"/>
      <c r="AA315" s="251"/>
      <c r="AB315" s="251"/>
      <c r="AC315" s="251"/>
      <c r="AD315" s="251"/>
      <c r="AE315" s="251"/>
      <c r="AF315" s="251"/>
      <c r="AG315" s="251"/>
      <c r="AH315" s="251"/>
      <c r="AI315" s="251"/>
      <c r="AJ315" s="251"/>
      <c r="AK315" s="251"/>
    </row>
    <row r="316" spans="1:37" ht="24.75" customHeight="1">
      <c r="A316" s="2042"/>
      <c r="B316" s="2007"/>
      <c r="C316" s="1428" t="s">
        <v>30</v>
      </c>
      <c r="D316" s="1309"/>
      <c r="E316" s="1425"/>
      <c r="F316" s="1425"/>
      <c r="G316" s="1789"/>
      <c r="H316" s="1425"/>
      <c r="I316" s="1781"/>
      <c r="J316" s="1423"/>
      <c r="K316" s="1423"/>
      <c r="L316" s="1515"/>
      <c r="M316" s="2009"/>
      <c r="N316" s="2011"/>
      <c r="O316" s="251"/>
      <c r="P316" s="251"/>
      <c r="Q316" s="251"/>
      <c r="R316" s="251"/>
      <c r="S316" s="251"/>
      <c r="T316" s="251"/>
      <c r="U316" s="251"/>
      <c r="V316" s="251"/>
      <c r="W316" s="251"/>
      <c r="X316" s="251"/>
      <c r="Y316" s="251"/>
      <c r="Z316" s="251"/>
      <c r="AA316" s="251"/>
      <c r="AB316" s="251"/>
      <c r="AC316" s="251"/>
      <c r="AD316" s="251"/>
      <c r="AE316" s="251"/>
      <c r="AF316" s="251"/>
      <c r="AG316" s="251"/>
      <c r="AH316" s="251"/>
      <c r="AI316" s="251"/>
      <c r="AJ316" s="251"/>
      <c r="AK316" s="251"/>
    </row>
    <row r="317" spans="1:37" ht="16.5" customHeight="1">
      <c r="A317" s="2042"/>
      <c r="B317" s="2007"/>
      <c r="C317" s="1422" t="s">
        <v>31</v>
      </c>
      <c r="D317" s="1309"/>
      <c r="E317" s="1425"/>
      <c r="F317" s="1425"/>
      <c r="G317" s="1789"/>
      <c r="H317" s="1425"/>
      <c r="I317" s="1781"/>
      <c r="J317" s="1423"/>
      <c r="K317" s="1423"/>
      <c r="L317" s="1515"/>
      <c r="M317" s="2009"/>
      <c r="N317" s="2011"/>
      <c r="O317" s="251"/>
      <c r="P317" s="251"/>
      <c r="Q317" s="251"/>
      <c r="R317" s="251"/>
      <c r="S317" s="251"/>
      <c r="T317" s="251"/>
      <c r="U317" s="251"/>
      <c r="V317" s="251"/>
      <c r="W317" s="251"/>
      <c r="X317" s="251"/>
      <c r="Y317" s="251"/>
      <c r="Z317" s="251"/>
      <c r="AA317" s="251"/>
      <c r="AB317" s="251"/>
      <c r="AC317" s="251"/>
      <c r="AD317" s="251"/>
      <c r="AE317" s="251"/>
      <c r="AF317" s="251"/>
      <c r="AG317" s="251"/>
      <c r="AH317" s="251"/>
      <c r="AI317" s="251"/>
      <c r="AJ317" s="251"/>
      <c r="AK317" s="251"/>
    </row>
    <row r="318" spans="1:37" ht="17.25" customHeight="1" thickBot="1">
      <c r="A318" s="2043"/>
      <c r="B318" s="2044"/>
      <c r="C318" s="1039" t="s">
        <v>32</v>
      </c>
      <c r="D318" s="1633"/>
      <c r="E318" s="1637"/>
      <c r="F318" s="1637"/>
      <c r="G318" s="1806"/>
      <c r="H318" s="1637"/>
      <c r="I318" s="1837"/>
      <c r="J318" s="1634"/>
      <c r="K318" s="1634"/>
      <c r="L318" s="1808"/>
      <c r="M318" s="2021"/>
      <c r="N318" s="2012"/>
      <c r="O318" s="251"/>
      <c r="P318" s="251"/>
      <c r="Q318" s="251"/>
      <c r="R318" s="251"/>
      <c r="S318" s="251"/>
      <c r="T318" s="251"/>
      <c r="U318" s="251"/>
      <c r="V318" s="251"/>
      <c r="W318" s="251"/>
      <c r="X318" s="251"/>
      <c r="Y318" s="251"/>
      <c r="Z318" s="251"/>
      <c r="AA318" s="251"/>
      <c r="AB318" s="251"/>
      <c r="AC318" s="251"/>
      <c r="AD318" s="251"/>
      <c r="AE318" s="251"/>
      <c r="AF318" s="251"/>
      <c r="AG318" s="251"/>
      <c r="AH318" s="251"/>
      <c r="AI318" s="251"/>
      <c r="AJ318" s="251"/>
      <c r="AK318" s="251"/>
    </row>
    <row r="319" spans="1:37">
      <c r="A319" s="1809">
        <v>852</v>
      </c>
      <c r="B319" s="1691"/>
      <c r="C319" s="1647" t="s">
        <v>411</v>
      </c>
      <c r="D319" s="1810"/>
      <c r="E319" s="1693"/>
      <c r="F319" s="1693">
        <f>SUM(F320)</f>
        <v>1000000</v>
      </c>
      <c r="G319" s="1811">
        <f>G320+G340+G360+G378</f>
        <v>0</v>
      </c>
      <c r="H319" s="1693">
        <f>H320</f>
        <v>0</v>
      </c>
      <c r="I319" s="1812"/>
      <c r="J319" s="1692">
        <f>J320+J340+J360+J378</f>
        <v>0</v>
      </c>
      <c r="K319" s="1692">
        <f>K320</f>
        <v>0</v>
      </c>
      <c r="L319" s="1813"/>
      <c r="M319" s="1814"/>
      <c r="N319" s="740"/>
      <c r="O319" s="251"/>
      <c r="P319" s="251"/>
      <c r="Q319" s="251"/>
      <c r="R319" s="251"/>
      <c r="S319" s="251"/>
      <c r="T319" s="251"/>
      <c r="U319" s="251"/>
      <c r="V319" s="251"/>
      <c r="W319" s="251"/>
      <c r="X319" s="251"/>
      <c r="Y319" s="251"/>
      <c r="Z319" s="251"/>
      <c r="AA319" s="251"/>
      <c r="AB319" s="251"/>
      <c r="AC319" s="251"/>
      <c r="AD319" s="251"/>
      <c r="AE319" s="251"/>
      <c r="AF319" s="251"/>
      <c r="AG319" s="251"/>
      <c r="AH319" s="251"/>
      <c r="AI319" s="251"/>
      <c r="AJ319" s="251"/>
      <c r="AK319" s="251"/>
    </row>
    <row r="320" spans="1:37">
      <c r="A320" s="2042"/>
      <c r="B320" s="2007">
        <v>85279</v>
      </c>
      <c r="C320" s="1432" t="s">
        <v>333</v>
      </c>
      <c r="D320" s="1413"/>
      <c r="E320" s="1416">
        <f>E321+E330</f>
        <v>0</v>
      </c>
      <c r="F320" s="1416">
        <f>SUM(F321,F330)</f>
        <v>1000000</v>
      </c>
      <c r="G320" s="1815">
        <f>G321+G330</f>
        <v>0</v>
      </c>
      <c r="H320" s="1416">
        <f>H321+H330</f>
        <v>0</v>
      </c>
      <c r="I320" s="1415"/>
      <c r="J320" s="1414">
        <f>J321+J330</f>
        <v>0</v>
      </c>
      <c r="K320" s="1414">
        <f>K321+K330</f>
        <v>0</v>
      </c>
      <c r="L320" s="1816"/>
      <c r="M320" s="2009"/>
      <c r="N320" s="2010" t="s">
        <v>410</v>
      </c>
      <c r="O320" s="251"/>
      <c r="P320" s="251"/>
      <c r="Q320" s="251"/>
      <c r="R320" s="251"/>
      <c r="S320" s="251"/>
      <c r="T320" s="251"/>
      <c r="U320" s="251"/>
      <c r="V320" s="251"/>
      <c r="W320" s="251"/>
      <c r="X320" s="251"/>
      <c r="Y320" s="251"/>
      <c r="Z320" s="251"/>
      <c r="AA320" s="251"/>
      <c r="AB320" s="251"/>
      <c r="AC320" s="251"/>
      <c r="AD320" s="251"/>
      <c r="AE320" s="251"/>
      <c r="AF320" s="251"/>
      <c r="AG320" s="251"/>
      <c r="AH320" s="251"/>
      <c r="AI320" s="251"/>
      <c r="AJ320" s="251"/>
      <c r="AK320" s="251"/>
    </row>
    <row r="321" spans="1:37">
      <c r="A321" s="2042"/>
      <c r="B321" s="2007"/>
      <c r="C321" s="1418" t="s">
        <v>18</v>
      </c>
      <c r="D321" s="1419"/>
      <c r="E321" s="1310">
        <f>E322+E325+E326+E327+E328+E329</f>
        <v>0</v>
      </c>
      <c r="F321" s="1310">
        <f>F322+F325+F326+F327+F328+F329</f>
        <v>8626</v>
      </c>
      <c r="G321" s="1311">
        <f>G322+G325+G326+G327+G328+G329</f>
        <v>0</v>
      </c>
      <c r="H321" s="1310">
        <f>H322+H325+H326+H327+H328+H329</f>
        <v>0</v>
      </c>
      <c r="I321" s="1420"/>
      <c r="J321" s="1313">
        <f>J322+J325+J326+J327+J328+J329</f>
        <v>0</v>
      </c>
      <c r="K321" s="1313">
        <f>K322+K325+K326+K327+K328+K329</f>
        <v>0</v>
      </c>
      <c r="L321" s="1314"/>
      <c r="M321" s="2009"/>
      <c r="N321" s="2011"/>
      <c r="O321" s="251"/>
      <c r="P321" s="251"/>
      <c r="Q321" s="251"/>
      <c r="R321" s="251"/>
      <c r="S321" s="251"/>
      <c r="T321" s="251"/>
      <c r="U321" s="251"/>
      <c r="V321" s="251"/>
      <c r="W321" s="251"/>
      <c r="X321" s="251"/>
      <c r="Y321" s="251"/>
      <c r="Z321" s="251"/>
      <c r="AA321" s="251"/>
      <c r="AB321" s="251"/>
      <c r="AC321" s="251"/>
      <c r="AD321" s="251"/>
      <c r="AE321" s="251"/>
      <c r="AF321" s="251"/>
      <c r="AG321" s="251"/>
      <c r="AH321" s="251"/>
      <c r="AI321" s="251"/>
      <c r="AJ321" s="251"/>
      <c r="AK321" s="251"/>
    </row>
    <row r="322" spans="1:37">
      <c r="A322" s="2042"/>
      <c r="B322" s="2007"/>
      <c r="C322" s="1422" t="s">
        <v>19</v>
      </c>
      <c r="D322" s="1309"/>
      <c r="E322" s="1425">
        <f>SUM(E323:E324)</f>
        <v>0</v>
      </c>
      <c r="F322" s="1425">
        <f>SUM(F323:F324)</f>
        <v>8626</v>
      </c>
      <c r="G322" s="1425">
        <f t="shared" ref="G322:H322" si="41">SUM(G323:G324)</f>
        <v>0</v>
      </c>
      <c r="H322" s="1425">
        <f t="shared" si="41"/>
        <v>0</v>
      </c>
      <c r="I322" s="1424"/>
      <c r="J322" s="1423"/>
      <c r="K322" s="1313">
        <f>K323+K326+K327+K328+K329+K330</f>
        <v>0</v>
      </c>
      <c r="L322" s="1314"/>
      <c r="M322" s="2009"/>
      <c r="N322" s="2011"/>
      <c r="O322" s="251"/>
      <c r="P322" s="251"/>
      <c r="Q322" s="251"/>
      <c r="R322" s="251"/>
      <c r="S322" s="251"/>
      <c r="T322" s="251"/>
      <c r="U322" s="251"/>
      <c r="V322" s="251"/>
      <c r="W322" s="251"/>
      <c r="X322" s="251"/>
      <c r="Y322" s="251"/>
      <c r="Z322" s="251"/>
      <c r="AA322" s="251"/>
      <c r="AB322" s="251"/>
      <c r="AC322" s="251"/>
      <c r="AD322" s="251"/>
      <c r="AE322" s="251"/>
      <c r="AF322" s="251"/>
      <c r="AG322" s="251"/>
      <c r="AH322" s="251"/>
      <c r="AI322" s="251"/>
      <c r="AJ322" s="251"/>
      <c r="AK322" s="251"/>
    </row>
    <row r="323" spans="1:37">
      <c r="A323" s="2042"/>
      <c r="B323" s="2007"/>
      <c r="C323" s="1422" t="s">
        <v>20</v>
      </c>
      <c r="D323" s="1309"/>
      <c r="E323" s="1425"/>
      <c r="F323" s="1425"/>
      <c r="G323" s="1789"/>
      <c r="H323" s="1425"/>
      <c r="I323" s="1781"/>
      <c r="J323" s="1423"/>
      <c r="K323" s="1423"/>
      <c r="L323" s="1515"/>
      <c r="M323" s="2009"/>
      <c r="N323" s="2011"/>
      <c r="O323" s="251"/>
      <c r="P323" s="251"/>
      <c r="Q323" s="251"/>
      <c r="R323" s="251"/>
      <c r="S323" s="251"/>
      <c r="T323" s="251"/>
      <c r="U323" s="251"/>
      <c r="V323" s="251"/>
      <c r="W323" s="251"/>
      <c r="X323" s="251"/>
      <c r="Y323" s="251"/>
      <c r="Z323" s="251"/>
      <c r="AA323" s="251"/>
      <c r="AB323" s="251"/>
      <c r="AC323" s="251"/>
      <c r="AD323" s="251"/>
      <c r="AE323" s="251"/>
      <c r="AF323" s="251"/>
      <c r="AG323" s="251"/>
      <c r="AH323" s="251"/>
      <c r="AI323" s="251"/>
      <c r="AJ323" s="251"/>
      <c r="AK323" s="251"/>
    </row>
    <row r="324" spans="1:37">
      <c r="A324" s="2042"/>
      <c r="B324" s="2007"/>
      <c r="C324" s="1428" t="s">
        <v>21</v>
      </c>
      <c r="D324" s="1429">
        <v>4210</v>
      </c>
      <c r="E324" s="1425">
        <v>0</v>
      </c>
      <c r="F324" s="1425">
        <v>8626</v>
      </c>
      <c r="G324" s="1789"/>
      <c r="H324" s="1425">
        <v>0</v>
      </c>
      <c r="I324" s="1781"/>
      <c r="J324" s="1423"/>
      <c r="K324" s="1423">
        <f>J324+H324</f>
        <v>0</v>
      </c>
      <c r="L324" s="1515"/>
      <c r="M324" s="2009"/>
      <c r="N324" s="2011"/>
      <c r="O324" s="251"/>
      <c r="P324" s="251"/>
      <c r="Q324" s="251"/>
      <c r="R324" s="251"/>
      <c r="S324" s="251"/>
      <c r="T324" s="251"/>
      <c r="U324" s="251"/>
      <c r="V324" s="251"/>
      <c r="W324" s="251"/>
      <c r="X324" s="251"/>
      <c r="Y324" s="251"/>
      <c r="Z324" s="251"/>
      <c r="AA324" s="251"/>
      <c r="AB324" s="251"/>
      <c r="AC324" s="251"/>
      <c r="AD324" s="251"/>
      <c r="AE324" s="251"/>
      <c r="AF324" s="251"/>
      <c r="AG324" s="251"/>
      <c r="AH324" s="251"/>
      <c r="AI324" s="251"/>
      <c r="AJ324" s="251"/>
      <c r="AK324" s="251"/>
    </row>
    <row r="325" spans="1:37">
      <c r="A325" s="2042"/>
      <c r="B325" s="2007"/>
      <c r="C325" s="1422" t="s">
        <v>23</v>
      </c>
      <c r="D325" s="1429"/>
      <c r="E325" s="1425"/>
      <c r="F325" s="1425"/>
      <c r="G325" s="1789"/>
      <c r="H325" s="1425"/>
      <c r="I325" s="1312"/>
      <c r="J325" s="1423"/>
      <c r="K325" s="1423"/>
      <c r="L325" s="1515"/>
      <c r="M325" s="2009"/>
      <c r="N325" s="2011"/>
      <c r="O325" s="251"/>
      <c r="P325" s="251"/>
      <c r="Q325" s="251"/>
      <c r="R325" s="251"/>
      <c r="S325" s="251"/>
      <c r="T325" s="251"/>
      <c r="U325" s="251"/>
      <c r="V325" s="251"/>
      <c r="W325" s="251"/>
      <c r="X325" s="251"/>
      <c r="Y325" s="251"/>
      <c r="Z325" s="251"/>
      <c r="AA325" s="251"/>
      <c r="AB325" s="251"/>
      <c r="AC325" s="251"/>
      <c r="AD325" s="251"/>
      <c r="AE325" s="251"/>
      <c r="AF325" s="251"/>
      <c r="AG325" s="251"/>
      <c r="AH325" s="251"/>
      <c r="AI325" s="251"/>
      <c r="AJ325" s="251"/>
      <c r="AK325" s="251"/>
    </row>
    <row r="326" spans="1:37">
      <c r="A326" s="2042"/>
      <c r="B326" s="2007"/>
      <c r="C326" s="1422" t="s">
        <v>24</v>
      </c>
      <c r="D326" s="1429"/>
      <c r="E326" s="1425"/>
      <c r="F326" s="1425"/>
      <c r="G326" s="1789"/>
      <c r="H326" s="1425"/>
      <c r="I326" s="1312"/>
      <c r="J326" s="1423"/>
      <c r="K326" s="1423"/>
      <c r="L326" s="1515"/>
      <c r="M326" s="2009"/>
      <c r="N326" s="2011"/>
      <c r="O326" s="251"/>
      <c r="P326" s="251"/>
      <c r="Q326" s="251"/>
      <c r="R326" s="251"/>
      <c r="S326" s="251"/>
      <c r="T326" s="251"/>
      <c r="U326" s="251"/>
      <c r="V326" s="251"/>
      <c r="W326" s="251"/>
      <c r="X326" s="251"/>
      <c r="Y326" s="251"/>
      <c r="Z326" s="251"/>
      <c r="AA326" s="251"/>
      <c r="AB326" s="251"/>
      <c r="AC326" s="251"/>
      <c r="AD326" s="251"/>
      <c r="AE326" s="251"/>
      <c r="AF326" s="251"/>
      <c r="AG326" s="251"/>
      <c r="AH326" s="251"/>
      <c r="AI326" s="251"/>
      <c r="AJ326" s="251"/>
      <c r="AK326" s="251"/>
    </row>
    <row r="327" spans="1:37" ht="22.5">
      <c r="A327" s="2042"/>
      <c r="B327" s="2007"/>
      <c r="C327" s="1428" t="s">
        <v>25</v>
      </c>
      <c r="D327" s="1309"/>
      <c r="E327" s="1425"/>
      <c r="F327" s="1425"/>
      <c r="G327" s="1789"/>
      <c r="H327" s="1425"/>
      <c r="I327" s="1312"/>
      <c r="J327" s="1423"/>
      <c r="K327" s="1423"/>
      <c r="L327" s="1515"/>
      <c r="M327" s="2009"/>
      <c r="N327" s="2011"/>
      <c r="O327" s="251"/>
      <c r="P327" s="251"/>
      <c r="Q327" s="251"/>
      <c r="R327" s="251"/>
      <c r="S327" s="251"/>
      <c r="T327" s="251"/>
      <c r="U327" s="251"/>
      <c r="V327" s="251"/>
      <c r="W327" s="251"/>
      <c r="X327" s="251"/>
      <c r="Y327" s="251"/>
      <c r="Z327" s="251"/>
      <c r="AA327" s="251"/>
      <c r="AB327" s="251"/>
      <c r="AC327" s="251"/>
      <c r="AD327" s="251"/>
      <c r="AE327" s="251"/>
      <c r="AF327" s="251"/>
      <c r="AG327" s="251"/>
      <c r="AH327" s="251"/>
      <c r="AI327" s="251"/>
      <c r="AJ327" s="251"/>
      <c r="AK327" s="251"/>
    </row>
    <row r="328" spans="1:37">
      <c r="A328" s="2042"/>
      <c r="B328" s="2007"/>
      <c r="C328" s="1422" t="s">
        <v>26</v>
      </c>
      <c r="D328" s="1309"/>
      <c r="E328" s="1425"/>
      <c r="F328" s="1425"/>
      <c r="G328" s="1789"/>
      <c r="H328" s="1425"/>
      <c r="I328" s="1312"/>
      <c r="J328" s="1423"/>
      <c r="K328" s="1423"/>
      <c r="L328" s="1515"/>
      <c r="M328" s="2009"/>
      <c r="N328" s="2011"/>
      <c r="O328" s="251"/>
      <c r="P328" s="251"/>
      <c r="Q328" s="251"/>
      <c r="R328" s="251"/>
      <c r="S328" s="251"/>
      <c r="T328" s="251"/>
      <c r="U328" s="251"/>
      <c r="V328" s="251"/>
      <c r="W328" s="251"/>
      <c r="X328" s="251"/>
      <c r="Y328" s="251"/>
      <c r="Z328" s="251"/>
      <c r="AA328" s="251"/>
      <c r="AB328" s="251"/>
      <c r="AC328" s="251"/>
      <c r="AD328" s="251"/>
      <c r="AE328" s="251"/>
      <c r="AF328" s="251"/>
      <c r="AG328" s="251"/>
      <c r="AH328" s="251"/>
      <c r="AI328" s="251"/>
      <c r="AJ328" s="251"/>
      <c r="AK328" s="251"/>
    </row>
    <row r="329" spans="1:37">
      <c r="A329" s="2042"/>
      <c r="B329" s="2007"/>
      <c r="C329" s="1422" t="s">
        <v>27</v>
      </c>
      <c r="D329" s="1309"/>
      <c r="E329" s="1425"/>
      <c r="F329" s="1425"/>
      <c r="G329" s="1789"/>
      <c r="H329" s="1425"/>
      <c r="I329" s="1312"/>
      <c r="J329" s="1423"/>
      <c r="K329" s="1423"/>
      <c r="L329" s="1515"/>
      <c r="M329" s="2009"/>
      <c r="N329" s="2011"/>
      <c r="O329" s="251"/>
      <c r="P329" s="251"/>
      <c r="Q329" s="251"/>
      <c r="R329" s="251"/>
      <c r="S329" s="251"/>
      <c r="T329" s="251"/>
      <c r="U329" s="251"/>
      <c r="V329" s="251"/>
      <c r="W329" s="251"/>
      <c r="X329" s="251"/>
      <c r="Y329" s="251"/>
      <c r="Z329" s="251"/>
      <c r="AA329" s="251"/>
      <c r="AB329" s="251"/>
      <c r="AC329" s="251"/>
      <c r="AD329" s="251"/>
      <c r="AE329" s="251"/>
      <c r="AF329" s="251"/>
      <c r="AG329" s="251"/>
      <c r="AH329" s="251"/>
      <c r="AI329" s="251"/>
      <c r="AJ329" s="251"/>
      <c r="AK329" s="251"/>
    </row>
    <row r="330" spans="1:37">
      <c r="A330" s="2042"/>
      <c r="B330" s="2007"/>
      <c r="C330" s="1308" t="s">
        <v>28</v>
      </c>
      <c r="D330" s="1309"/>
      <c r="E330" s="1310">
        <v>0</v>
      </c>
      <c r="F330" s="1310">
        <f>SUM(F331:F334)</f>
        <v>991374</v>
      </c>
      <c r="G330" s="1311">
        <f>G331+G333+G334</f>
        <v>0</v>
      </c>
      <c r="H330" s="1310">
        <f>H331+H333+H334</f>
        <v>0</v>
      </c>
      <c r="I330" s="1312"/>
      <c r="J330" s="1313">
        <f>J331+J333+J334</f>
        <v>0</v>
      </c>
      <c r="K330" s="1313">
        <f>K331+K333+K334</f>
        <v>0</v>
      </c>
      <c r="L330" s="1314"/>
      <c r="M330" s="2009"/>
      <c r="N330" s="2011"/>
      <c r="O330" s="251"/>
      <c r="P330" s="251"/>
      <c r="Q330" s="251"/>
      <c r="R330" s="251"/>
      <c r="S330" s="251"/>
      <c r="T330" s="251"/>
      <c r="U330" s="251"/>
      <c r="V330" s="251"/>
      <c r="W330" s="251"/>
      <c r="X330" s="251"/>
      <c r="Y330" s="251"/>
      <c r="Z330" s="251"/>
      <c r="AA330" s="251"/>
      <c r="AB330" s="251"/>
      <c r="AC330" s="251"/>
      <c r="AD330" s="251"/>
      <c r="AE330" s="251"/>
      <c r="AF330" s="251"/>
      <c r="AG330" s="251"/>
      <c r="AH330" s="251"/>
      <c r="AI330" s="251"/>
      <c r="AJ330" s="251"/>
      <c r="AK330" s="251"/>
    </row>
    <row r="331" spans="1:37">
      <c r="A331" s="2042"/>
      <c r="B331" s="2007"/>
      <c r="C331" s="1422" t="s">
        <v>29</v>
      </c>
      <c r="D331" s="1429">
        <v>6060</v>
      </c>
      <c r="E331" s="1425">
        <v>0</v>
      </c>
      <c r="F331" s="1425">
        <v>991374</v>
      </c>
      <c r="G331" s="1789"/>
      <c r="H331" s="1425">
        <f>E331+G331</f>
        <v>0</v>
      </c>
      <c r="I331" s="1312"/>
      <c r="J331" s="1423"/>
      <c r="K331" s="1423">
        <f>H331+J331</f>
        <v>0</v>
      </c>
      <c r="L331" s="1515"/>
      <c r="M331" s="2009"/>
      <c r="N331" s="2011"/>
      <c r="O331" s="251"/>
      <c r="P331" s="251"/>
      <c r="Q331" s="251"/>
      <c r="R331" s="251"/>
      <c r="S331" s="251"/>
      <c r="T331" s="251"/>
      <c r="U331" s="251"/>
      <c r="V331" s="251"/>
      <c r="W331" s="251"/>
      <c r="X331" s="251"/>
      <c r="Y331" s="251"/>
      <c r="Z331" s="251"/>
      <c r="AA331" s="251"/>
      <c r="AB331" s="251"/>
      <c r="AC331" s="251"/>
      <c r="AD331" s="251"/>
      <c r="AE331" s="251"/>
      <c r="AF331" s="251"/>
      <c r="AG331" s="251"/>
      <c r="AH331" s="251"/>
      <c r="AI331" s="251"/>
      <c r="AJ331" s="251"/>
      <c r="AK331" s="251"/>
    </row>
    <row r="332" spans="1:37" ht="22.5">
      <c r="A332" s="2042"/>
      <c r="B332" s="2007"/>
      <c r="C332" s="1428" t="s">
        <v>30</v>
      </c>
      <c r="D332" s="1309"/>
      <c r="E332" s="1425"/>
      <c r="F332" s="1425"/>
      <c r="G332" s="1789"/>
      <c r="H332" s="1425"/>
      <c r="I332" s="1781"/>
      <c r="J332" s="1423"/>
      <c r="K332" s="1423"/>
      <c r="L332" s="1515"/>
      <c r="M332" s="2009"/>
      <c r="N332" s="2011"/>
      <c r="O332" s="251"/>
      <c r="P332" s="251"/>
      <c r="Q332" s="251"/>
      <c r="R332" s="251"/>
      <c r="S332" s="251"/>
      <c r="T332" s="251"/>
      <c r="U332" s="251"/>
      <c r="V332" s="251"/>
      <c r="W332" s="251"/>
      <c r="X332" s="251"/>
      <c r="Y332" s="251"/>
      <c r="Z332" s="251"/>
      <c r="AA332" s="251"/>
      <c r="AB332" s="251"/>
      <c r="AC332" s="251"/>
      <c r="AD332" s="251"/>
      <c r="AE332" s="251"/>
      <c r="AF332" s="251"/>
      <c r="AG332" s="251"/>
      <c r="AH332" s="251"/>
      <c r="AI332" s="251"/>
      <c r="AJ332" s="251"/>
      <c r="AK332" s="251"/>
    </row>
    <row r="333" spans="1:37">
      <c r="A333" s="2042"/>
      <c r="B333" s="2007"/>
      <c r="C333" s="1422" t="s">
        <v>31</v>
      </c>
      <c r="D333" s="1309"/>
      <c r="E333" s="1425"/>
      <c r="F333" s="1425"/>
      <c r="G333" s="1789"/>
      <c r="H333" s="1425"/>
      <c r="I333" s="1781"/>
      <c r="J333" s="1423"/>
      <c r="K333" s="1423"/>
      <c r="L333" s="1515"/>
      <c r="M333" s="2009"/>
      <c r="N333" s="2011"/>
      <c r="O333" s="251"/>
      <c r="P333" s="251"/>
      <c r="Q333" s="251"/>
      <c r="R333" s="251"/>
      <c r="S333" s="251"/>
      <c r="T333" s="251"/>
      <c r="U333" s="251"/>
      <c r="V333" s="251"/>
      <c r="W333" s="251"/>
      <c r="X333" s="251"/>
      <c r="Y333" s="251"/>
      <c r="Z333" s="251"/>
      <c r="AA333" s="251"/>
      <c r="AB333" s="251"/>
      <c r="AC333" s="251"/>
      <c r="AD333" s="251"/>
      <c r="AE333" s="251"/>
      <c r="AF333" s="251"/>
      <c r="AG333" s="251"/>
      <c r="AH333" s="251"/>
      <c r="AI333" s="251"/>
      <c r="AJ333" s="251"/>
      <c r="AK333" s="251"/>
    </row>
    <row r="334" spans="1:37">
      <c r="A334" s="2042"/>
      <c r="B334" s="2007"/>
      <c r="C334" s="1422" t="s">
        <v>32</v>
      </c>
      <c r="D334" s="1309"/>
      <c r="E334" s="1425"/>
      <c r="F334" s="1425"/>
      <c r="G334" s="1789"/>
      <c r="H334" s="1425"/>
      <c r="I334" s="1781"/>
      <c r="J334" s="1423"/>
      <c r="K334" s="1423"/>
      <c r="L334" s="1515"/>
      <c r="M334" s="2009"/>
      <c r="N334" s="2012"/>
      <c r="O334" s="251"/>
      <c r="P334" s="251"/>
      <c r="Q334" s="251"/>
      <c r="R334" s="251"/>
      <c r="S334" s="251"/>
      <c r="T334" s="251"/>
      <c r="U334" s="251"/>
      <c r="V334" s="251"/>
      <c r="W334" s="251"/>
      <c r="X334" s="251"/>
      <c r="Y334" s="251"/>
      <c r="Z334" s="251"/>
      <c r="AA334" s="251"/>
      <c r="AB334" s="251"/>
      <c r="AC334" s="251"/>
      <c r="AD334" s="251"/>
      <c r="AE334" s="251"/>
      <c r="AF334" s="251"/>
      <c r="AG334" s="251"/>
      <c r="AH334" s="251"/>
      <c r="AI334" s="251"/>
      <c r="AJ334" s="251"/>
      <c r="AK334" s="251"/>
    </row>
    <row r="335" spans="1:37">
      <c r="A335" s="1817">
        <v>900</v>
      </c>
      <c r="B335" s="1505"/>
      <c r="C335" s="1446" t="s">
        <v>412</v>
      </c>
      <c r="D335" s="1818"/>
      <c r="E335" s="1507">
        <f>E336+E356+E376+E394</f>
        <v>602500</v>
      </c>
      <c r="F335" s="1507">
        <f>F336+F356+F376+F394</f>
        <v>989389</v>
      </c>
      <c r="G335" s="1819">
        <f>G336+G356+G376+G394</f>
        <v>0</v>
      </c>
      <c r="H335" s="1507">
        <f>H336+H356+H376+H394</f>
        <v>574700</v>
      </c>
      <c r="I335" s="1820">
        <f>H335/E335</f>
        <v>0.95385892116182569</v>
      </c>
      <c r="J335" s="1506">
        <f>J336+J356+J376+J394</f>
        <v>0</v>
      </c>
      <c r="K335" s="1506">
        <f>K336+K356+K376+K394</f>
        <v>574700</v>
      </c>
      <c r="L335" s="1497">
        <f>K335/E335</f>
        <v>0.95385892116182569</v>
      </c>
      <c r="M335" s="1821"/>
      <c r="N335" s="741"/>
      <c r="O335" s="251"/>
      <c r="P335" s="251"/>
      <c r="Q335" s="251"/>
      <c r="R335" s="251"/>
      <c r="S335" s="251"/>
      <c r="T335" s="251"/>
      <c r="U335" s="251"/>
      <c r="V335" s="251"/>
      <c r="W335" s="251"/>
      <c r="X335" s="251"/>
      <c r="Y335" s="251"/>
      <c r="Z335" s="251"/>
      <c r="AA335" s="251"/>
      <c r="AB335" s="251"/>
      <c r="AC335" s="251"/>
      <c r="AD335" s="251"/>
      <c r="AE335" s="251"/>
      <c r="AF335" s="251"/>
      <c r="AG335" s="251"/>
      <c r="AH335" s="251"/>
      <c r="AI335" s="251"/>
      <c r="AJ335" s="251"/>
      <c r="AK335" s="251"/>
    </row>
    <row r="336" spans="1:37" ht="23.25" customHeight="1">
      <c r="A336" s="2026"/>
      <c r="B336" s="2032">
        <v>90019</v>
      </c>
      <c r="C336" s="1822" t="s">
        <v>413</v>
      </c>
      <c r="D336" s="1823"/>
      <c r="E336" s="1464">
        <f>E337+E351</f>
        <v>400000</v>
      </c>
      <c r="F336" s="1464">
        <f>F337+F351</f>
        <v>545152</v>
      </c>
      <c r="G336" s="1824">
        <f>G337+G351</f>
        <v>0</v>
      </c>
      <c r="H336" s="1464">
        <f>H337+H351</f>
        <v>400000</v>
      </c>
      <c r="I336" s="1825">
        <f t="shared" ref="I336:I341" si="42">H336/E336</f>
        <v>1</v>
      </c>
      <c r="J336" s="1463">
        <f>J337+J351</f>
        <v>0</v>
      </c>
      <c r="K336" s="1463">
        <f>K337+K351</f>
        <v>400000</v>
      </c>
      <c r="L336" s="1799">
        <f>K336/E336</f>
        <v>1</v>
      </c>
      <c r="M336" s="2009" t="s">
        <v>414</v>
      </c>
      <c r="N336" s="2010" t="s">
        <v>415</v>
      </c>
      <c r="O336" s="257"/>
      <c r="P336" s="257"/>
      <c r="Q336" s="257"/>
      <c r="R336" s="257"/>
      <c r="S336" s="257"/>
      <c r="T336" s="257"/>
      <c r="U336" s="257"/>
      <c r="V336" s="257"/>
      <c r="W336" s="257"/>
      <c r="X336" s="257"/>
      <c r="Y336" s="257"/>
      <c r="Z336" s="257"/>
      <c r="AA336" s="257"/>
      <c r="AB336" s="257"/>
      <c r="AC336" s="257"/>
      <c r="AD336" s="257"/>
      <c r="AE336" s="257"/>
      <c r="AF336" s="257"/>
      <c r="AG336" s="257"/>
      <c r="AH336" s="257"/>
      <c r="AI336" s="257"/>
      <c r="AJ336" s="257"/>
      <c r="AK336" s="257"/>
    </row>
    <row r="337" spans="1:37" ht="15.75" customHeight="1">
      <c r="A337" s="2004"/>
      <c r="B337" s="2033"/>
      <c r="C337" s="1418" t="s">
        <v>18</v>
      </c>
      <c r="D337" s="1419"/>
      <c r="E337" s="1310">
        <f>E338+E346+E347+E348+E349+E350</f>
        <v>400000</v>
      </c>
      <c r="F337" s="1310">
        <f>F338+F346+F347+F348+F349+F350</f>
        <v>545152</v>
      </c>
      <c r="G337" s="1311">
        <f>G338+G346+G347+G348+G349+G350</f>
        <v>0</v>
      </c>
      <c r="H337" s="1310">
        <f>H338+H346+H347+H348+H349+H350</f>
        <v>400000</v>
      </c>
      <c r="I337" s="1781">
        <f>H337/E337</f>
        <v>1</v>
      </c>
      <c r="J337" s="1313">
        <f>J338+J346+J347+J348+J349+J350</f>
        <v>0</v>
      </c>
      <c r="K337" s="1313">
        <f>K338+K346+K347+K348+K349+K350</f>
        <v>400000</v>
      </c>
      <c r="L337" s="1782">
        <f t="shared" ref="L337:L345" si="43">K337/E337</f>
        <v>1</v>
      </c>
      <c r="M337" s="2009"/>
      <c r="N337" s="2011"/>
      <c r="O337" s="257"/>
      <c r="P337" s="257"/>
      <c r="Q337" s="257"/>
      <c r="R337" s="257"/>
      <c r="S337" s="257"/>
      <c r="T337" s="257"/>
      <c r="U337" s="257"/>
      <c r="V337" s="257"/>
      <c r="W337" s="257"/>
      <c r="X337" s="257"/>
      <c r="Y337" s="257"/>
      <c r="Z337" s="257"/>
      <c r="AA337" s="257"/>
      <c r="AB337" s="257"/>
      <c r="AC337" s="257"/>
      <c r="AD337" s="257"/>
      <c r="AE337" s="257"/>
      <c r="AF337" s="257"/>
      <c r="AG337" s="257"/>
      <c r="AH337" s="257"/>
      <c r="AI337" s="257"/>
      <c r="AJ337" s="257"/>
      <c r="AK337" s="257"/>
    </row>
    <row r="338" spans="1:37" ht="15.75" customHeight="1">
      <c r="A338" s="2004"/>
      <c r="B338" s="2033"/>
      <c r="C338" s="1422" t="s">
        <v>19</v>
      </c>
      <c r="D338" s="1309"/>
      <c r="E338" s="1425">
        <f>SUM(E339+E343)</f>
        <v>400000</v>
      </c>
      <c r="F338" s="1425">
        <f t="shared" ref="F338:K338" si="44">SUM(F339+F343)</f>
        <v>545152</v>
      </c>
      <c r="G338" s="1783">
        <f t="shared" si="44"/>
        <v>0</v>
      </c>
      <c r="H338" s="1425">
        <f t="shared" si="44"/>
        <v>400000</v>
      </c>
      <c r="I338" s="1312">
        <f>H338/E338</f>
        <v>1</v>
      </c>
      <c r="J338" s="1423">
        <f t="shared" si="44"/>
        <v>0</v>
      </c>
      <c r="K338" s="1423">
        <f t="shared" si="44"/>
        <v>400000</v>
      </c>
      <c r="L338" s="1749">
        <f t="shared" si="43"/>
        <v>1</v>
      </c>
      <c r="M338" s="2009"/>
      <c r="N338" s="2011"/>
    </row>
    <row r="339" spans="1:37" ht="15" customHeight="1">
      <c r="A339" s="2004"/>
      <c r="B339" s="2033"/>
      <c r="C339" s="2036" t="s">
        <v>20</v>
      </c>
      <c r="D339" s="1309" t="s">
        <v>366</v>
      </c>
      <c r="E339" s="1425">
        <f>E340+E341+E342</f>
        <v>371000</v>
      </c>
      <c r="F339" s="1425">
        <f>F340+F341+F342</f>
        <v>511152</v>
      </c>
      <c r="G339" s="1783">
        <f>G340+G341+G342</f>
        <v>0</v>
      </c>
      <c r="H339" s="1425">
        <f>SUM(H340:H342)</f>
        <v>370000</v>
      </c>
      <c r="I339" s="1312">
        <f>H339/E339</f>
        <v>0.99730458221024254</v>
      </c>
      <c r="J339" s="1423">
        <f>J340+J341+J342</f>
        <v>0</v>
      </c>
      <c r="K339" s="1423">
        <f>SUM(K340:K342)</f>
        <v>370000</v>
      </c>
      <c r="L339" s="1749">
        <f t="shared" si="43"/>
        <v>0.99730458221024254</v>
      </c>
      <c r="M339" s="2009"/>
      <c r="N339" s="2011"/>
    </row>
    <row r="340" spans="1:37" ht="15" customHeight="1">
      <c r="A340" s="2004"/>
      <c r="B340" s="2033"/>
      <c r="C340" s="2036"/>
      <c r="D340" s="1784">
        <v>4010</v>
      </c>
      <c r="E340" s="1475">
        <v>310097</v>
      </c>
      <c r="F340" s="1475">
        <v>427242</v>
      </c>
      <c r="G340" s="1787"/>
      <c r="H340" s="1475">
        <v>309261</v>
      </c>
      <c r="I340" s="1786">
        <f t="shared" si="42"/>
        <v>0.99730406937184168</v>
      </c>
      <c r="J340" s="1474"/>
      <c r="K340" s="1474">
        <f>J340+H340</f>
        <v>309261</v>
      </c>
      <c r="L340" s="1749">
        <f t="shared" si="43"/>
        <v>0.99730406937184168</v>
      </c>
      <c r="M340" s="2009"/>
      <c r="N340" s="2011"/>
    </row>
    <row r="341" spans="1:37" ht="15" customHeight="1">
      <c r="A341" s="2004"/>
      <c r="B341" s="2033"/>
      <c r="C341" s="2036"/>
      <c r="D341" s="1784">
        <v>4110</v>
      </c>
      <c r="E341" s="1475">
        <v>53306</v>
      </c>
      <c r="F341" s="1475">
        <v>73443</v>
      </c>
      <c r="G341" s="1787"/>
      <c r="H341" s="1475">
        <v>53162</v>
      </c>
      <c r="I341" s="1786">
        <f t="shared" si="42"/>
        <v>0.99729861554046451</v>
      </c>
      <c r="J341" s="1474"/>
      <c r="K341" s="1474">
        <f t="shared" ref="K341:K342" si="45">J341+H341</f>
        <v>53162</v>
      </c>
      <c r="L341" s="1749">
        <f t="shared" si="43"/>
        <v>0.99729861554046451</v>
      </c>
      <c r="M341" s="2009"/>
      <c r="N341" s="2011"/>
    </row>
    <row r="342" spans="1:37" ht="15" customHeight="1">
      <c r="A342" s="2004"/>
      <c r="B342" s="2033"/>
      <c r="C342" s="2036"/>
      <c r="D342" s="1784">
        <v>4120</v>
      </c>
      <c r="E342" s="1475">
        <v>7597</v>
      </c>
      <c r="F342" s="1475">
        <v>10467</v>
      </c>
      <c r="G342" s="1787"/>
      <c r="H342" s="1475">
        <v>7577</v>
      </c>
      <c r="I342" s="1786">
        <f>H342/E342</f>
        <v>0.99736738186126106</v>
      </c>
      <c r="J342" s="1474"/>
      <c r="K342" s="1474">
        <f t="shared" si="45"/>
        <v>7577</v>
      </c>
      <c r="L342" s="1749">
        <f t="shared" si="43"/>
        <v>0.99736738186126106</v>
      </c>
      <c r="M342" s="2009"/>
      <c r="N342" s="2011"/>
    </row>
    <row r="343" spans="1:37" ht="15" customHeight="1">
      <c r="A343" s="2004"/>
      <c r="B343" s="2033"/>
      <c r="C343" s="2014" t="s">
        <v>21</v>
      </c>
      <c r="D343" s="1429" t="s">
        <v>366</v>
      </c>
      <c r="E343" s="1425">
        <f>SUM(E344:E345)</f>
        <v>29000</v>
      </c>
      <c r="F343" s="1425">
        <f t="shared" ref="F343:J343" si="46">SUM(F344:F345)</f>
        <v>34000</v>
      </c>
      <c r="G343" s="1783">
        <f t="shared" si="46"/>
        <v>0</v>
      </c>
      <c r="H343" s="1425">
        <f t="shared" si="46"/>
        <v>30000</v>
      </c>
      <c r="I343" s="1312">
        <f>H343/E343</f>
        <v>1.0344827586206897</v>
      </c>
      <c r="J343" s="1423">
        <f t="shared" si="46"/>
        <v>0</v>
      </c>
      <c r="K343" s="1423">
        <f>SUM(K344:K345)</f>
        <v>30000</v>
      </c>
      <c r="L343" s="1749">
        <f t="shared" si="43"/>
        <v>1.0344827586206897</v>
      </c>
      <c r="M343" s="2009"/>
      <c r="N343" s="2011"/>
    </row>
    <row r="344" spans="1:37" ht="15" customHeight="1">
      <c r="A344" s="2004"/>
      <c r="B344" s="2033"/>
      <c r="C344" s="2014"/>
      <c r="D344" s="1784">
        <v>4210</v>
      </c>
      <c r="E344" s="1475">
        <v>14000</v>
      </c>
      <c r="F344" s="1475">
        <v>19000</v>
      </c>
      <c r="G344" s="1787"/>
      <c r="H344" s="1475">
        <v>10000</v>
      </c>
      <c r="I344" s="1786">
        <f>H344/E344</f>
        <v>0.7142857142857143</v>
      </c>
      <c r="J344" s="1474"/>
      <c r="K344" s="1760">
        <f>J344+H344</f>
        <v>10000</v>
      </c>
      <c r="L344" s="1749">
        <f t="shared" si="43"/>
        <v>0.7142857142857143</v>
      </c>
      <c r="M344" s="2009"/>
      <c r="N344" s="2011"/>
    </row>
    <row r="345" spans="1:37" ht="15" customHeight="1">
      <c r="A345" s="2004"/>
      <c r="B345" s="2033"/>
      <c r="C345" s="2014"/>
      <c r="D345" s="1784">
        <v>4700</v>
      </c>
      <c r="E345" s="1475">
        <v>15000</v>
      </c>
      <c r="F345" s="1475">
        <v>15000</v>
      </c>
      <c r="G345" s="1785"/>
      <c r="H345" s="1475">
        <v>20000</v>
      </c>
      <c r="I345" s="1786">
        <f>H345/E345</f>
        <v>1.3333333333333333</v>
      </c>
      <c r="J345" s="1474"/>
      <c r="K345" s="1760">
        <f>J345+H345</f>
        <v>20000</v>
      </c>
      <c r="L345" s="1749">
        <f t="shared" si="43"/>
        <v>1.3333333333333333</v>
      </c>
      <c r="M345" s="2009"/>
      <c r="N345" s="2011"/>
    </row>
    <row r="346" spans="1:37" ht="12.75" customHeight="1">
      <c r="A346" s="2004"/>
      <c r="B346" s="2033"/>
      <c r="C346" s="1422" t="s">
        <v>23</v>
      </c>
      <c r="D346" s="1309"/>
      <c r="E346" s="1425"/>
      <c r="F346" s="1425"/>
      <c r="G346" s="1789"/>
      <c r="H346" s="1425"/>
      <c r="I346" s="1786"/>
      <c r="J346" s="1423"/>
      <c r="K346" s="1423"/>
      <c r="L346" s="1515"/>
      <c r="M346" s="2009"/>
      <c r="N346" s="2011"/>
    </row>
    <row r="347" spans="1:37" ht="12.75" customHeight="1" thickBot="1">
      <c r="A347" s="2004"/>
      <c r="B347" s="2033"/>
      <c r="C347" s="1422" t="s">
        <v>24</v>
      </c>
      <c r="D347" s="1309"/>
      <c r="E347" s="1425"/>
      <c r="F347" s="1425"/>
      <c r="G347" s="1789"/>
      <c r="H347" s="1425"/>
      <c r="I347" s="1786"/>
      <c r="J347" s="1423"/>
      <c r="K347" s="1423"/>
      <c r="L347" s="1515"/>
      <c r="M347" s="2035"/>
      <c r="N347" s="2023"/>
    </row>
    <row r="348" spans="1:37" ht="22.5">
      <c r="A348" s="2004"/>
      <c r="B348" s="2033"/>
      <c r="C348" s="1428" t="s">
        <v>25</v>
      </c>
      <c r="D348" s="1309"/>
      <c r="E348" s="1425"/>
      <c r="F348" s="1826"/>
      <c r="G348" s="1789"/>
      <c r="H348" s="1425"/>
      <c r="I348" s="1786"/>
      <c r="J348" s="1423"/>
      <c r="K348" s="1423"/>
      <c r="L348" s="1515"/>
      <c r="M348" s="2037"/>
      <c r="N348" s="2040"/>
    </row>
    <row r="349" spans="1:37" ht="12.75" customHeight="1">
      <c r="A349" s="2004"/>
      <c r="B349" s="2033"/>
      <c r="C349" s="1422" t="s">
        <v>26</v>
      </c>
      <c r="D349" s="1309"/>
      <c r="E349" s="1425"/>
      <c r="F349" s="1425"/>
      <c r="G349" s="1789"/>
      <c r="H349" s="1425"/>
      <c r="I349" s="1786"/>
      <c r="J349" s="1423"/>
      <c r="K349" s="1423"/>
      <c r="L349" s="1515"/>
      <c r="M349" s="2038"/>
      <c r="N349" s="2030"/>
    </row>
    <row r="350" spans="1:37" ht="12.75" customHeight="1">
      <c r="A350" s="2004"/>
      <c r="B350" s="2033"/>
      <c r="C350" s="1422" t="s">
        <v>27</v>
      </c>
      <c r="D350" s="1309"/>
      <c r="E350" s="1425"/>
      <c r="F350" s="1425"/>
      <c r="G350" s="1789"/>
      <c r="H350" s="1425"/>
      <c r="I350" s="1786"/>
      <c r="J350" s="1423"/>
      <c r="K350" s="1423"/>
      <c r="L350" s="1515"/>
      <c r="M350" s="2038"/>
      <c r="N350" s="2030"/>
    </row>
    <row r="351" spans="1:37" ht="12.75" customHeight="1">
      <c r="A351" s="2004"/>
      <c r="B351" s="2033"/>
      <c r="C351" s="1308" t="s">
        <v>28</v>
      </c>
      <c r="D351" s="1419"/>
      <c r="E351" s="1310">
        <f>SUM(E352+E354+E355)</f>
        <v>0</v>
      </c>
      <c r="F351" s="1310">
        <f>SUM(F352+F354+F355)</f>
        <v>0</v>
      </c>
      <c r="G351" s="1827"/>
      <c r="H351" s="1310">
        <f>H352+H354+H355</f>
        <v>0</v>
      </c>
      <c r="I351" s="1781"/>
      <c r="J351" s="1313">
        <v>0</v>
      </c>
      <c r="K351" s="1313">
        <f>K352+K354+K355</f>
        <v>0</v>
      </c>
      <c r="L351" s="1314"/>
      <c r="M351" s="2038"/>
      <c r="N351" s="2030"/>
    </row>
    <row r="352" spans="1:37" ht="12.75" customHeight="1">
      <c r="A352" s="2004"/>
      <c r="B352" s="2033"/>
      <c r="C352" s="1422" t="s">
        <v>29</v>
      </c>
      <c r="D352" s="1429"/>
      <c r="E352" s="1425"/>
      <c r="F352" s="1425"/>
      <c r="G352" s="1789"/>
      <c r="H352" s="1425"/>
      <c r="I352" s="1312"/>
      <c r="J352" s="1423"/>
      <c r="K352" s="1423"/>
      <c r="L352" s="1515"/>
      <c r="M352" s="2038"/>
      <c r="N352" s="2030"/>
    </row>
    <row r="353" spans="1:14" ht="22.5">
      <c r="A353" s="2004"/>
      <c r="B353" s="2033"/>
      <c r="C353" s="1428" t="s">
        <v>30</v>
      </c>
      <c r="D353" s="1309"/>
      <c r="E353" s="1425"/>
      <c r="F353" s="1425"/>
      <c r="G353" s="1789"/>
      <c r="H353" s="1425"/>
      <c r="I353" s="1786"/>
      <c r="J353" s="1423"/>
      <c r="K353" s="1423"/>
      <c r="L353" s="1515"/>
      <c r="M353" s="2038"/>
      <c r="N353" s="2030"/>
    </row>
    <row r="354" spans="1:14" ht="12.75" customHeight="1">
      <c r="A354" s="2004"/>
      <c r="B354" s="2033"/>
      <c r="C354" s="1422" t="s">
        <v>31</v>
      </c>
      <c r="D354" s="1309"/>
      <c r="E354" s="1425"/>
      <c r="F354" s="1425"/>
      <c r="G354" s="1789"/>
      <c r="H354" s="1425"/>
      <c r="I354" s="1786"/>
      <c r="J354" s="1423"/>
      <c r="K354" s="1423"/>
      <c r="L354" s="1515"/>
      <c r="M354" s="2038"/>
      <c r="N354" s="2030"/>
    </row>
    <row r="355" spans="1:14" ht="12.75" customHeight="1" thickBot="1">
      <c r="A355" s="2027"/>
      <c r="B355" s="2034"/>
      <c r="C355" s="1039" t="s">
        <v>32</v>
      </c>
      <c r="D355" s="1633"/>
      <c r="E355" s="1637"/>
      <c r="F355" s="1637"/>
      <c r="G355" s="1806"/>
      <c r="H355" s="1637"/>
      <c r="I355" s="1828"/>
      <c r="J355" s="1634"/>
      <c r="K355" s="1634"/>
      <c r="L355" s="1808"/>
      <c r="M355" s="2039"/>
      <c r="N355" s="2041"/>
    </row>
    <row r="356" spans="1:14" ht="22.5">
      <c r="A356" s="2003"/>
      <c r="B356" s="2006">
        <v>90020</v>
      </c>
      <c r="C356" s="1777" t="s">
        <v>416</v>
      </c>
      <c r="D356" s="1778"/>
      <c r="E356" s="1664">
        <f>SUM(E357+E371)</f>
        <v>101200</v>
      </c>
      <c r="F356" s="1664">
        <f>SUM(F357+F371)</f>
        <v>290129</v>
      </c>
      <c r="G356" s="1779">
        <f>SUM(G357+G371)</f>
        <v>0</v>
      </c>
      <c r="H356" s="1664">
        <f>SUM(H357+H371)</f>
        <v>73400</v>
      </c>
      <c r="I356" s="1780">
        <f t="shared" ref="I356:I365" si="47">H356/E356</f>
        <v>0.72529644268774707</v>
      </c>
      <c r="J356" s="1663">
        <f>SUM(J357+J371)</f>
        <v>0</v>
      </c>
      <c r="K356" s="1663">
        <f>SUM(K357+K371)</f>
        <v>73400</v>
      </c>
      <c r="L356" s="1742">
        <f>K356/E356</f>
        <v>0.72529644268774707</v>
      </c>
      <c r="M356" s="2008" t="s">
        <v>417</v>
      </c>
      <c r="N356" s="2010" t="s">
        <v>418</v>
      </c>
    </row>
    <row r="357" spans="1:14">
      <c r="A357" s="2004"/>
      <c r="B357" s="2007"/>
      <c r="C357" s="1418" t="s">
        <v>18</v>
      </c>
      <c r="D357" s="1419"/>
      <c r="E357" s="1310">
        <f>SUM(E358+E366+E367+E368+E369+E370)</f>
        <v>101200</v>
      </c>
      <c r="F357" s="1310">
        <f>SUM(F358+F366+F367+F368+F369+F370)</f>
        <v>290129</v>
      </c>
      <c r="G357" s="1311">
        <f>SUM(G358+G366+G367+G368+G369+G370)</f>
        <v>0</v>
      </c>
      <c r="H357" s="1310">
        <f>SUM(H358,H371)</f>
        <v>73400</v>
      </c>
      <c r="I357" s="1781">
        <f t="shared" si="47"/>
        <v>0.72529644268774707</v>
      </c>
      <c r="J357" s="1313">
        <f>SUM(J358+J366+J367+J368+J369+J370)</f>
        <v>0</v>
      </c>
      <c r="K357" s="912">
        <f>K358+K366+K367+K368+K369+K370</f>
        <v>73400</v>
      </c>
      <c r="L357" s="1782">
        <f t="shared" ref="L357:L365" si="48">K357/E357</f>
        <v>0.72529644268774707</v>
      </c>
      <c r="M357" s="2009"/>
      <c r="N357" s="2011"/>
    </row>
    <row r="358" spans="1:14" ht="15" customHeight="1">
      <c r="A358" s="2004"/>
      <c r="B358" s="2007"/>
      <c r="C358" s="1422" t="s">
        <v>19</v>
      </c>
      <c r="D358" s="1309"/>
      <c r="E358" s="1425">
        <f>E359+E363</f>
        <v>101200</v>
      </c>
      <c r="F358" s="1425">
        <f>F359+F363</f>
        <v>290129</v>
      </c>
      <c r="G358" s="1783">
        <f>G359+G363</f>
        <v>0</v>
      </c>
      <c r="H358" s="1310">
        <f>SUM(H359,H363)</f>
        <v>73400</v>
      </c>
      <c r="I358" s="1312">
        <f t="shared" si="47"/>
        <v>0.72529644268774707</v>
      </c>
      <c r="J358" s="1423">
        <f>J359+J363</f>
        <v>0</v>
      </c>
      <c r="K358" s="912">
        <f>SUM(K363,K359)</f>
        <v>73400</v>
      </c>
      <c r="L358" s="1749">
        <f t="shared" si="48"/>
        <v>0.72529644268774707</v>
      </c>
      <c r="M358" s="2009"/>
      <c r="N358" s="2011"/>
    </row>
    <row r="359" spans="1:14" ht="17.25" customHeight="1">
      <c r="A359" s="2004"/>
      <c r="B359" s="2007"/>
      <c r="C359" s="2013" t="s">
        <v>20</v>
      </c>
      <c r="D359" s="1309" t="s">
        <v>366</v>
      </c>
      <c r="E359" s="1425">
        <f>SUM(E360:E362)</f>
        <v>98200</v>
      </c>
      <c r="F359" s="1425">
        <f>SUM(F360:F362)</f>
        <v>287129</v>
      </c>
      <c r="G359" s="1783">
        <f>SUM(G360:G362)</f>
        <v>0</v>
      </c>
      <c r="H359" s="1425">
        <f>SUM(H360:H362)</f>
        <v>70400</v>
      </c>
      <c r="I359" s="1312">
        <f t="shared" si="47"/>
        <v>0.71690427698574333</v>
      </c>
      <c r="J359" s="1423">
        <f>SUM(J360:J362)</f>
        <v>0</v>
      </c>
      <c r="K359" s="907">
        <f>SUM(K360:K362)</f>
        <v>70400</v>
      </c>
      <c r="L359" s="1749">
        <f t="shared" si="48"/>
        <v>0.71690427698574333</v>
      </c>
      <c r="M359" s="2009"/>
      <c r="N359" s="2011"/>
    </row>
    <row r="360" spans="1:14">
      <c r="A360" s="2004"/>
      <c r="B360" s="2007"/>
      <c r="C360" s="2013"/>
      <c r="D360" s="1784">
        <v>4010</v>
      </c>
      <c r="E360" s="1475">
        <v>82080</v>
      </c>
      <c r="F360" s="1475">
        <v>239994</v>
      </c>
      <c r="G360" s="1785"/>
      <c r="H360" s="1475">
        <v>58843</v>
      </c>
      <c r="I360" s="1786">
        <f t="shared" si="47"/>
        <v>0.71689814814814812</v>
      </c>
      <c r="J360" s="1474"/>
      <c r="K360" s="1760">
        <f>J360+H360</f>
        <v>58843</v>
      </c>
      <c r="L360" s="1749">
        <f t="shared" si="48"/>
        <v>0.71689814814814812</v>
      </c>
      <c r="M360" s="2009"/>
      <c r="N360" s="2011"/>
    </row>
    <row r="361" spans="1:14">
      <c r="A361" s="2004"/>
      <c r="B361" s="2007"/>
      <c r="C361" s="2013"/>
      <c r="D361" s="1784">
        <v>4110</v>
      </c>
      <c r="E361" s="1475">
        <v>14110</v>
      </c>
      <c r="F361" s="1475">
        <v>41256</v>
      </c>
      <c r="G361" s="1785"/>
      <c r="H361" s="1475">
        <v>10115</v>
      </c>
      <c r="I361" s="1786">
        <f t="shared" si="47"/>
        <v>0.7168674698795181</v>
      </c>
      <c r="J361" s="1474"/>
      <c r="K361" s="1760">
        <f t="shared" ref="K361:K362" si="49">J361+H361</f>
        <v>10115</v>
      </c>
      <c r="L361" s="1749">
        <f t="shared" si="48"/>
        <v>0.7168674698795181</v>
      </c>
      <c r="M361" s="2009"/>
      <c r="N361" s="2011"/>
    </row>
    <row r="362" spans="1:14">
      <c r="A362" s="2004"/>
      <c r="B362" s="2007"/>
      <c r="C362" s="2013"/>
      <c r="D362" s="1784">
        <v>4120</v>
      </c>
      <c r="E362" s="1475">
        <v>2010</v>
      </c>
      <c r="F362" s="1475">
        <v>5879</v>
      </c>
      <c r="G362" s="1785"/>
      <c r="H362" s="1475">
        <v>1442</v>
      </c>
      <c r="I362" s="1786">
        <f t="shared" si="47"/>
        <v>0.71741293532338313</v>
      </c>
      <c r="J362" s="1474"/>
      <c r="K362" s="1760">
        <f t="shared" si="49"/>
        <v>1442</v>
      </c>
      <c r="L362" s="1749">
        <f t="shared" si="48"/>
        <v>0.71741293532338313</v>
      </c>
      <c r="M362" s="2009"/>
      <c r="N362" s="2011"/>
    </row>
    <row r="363" spans="1:14" ht="17.25" customHeight="1">
      <c r="A363" s="2004"/>
      <c r="B363" s="2007"/>
      <c r="C363" s="2014" t="s">
        <v>21</v>
      </c>
      <c r="D363" s="1429">
        <v>4700</v>
      </c>
      <c r="E363" s="1425">
        <f>SUM(E364:E365)</f>
        <v>3000</v>
      </c>
      <c r="F363" s="1425">
        <f>SUM(F364:F365)</f>
        <v>3000</v>
      </c>
      <c r="G363" s="1783">
        <f>SUM(G364:G365)</f>
        <v>0</v>
      </c>
      <c r="H363" s="1425">
        <f>SUM(H364:H365)</f>
        <v>3000</v>
      </c>
      <c r="I363" s="1312">
        <f t="shared" si="47"/>
        <v>1</v>
      </c>
      <c r="J363" s="1423">
        <f>SUM(J364:J365)</f>
        <v>0</v>
      </c>
      <c r="K363" s="907">
        <f>SUM(K364:K365)</f>
        <v>3000</v>
      </c>
      <c r="L363" s="1749">
        <f t="shared" si="48"/>
        <v>1</v>
      </c>
      <c r="M363" s="2009"/>
      <c r="N363" s="2011"/>
    </row>
    <row r="364" spans="1:14" ht="14.25" hidden="1" customHeight="1">
      <c r="A364" s="2004"/>
      <c r="B364" s="2007"/>
      <c r="C364" s="2014"/>
      <c r="D364" s="1784">
        <v>4210</v>
      </c>
      <c r="E364" s="1475">
        <v>0</v>
      </c>
      <c r="F364" s="1475">
        <v>0</v>
      </c>
      <c r="G364" s="1787"/>
      <c r="H364" s="1475">
        <f>E364+G364</f>
        <v>0</v>
      </c>
      <c r="I364" s="1786" t="e">
        <f t="shared" si="47"/>
        <v>#DIV/0!</v>
      </c>
      <c r="J364" s="1474"/>
      <c r="K364" s="1354">
        <f>H364+J364</f>
        <v>0</v>
      </c>
      <c r="L364" s="1749" t="e">
        <f t="shared" si="48"/>
        <v>#DIV/0!</v>
      </c>
      <c r="M364" s="2009"/>
      <c r="N364" s="2011"/>
    </row>
    <row r="365" spans="1:14" hidden="1">
      <c r="A365" s="2004"/>
      <c r="B365" s="2007"/>
      <c r="C365" s="2014"/>
      <c r="D365" s="1784">
        <v>4700</v>
      </c>
      <c r="E365" s="1475">
        <v>3000</v>
      </c>
      <c r="F365" s="1475">
        <v>3000</v>
      </c>
      <c r="G365" s="1787"/>
      <c r="H365" s="1475">
        <v>3000</v>
      </c>
      <c r="I365" s="1786">
        <f t="shared" si="47"/>
        <v>1</v>
      </c>
      <c r="J365" s="1474"/>
      <c r="K365" s="1354">
        <f>J365+H365</f>
        <v>3000</v>
      </c>
      <c r="L365" s="1749">
        <f t="shared" si="48"/>
        <v>1</v>
      </c>
      <c r="M365" s="2009"/>
      <c r="N365" s="2011"/>
    </row>
    <row r="366" spans="1:14" ht="15" customHeight="1">
      <c r="A366" s="2004"/>
      <c r="B366" s="2007"/>
      <c r="C366" s="1422" t="s">
        <v>23</v>
      </c>
      <c r="D366" s="1429"/>
      <c r="E366" s="1788"/>
      <c r="F366" s="1788"/>
      <c r="G366" s="1789"/>
      <c r="H366" s="1425"/>
      <c r="I366" s="1312"/>
      <c r="J366" s="1423"/>
      <c r="K366" s="1423"/>
      <c r="L366" s="1515"/>
      <c r="M366" s="2009"/>
      <c r="N366" s="2011"/>
    </row>
    <row r="367" spans="1:14" ht="13.5" customHeight="1">
      <c r="A367" s="2004"/>
      <c r="B367" s="2007"/>
      <c r="C367" s="1422" t="s">
        <v>24</v>
      </c>
      <c r="D367" s="1429"/>
      <c r="E367" s="1788"/>
      <c r="F367" s="1788"/>
      <c r="G367" s="1789"/>
      <c r="H367" s="1425"/>
      <c r="I367" s="1312"/>
      <c r="J367" s="1423"/>
      <c r="K367" s="1423"/>
      <c r="L367" s="1515"/>
      <c r="M367" s="2009"/>
      <c r="N367" s="2011"/>
    </row>
    <row r="368" spans="1:14" ht="22.5">
      <c r="A368" s="2004"/>
      <c r="B368" s="2007"/>
      <c r="C368" s="1428" t="s">
        <v>25</v>
      </c>
      <c r="D368" s="1429"/>
      <c r="E368" s="1788"/>
      <c r="F368" s="1788"/>
      <c r="G368" s="1789"/>
      <c r="H368" s="1425"/>
      <c r="I368" s="1312"/>
      <c r="J368" s="1423"/>
      <c r="K368" s="1423"/>
      <c r="L368" s="1515"/>
      <c r="M368" s="2009"/>
      <c r="N368" s="2011"/>
    </row>
    <row r="369" spans="1:14" ht="14.25" customHeight="1">
      <c r="A369" s="2004"/>
      <c r="B369" s="2007"/>
      <c r="C369" s="1422" t="s">
        <v>26</v>
      </c>
      <c r="D369" s="1429"/>
      <c r="E369" s="1788"/>
      <c r="F369" s="1788"/>
      <c r="G369" s="1789"/>
      <c r="H369" s="1425"/>
      <c r="I369" s="1312"/>
      <c r="J369" s="1423"/>
      <c r="K369" s="1423"/>
      <c r="L369" s="1515"/>
      <c r="M369" s="2009"/>
      <c r="N369" s="2011"/>
    </row>
    <row r="370" spans="1:14" ht="14.25" customHeight="1">
      <c r="A370" s="2004"/>
      <c r="B370" s="2007"/>
      <c r="C370" s="1422" t="s">
        <v>27</v>
      </c>
      <c r="D370" s="1429"/>
      <c r="E370" s="1788"/>
      <c r="F370" s="1788"/>
      <c r="G370" s="1789"/>
      <c r="H370" s="1425"/>
      <c r="I370" s="1312"/>
      <c r="J370" s="1423"/>
      <c r="K370" s="1423"/>
      <c r="L370" s="1515"/>
      <c r="M370" s="2009"/>
      <c r="N370" s="2011"/>
    </row>
    <row r="371" spans="1:14">
      <c r="A371" s="2004"/>
      <c r="B371" s="2007"/>
      <c r="C371" s="1308" t="s">
        <v>28</v>
      </c>
      <c r="D371" s="1790"/>
      <c r="E371" s="1791">
        <f>SUM(E372+E374+E375)</f>
        <v>0</v>
      </c>
      <c r="F371" s="1310">
        <f>SUM(F372+F374+F375)</f>
        <v>0</v>
      </c>
      <c r="G371" s="1792">
        <f>SUM(G372+G374+G375)</f>
        <v>0</v>
      </c>
      <c r="H371" s="1791">
        <f>SUM(H372+H374+H375)</f>
        <v>0</v>
      </c>
      <c r="I371" s="1781"/>
      <c r="J371" s="1793">
        <f>SUM(J372+J374+J375)</f>
        <v>0</v>
      </c>
      <c r="K371" s="1793">
        <f>SUM(K372+K374+K375)</f>
        <v>0</v>
      </c>
      <c r="L371" s="1314"/>
      <c r="M371" s="2009"/>
      <c r="N371" s="2011"/>
    </row>
    <row r="372" spans="1:14">
      <c r="A372" s="2004"/>
      <c r="B372" s="2007"/>
      <c r="C372" s="1422" t="s">
        <v>29</v>
      </c>
      <c r="D372" s="1784"/>
      <c r="E372" s="1788"/>
      <c r="F372" s="1425"/>
      <c r="G372" s="1789"/>
      <c r="H372" s="1425"/>
      <c r="I372" s="1312"/>
      <c r="J372" s="1423"/>
      <c r="K372" s="1423"/>
      <c r="L372" s="1515"/>
      <c r="M372" s="2009"/>
      <c r="N372" s="2011"/>
    </row>
    <row r="373" spans="1:14" ht="22.5">
      <c r="A373" s="2004"/>
      <c r="B373" s="2007"/>
      <c r="C373" s="1428" t="s">
        <v>30</v>
      </c>
      <c r="D373" s="1429"/>
      <c r="E373" s="1788"/>
      <c r="F373" s="1788"/>
      <c r="G373" s="1789"/>
      <c r="H373" s="1425"/>
      <c r="I373" s="1312"/>
      <c r="J373" s="1423"/>
      <c r="K373" s="1423"/>
      <c r="L373" s="1515"/>
      <c r="M373" s="2009"/>
      <c r="N373" s="2011"/>
    </row>
    <row r="374" spans="1:14" ht="22.5" customHeight="1">
      <c r="A374" s="2004"/>
      <c r="B374" s="2007"/>
      <c r="C374" s="1422" t="s">
        <v>31</v>
      </c>
      <c r="D374" s="1429"/>
      <c r="E374" s="1788"/>
      <c r="F374" s="1788"/>
      <c r="G374" s="1789"/>
      <c r="H374" s="1425"/>
      <c r="I374" s="1312"/>
      <c r="J374" s="1423"/>
      <c r="K374" s="1423"/>
      <c r="L374" s="1515"/>
      <c r="M374" s="2009"/>
      <c r="N374" s="2011"/>
    </row>
    <row r="375" spans="1:14" ht="17.25" customHeight="1">
      <c r="A375" s="2005"/>
      <c r="B375" s="2007"/>
      <c r="C375" s="1422" t="s">
        <v>32</v>
      </c>
      <c r="D375" s="1794"/>
      <c r="E375" s="1795"/>
      <c r="F375" s="1795"/>
      <c r="G375" s="1789"/>
      <c r="H375" s="1425"/>
      <c r="I375" s="1312"/>
      <c r="J375" s="1423"/>
      <c r="K375" s="1423"/>
      <c r="L375" s="1515"/>
      <c r="M375" s="2009"/>
      <c r="N375" s="2012"/>
    </row>
    <row r="376" spans="1:14" ht="22.5" customHeight="1">
      <c r="A376" s="2026"/>
      <c r="B376" s="2007">
        <v>90024</v>
      </c>
      <c r="C376" s="1447" t="s">
        <v>419</v>
      </c>
      <c r="D376" s="1796"/>
      <c r="E376" s="1464">
        <f>E377+E389</f>
        <v>1300</v>
      </c>
      <c r="F376" s="1464">
        <f>F377+F389</f>
        <v>2472</v>
      </c>
      <c r="G376" s="1797">
        <f>G377+G389</f>
        <v>0</v>
      </c>
      <c r="H376" s="1464">
        <f>H377+H389</f>
        <v>1300</v>
      </c>
      <c r="I376" s="1798">
        <f>H376/E376</f>
        <v>1</v>
      </c>
      <c r="J376" s="1463">
        <f>J377+J389</f>
        <v>0</v>
      </c>
      <c r="K376" s="1463">
        <f>K377+K389</f>
        <v>1300</v>
      </c>
      <c r="L376" s="1799">
        <f>K376/E376</f>
        <v>1</v>
      </c>
      <c r="M376" s="2009" t="s">
        <v>420</v>
      </c>
      <c r="N376" s="2010" t="s">
        <v>421</v>
      </c>
    </row>
    <row r="377" spans="1:14" ht="13.5" customHeight="1">
      <c r="A377" s="2004"/>
      <c r="B377" s="2007"/>
      <c r="C377" s="1418" t="s">
        <v>18</v>
      </c>
      <c r="D377" s="1611"/>
      <c r="E377" s="1310">
        <f>E378+E384+E385+E386+E387+E388</f>
        <v>1300</v>
      </c>
      <c r="F377" s="1310">
        <f>F378+F384+F385+F386+F387+F388</f>
        <v>2472</v>
      </c>
      <c r="G377" s="1800">
        <f>G378+G384+G385+G386+G387+G388</f>
        <v>0</v>
      </c>
      <c r="H377" s="1310">
        <f>E377+G377</f>
        <v>1300</v>
      </c>
      <c r="I377" s="1747">
        <f>H377/E377</f>
        <v>1</v>
      </c>
      <c r="J377" s="1313">
        <f>J378+J384+J385+J386+J387+J388</f>
        <v>0</v>
      </c>
      <c r="K377" s="1313">
        <f>SUM(K378,K384,K385,K386,K387,K388)</f>
        <v>1300</v>
      </c>
      <c r="L377" s="1749">
        <f t="shared" ref="L377:L383" si="50">K377/E377</f>
        <v>1</v>
      </c>
      <c r="M377" s="2009"/>
      <c r="N377" s="2011"/>
    </row>
    <row r="378" spans="1:14" ht="13.5" customHeight="1">
      <c r="A378" s="2004"/>
      <c r="B378" s="2007"/>
      <c r="C378" s="1422" t="s">
        <v>19</v>
      </c>
      <c r="D378" s="1794"/>
      <c r="E378" s="1425">
        <f>SUM(E379,E383)</f>
        <v>1300</v>
      </c>
      <c r="F378" s="1425">
        <f>SUM(F379,F383)</f>
        <v>2472</v>
      </c>
      <c r="G378" s="1783">
        <f>SUM(G379,G383)</f>
        <v>0</v>
      </c>
      <c r="H378" s="1310">
        <f>E378+G378</f>
        <v>1300</v>
      </c>
      <c r="I378" s="1753">
        <f>H378/E378</f>
        <v>1</v>
      </c>
      <c r="J378" s="1423">
        <f>SUM(J379,J383)</f>
        <v>0</v>
      </c>
      <c r="K378" s="1313">
        <f>SUM(K379,K383)</f>
        <v>1300</v>
      </c>
      <c r="L378" s="1749">
        <f t="shared" si="50"/>
        <v>1</v>
      </c>
      <c r="M378" s="2009"/>
      <c r="N378" s="2011"/>
    </row>
    <row r="379" spans="1:14" ht="14.25" customHeight="1">
      <c r="A379" s="2004"/>
      <c r="B379" s="2007"/>
      <c r="C379" s="2013" t="s">
        <v>20</v>
      </c>
      <c r="D379" s="1794" t="s">
        <v>22</v>
      </c>
      <c r="E379" s="1425">
        <f>SUM(E380:E382)</f>
        <v>0</v>
      </c>
      <c r="F379" s="1425">
        <f>SUM(F380:F382)</f>
        <v>1172</v>
      </c>
      <c r="G379" s="1783">
        <f t="shared" ref="G379" si="51">SUM(G380:G382)</f>
        <v>0</v>
      </c>
      <c r="H379" s="1425"/>
      <c r="I379" s="1747"/>
      <c r="J379" s="1423"/>
      <c r="K379" s="1474">
        <f>SUM(K380:K382)</f>
        <v>0</v>
      </c>
      <c r="L379" s="1749"/>
      <c r="M379" s="2009"/>
      <c r="N379" s="2011"/>
    </row>
    <row r="380" spans="1:14">
      <c r="A380" s="2004"/>
      <c r="B380" s="2007"/>
      <c r="C380" s="2013"/>
      <c r="D380" s="1801">
        <v>4010</v>
      </c>
      <c r="E380" s="1475">
        <v>0</v>
      </c>
      <c r="F380" s="1475">
        <v>980</v>
      </c>
      <c r="G380" s="1785"/>
      <c r="H380" s="1475">
        <v>0</v>
      </c>
      <c r="I380" s="1758"/>
      <c r="J380" s="1474"/>
      <c r="K380" s="1760">
        <f>J380+H380</f>
        <v>0</v>
      </c>
      <c r="L380" s="1749"/>
      <c r="M380" s="2009"/>
      <c r="N380" s="2011"/>
    </row>
    <row r="381" spans="1:14">
      <c r="A381" s="2004"/>
      <c r="B381" s="2007"/>
      <c r="C381" s="2013"/>
      <c r="D381" s="1801">
        <v>4110</v>
      </c>
      <c r="E381" s="1475">
        <v>0</v>
      </c>
      <c r="F381" s="1475">
        <v>168</v>
      </c>
      <c r="G381" s="1785"/>
      <c r="H381" s="1475">
        <v>0</v>
      </c>
      <c r="I381" s="1758"/>
      <c r="J381" s="1474"/>
      <c r="K381" s="1760">
        <f t="shared" ref="K381:K383" si="52">J381+H381</f>
        <v>0</v>
      </c>
      <c r="L381" s="1749"/>
      <c r="M381" s="2009"/>
      <c r="N381" s="2011"/>
    </row>
    <row r="382" spans="1:14">
      <c r="A382" s="2004"/>
      <c r="B382" s="2007"/>
      <c r="C382" s="2013"/>
      <c r="D382" s="1801">
        <v>4120</v>
      </c>
      <c r="E382" s="1475">
        <v>0</v>
      </c>
      <c r="F382" s="1475">
        <v>24</v>
      </c>
      <c r="G382" s="1785"/>
      <c r="H382" s="1475">
        <v>0</v>
      </c>
      <c r="I382" s="1758"/>
      <c r="J382" s="1474"/>
      <c r="K382" s="1760">
        <f t="shared" si="52"/>
        <v>0</v>
      </c>
      <c r="L382" s="1749"/>
      <c r="M382" s="2009"/>
      <c r="N382" s="2011"/>
    </row>
    <row r="383" spans="1:14">
      <c r="A383" s="2004"/>
      <c r="B383" s="2007"/>
      <c r="C383" s="1503" t="s">
        <v>21</v>
      </c>
      <c r="D383" s="1794">
        <v>4700</v>
      </c>
      <c r="E383" s="1425">
        <v>1300</v>
      </c>
      <c r="F383" s="1425">
        <v>1300</v>
      </c>
      <c r="G383" s="1783"/>
      <c r="H383" s="1425">
        <v>1300</v>
      </c>
      <c r="I383" s="1753">
        <f>H383/E383</f>
        <v>1</v>
      </c>
      <c r="J383" s="1423"/>
      <c r="K383" s="1761">
        <f t="shared" si="52"/>
        <v>1300</v>
      </c>
      <c r="L383" s="1749">
        <f t="shared" si="50"/>
        <v>1</v>
      </c>
      <c r="M383" s="2009"/>
      <c r="N383" s="2011"/>
    </row>
    <row r="384" spans="1:14" ht="15" customHeight="1">
      <c r="A384" s="2004"/>
      <c r="B384" s="2007"/>
      <c r="C384" s="1422" t="s">
        <v>23</v>
      </c>
      <c r="D384" s="1794"/>
      <c r="E384" s="1795"/>
      <c r="F384" s="1795"/>
      <c r="G384" s="1789"/>
      <c r="H384" s="1425"/>
      <c r="I384" s="1753"/>
      <c r="J384" s="1423"/>
      <c r="K384" s="1423"/>
      <c r="L384" s="1515"/>
      <c r="M384" s="2009"/>
      <c r="N384" s="2011"/>
    </row>
    <row r="385" spans="1:14" ht="15" customHeight="1">
      <c r="A385" s="2004"/>
      <c r="B385" s="2007"/>
      <c r="C385" s="1422" t="s">
        <v>24</v>
      </c>
      <c r="D385" s="1794"/>
      <c r="E385" s="1795"/>
      <c r="F385" s="1795"/>
      <c r="G385" s="1789"/>
      <c r="H385" s="1425"/>
      <c r="I385" s="1753"/>
      <c r="J385" s="1423"/>
      <c r="K385" s="1423"/>
      <c r="L385" s="1515"/>
      <c r="M385" s="2009"/>
      <c r="N385" s="2011"/>
    </row>
    <row r="386" spans="1:14" ht="22.5">
      <c r="A386" s="2004"/>
      <c r="B386" s="2007"/>
      <c r="C386" s="1428" t="s">
        <v>25</v>
      </c>
      <c r="D386" s="1794"/>
      <c r="E386" s="1795"/>
      <c r="F386" s="1795"/>
      <c r="G386" s="1789"/>
      <c r="H386" s="1425"/>
      <c r="I386" s="1753"/>
      <c r="J386" s="1423"/>
      <c r="K386" s="1423"/>
      <c r="L386" s="1515"/>
      <c r="M386" s="2009"/>
      <c r="N386" s="2011"/>
    </row>
    <row r="387" spans="1:14" ht="15" customHeight="1">
      <c r="A387" s="2004"/>
      <c r="B387" s="2007"/>
      <c r="C387" s="1422" t="s">
        <v>26</v>
      </c>
      <c r="D387" s="1794"/>
      <c r="E387" s="1795"/>
      <c r="F387" s="1795"/>
      <c r="G387" s="1789"/>
      <c r="H387" s="1425"/>
      <c r="I387" s="1753"/>
      <c r="J387" s="1423"/>
      <c r="K387" s="1423"/>
      <c r="L387" s="1515"/>
      <c r="M387" s="2009"/>
      <c r="N387" s="2011"/>
    </row>
    <row r="388" spans="1:14" ht="15" customHeight="1">
      <c r="A388" s="2004"/>
      <c r="B388" s="2007"/>
      <c r="C388" s="1422" t="s">
        <v>27</v>
      </c>
      <c r="D388" s="1794"/>
      <c r="E388" s="1795"/>
      <c r="F388" s="1795"/>
      <c r="G388" s="1789"/>
      <c r="H388" s="1425"/>
      <c r="I388" s="1753"/>
      <c r="J388" s="1423"/>
      <c r="K388" s="1423"/>
      <c r="L388" s="1515"/>
      <c r="M388" s="2009"/>
      <c r="N388" s="2011"/>
    </row>
    <row r="389" spans="1:14" ht="15" customHeight="1">
      <c r="A389" s="2004"/>
      <c r="B389" s="2028"/>
      <c r="C389" s="1308" t="s">
        <v>28</v>
      </c>
      <c r="D389" s="1611"/>
      <c r="E389" s="1802">
        <f>E390+E392+E393</f>
        <v>0</v>
      </c>
      <c r="F389" s="1310">
        <f>F390+F392+F393</f>
        <v>0</v>
      </c>
      <c r="G389" s="1800">
        <f>G390+G392+G393</f>
        <v>0</v>
      </c>
      <c r="H389" s="1802">
        <f>H390+H392+H393</f>
        <v>0</v>
      </c>
      <c r="I389" s="1747"/>
      <c r="J389" s="1803">
        <f>J390+J392+J393</f>
        <v>0</v>
      </c>
      <c r="K389" s="1803">
        <f>K390+K392+K393</f>
        <v>0</v>
      </c>
      <c r="L389" s="1314"/>
      <c r="M389" s="2009"/>
      <c r="N389" s="2030"/>
    </row>
    <row r="390" spans="1:14" ht="15" customHeight="1">
      <c r="A390" s="2004"/>
      <c r="B390" s="2028"/>
      <c r="C390" s="1422" t="s">
        <v>29</v>
      </c>
      <c r="D390" s="1784"/>
      <c r="E390" s="1788"/>
      <c r="F390" s="1425"/>
      <c r="G390" s="1789"/>
      <c r="H390" s="1425"/>
      <c r="I390" s="1753"/>
      <c r="J390" s="1423"/>
      <c r="K390" s="1423"/>
      <c r="L390" s="1515"/>
      <c r="M390" s="2009"/>
      <c r="N390" s="2030"/>
    </row>
    <row r="391" spans="1:14" ht="22.5">
      <c r="A391" s="2004"/>
      <c r="B391" s="2028"/>
      <c r="C391" s="1428" t="s">
        <v>30</v>
      </c>
      <c r="D391" s="1794"/>
      <c r="E391" s="1795"/>
      <c r="F391" s="1795"/>
      <c r="G391" s="1789"/>
      <c r="H391" s="1425"/>
      <c r="I391" s="1753"/>
      <c r="J391" s="1423"/>
      <c r="K391" s="1423"/>
      <c r="L391" s="1515"/>
      <c r="M391" s="2009"/>
      <c r="N391" s="2030"/>
    </row>
    <row r="392" spans="1:14" ht="15" customHeight="1">
      <c r="A392" s="2004"/>
      <c r="B392" s="2028"/>
      <c r="C392" s="1422" t="s">
        <v>31</v>
      </c>
      <c r="D392" s="1794"/>
      <c r="E392" s="1795"/>
      <c r="F392" s="1795"/>
      <c r="G392" s="1789"/>
      <c r="H392" s="1425"/>
      <c r="I392" s="1753"/>
      <c r="J392" s="1423"/>
      <c r="K392" s="1423"/>
      <c r="L392" s="1515"/>
      <c r="M392" s="2009"/>
      <c r="N392" s="2030"/>
    </row>
    <row r="393" spans="1:14" ht="15.75" customHeight="1" thickBot="1">
      <c r="A393" s="2027"/>
      <c r="B393" s="2029"/>
      <c r="C393" s="1039" t="s">
        <v>32</v>
      </c>
      <c r="D393" s="1804"/>
      <c r="E393" s="1805"/>
      <c r="F393" s="1805"/>
      <c r="G393" s="1806"/>
      <c r="H393" s="1637"/>
      <c r="I393" s="1807"/>
      <c r="J393" s="1634"/>
      <c r="K393" s="1634"/>
      <c r="L393" s="1808"/>
      <c r="M393" s="2021"/>
      <c r="N393" s="2031"/>
    </row>
    <row r="394" spans="1:14" ht="12.75" customHeight="1">
      <c r="A394" s="2015"/>
      <c r="B394" s="2018">
        <v>90026</v>
      </c>
      <c r="C394" s="1736" t="s">
        <v>422</v>
      </c>
      <c r="D394" s="1737"/>
      <c r="E394" s="1738">
        <f>E395+E409</f>
        <v>100000</v>
      </c>
      <c r="F394" s="1738">
        <f>F395+F409</f>
        <v>151636</v>
      </c>
      <c r="G394" s="1739">
        <f>G395+G409</f>
        <v>0</v>
      </c>
      <c r="H394" s="1738">
        <f>H395+H409</f>
        <v>100000</v>
      </c>
      <c r="I394" s="1740">
        <f t="shared" ref="I394:I403" si="53">H394/E394</f>
        <v>1</v>
      </c>
      <c r="J394" s="1741">
        <f>J395+J409</f>
        <v>0</v>
      </c>
      <c r="K394" s="1741">
        <f>K395+K409</f>
        <v>100000</v>
      </c>
      <c r="L394" s="1742">
        <f>K394/E394</f>
        <v>1</v>
      </c>
      <c r="M394" s="2008" t="s">
        <v>423</v>
      </c>
      <c r="N394" s="2022" t="s">
        <v>424</v>
      </c>
    </row>
    <row r="395" spans="1:14" ht="12.75" customHeight="1">
      <c r="A395" s="2016"/>
      <c r="B395" s="2019"/>
      <c r="C395" s="1743" t="s">
        <v>18</v>
      </c>
      <c r="D395" s="1744"/>
      <c r="E395" s="1745">
        <f>E396+E404+E405+E406+E407+E408</f>
        <v>100000</v>
      </c>
      <c r="F395" s="1745">
        <f>F396+F404+F405+F406+F407+F408</f>
        <v>151636</v>
      </c>
      <c r="G395" s="1746">
        <f>G396+G404+G405+G406+G407+G408</f>
        <v>0</v>
      </c>
      <c r="H395" s="1745">
        <f>H396+H404+H405+H406+H407+H408</f>
        <v>100000</v>
      </c>
      <c r="I395" s="1747">
        <f t="shared" si="53"/>
        <v>1</v>
      </c>
      <c r="J395" s="1748">
        <f>J396+J404+J405+J406+J407+J408</f>
        <v>0</v>
      </c>
      <c r="K395" s="1748">
        <f>K396+K404+K405+K406+K407+K408</f>
        <v>100000</v>
      </c>
      <c r="L395" s="1749">
        <f t="shared" ref="L395:L403" si="54">K395/E395</f>
        <v>1</v>
      </c>
      <c r="M395" s="2009"/>
      <c r="N395" s="2011"/>
    </row>
    <row r="396" spans="1:14" ht="12.75" customHeight="1">
      <c r="A396" s="2016"/>
      <c r="B396" s="2019"/>
      <c r="C396" s="1750" t="s">
        <v>19</v>
      </c>
      <c r="D396" s="1744"/>
      <c r="E396" s="1751">
        <f>E397+E401</f>
        <v>100000</v>
      </c>
      <c r="F396" s="1751">
        <f>F397+F401</f>
        <v>151636</v>
      </c>
      <c r="G396" s="1752">
        <f>G397+G401</f>
        <v>0</v>
      </c>
      <c r="H396" s="1751">
        <f>H397+H401</f>
        <v>100000</v>
      </c>
      <c r="I396" s="1753">
        <f t="shared" si="53"/>
        <v>1</v>
      </c>
      <c r="J396" s="1754"/>
      <c r="K396" s="1754">
        <f>K397+K401</f>
        <v>100000</v>
      </c>
      <c r="L396" s="1749">
        <f t="shared" si="54"/>
        <v>1</v>
      </c>
      <c r="M396" s="2009"/>
      <c r="N396" s="2011"/>
    </row>
    <row r="397" spans="1:14" ht="12.75" customHeight="1">
      <c r="A397" s="2016"/>
      <c r="B397" s="2019"/>
      <c r="C397" s="2024" t="s">
        <v>20</v>
      </c>
      <c r="D397" s="1744" t="s">
        <v>366</v>
      </c>
      <c r="E397" s="1751">
        <f>SUM(E398:E400)</f>
        <v>97000</v>
      </c>
      <c r="F397" s="1751">
        <f t="shared" ref="F397:H397" si="55">SUM(F398:F400)</f>
        <v>148636</v>
      </c>
      <c r="G397" s="1752">
        <f t="shared" si="55"/>
        <v>0</v>
      </c>
      <c r="H397" s="1751">
        <f t="shared" si="55"/>
        <v>97000</v>
      </c>
      <c r="I397" s="1753">
        <f t="shared" si="53"/>
        <v>1</v>
      </c>
      <c r="J397" s="1754"/>
      <c r="K397" s="1754">
        <f>SUM(K398:K400)</f>
        <v>97000</v>
      </c>
      <c r="L397" s="1749">
        <f t="shared" si="54"/>
        <v>1</v>
      </c>
      <c r="M397" s="2009"/>
      <c r="N397" s="2011"/>
    </row>
    <row r="398" spans="1:14" ht="12.75" customHeight="1">
      <c r="A398" s="2016"/>
      <c r="B398" s="2019"/>
      <c r="C398" s="2024"/>
      <c r="D398" s="1755">
        <v>4010</v>
      </c>
      <c r="E398" s="1756">
        <v>81077</v>
      </c>
      <c r="F398" s="1756">
        <v>124236</v>
      </c>
      <c r="G398" s="1757"/>
      <c r="H398" s="1756">
        <v>81077</v>
      </c>
      <c r="I398" s="1758">
        <f t="shared" si="53"/>
        <v>1</v>
      </c>
      <c r="J398" s="1759"/>
      <c r="K398" s="1760">
        <f>J398+H398</f>
        <v>81077</v>
      </c>
      <c r="L398" s="1749">
        <f t="shared" si="54"/>
        <v>1</v>
      </c>
      <c r="M398" s="2009"/>
      <c r="N398" s="2011"/>
    </row>
    <row r="399" spans="1:14" ht="12.75" customHeight="1">
      <c r="A399" s="2016"/>
      <c r="B399" s="2019"/>
      <c r="C399" s="2024"/>
      <c r="D399" s="1755">
        <v>4110</v>
      </c>
      <c r="E399" s="1756">
        <v>13937</v>
      </c>
      <c r="F399" s="1756">
        <v>21356</v>
      </c>
      <c r="G399" s="1757"/>
      <c r="H399" s="1756">
        <f>E399+G399</f>
        <v>13937</v>
      </c>
      <c r="I399" s="1758">
        <f t="shared" si="53"/>
        <v>1</v>
      </c>
      <c r="J399" s="1759"/>
      <c r="K399" s="1760">
        <f t="shared" ref="K399:K403" si="56">J399+H399</f>
        <v>13937</v>
      </c>
      <c r="L399" s="1749">
        <f t="shared" si="54"/>
        <v>1</v>
      </c>
      <c r="M399" s="2009"/>
      <c r="N399" s="2011"/>
    </row>
    <row r="400" spans="1:14" ht="12.75" customHeight="1">
      <c r="A400" s="2016"/>
      <c r="B400" s="2019"/>
      <c r="C400" s="2024"/>
      <c r="D400" s="1755">
        <v>4120</v>
      </c>
      <c r="E400" s="1756">
        <v>1986</v>
      </c>
      <c r="F400" s="1756">
        <v>3044</v>
      </c>
      <c r="G400" s="1757"/>
      <c r="H400" s="1756">
        <f>E400+G400</f>
        <v>1986</v>
      </c>
      <c r="I400" s="1758">
        <f t="shared" si="53"/>
        <v>1</v>
      </c>
      <c r="J400" s="1759"/>
      <c r="K400" s="1760">
        <f t="shared" si="56"/>
        <v>1986</v>
      </c>
      <c r="L400" s="1749">
        <f t="shared" si="54"/>
        <v>1</v>
      </c>
      <c r="M400" s="2009"/>
      <c r="N400" s="2011"/>
    </row>
    <row r="401" spans="1:14" ht="13.5" customHeight="1">
      <c r="A401" s="2016"/>
      <c r="B401" s="2019"/>
      <c r="C401" s="2025" t="s">
        <v>21</v>
      </c>
      <c r="D401" s="1744">
        <v>4700</v>
      </c>
      <c r="E401" s="1751">
        <v>3000</v>
      </c>
      <c r="F401" s="1751">
        <v>3000</v>
      </c>
      <c r="G401" s="1752">
        <f>SUM(G402:G403)</f>
        <v>0</v>
      </c>
      <c r="H401" s="1751">
        <f>SUM(H402:H403)</f>
        <v>3000</v>
      </c>
      <c r="I401" s="1758">
        <f t="shared" si="53"/>
        <v>1</v>
      </c>
      <c r="J401" s="1754"/>
      <c r="K401" s="1761">
        <f t="shared" si="56"/>
        <v>3000</v>
      </c>
      <c r="L401" s="1749">
        <f t="shared" si="54"/>
        <v>1</v>
      </c>
      <c r="M401" s="2009"/>
      <c r="N401" s="2011"/>
    </row>
    <row r="402" spans="1:14" ht="14.25" hidden="1" customHeight="1">
      <c r="A402" s="2016"/>
      <c r="B402" s="2019"/>
      <c r="C402" s="2025"/>
      <c r="D402" s="1755">
        <v>4210</v>
      </c>
      <c r="E402" s="1756">
        <v>0</v>
      </c>
      <c r="F402" s="1756">
        <v>0</v>
      </c>
      <c r="G402" s="1757"/>
      <c r="H402" s="1756">
        <f>E402+G402</f>
        <v>0</v>
      </c>
      <c r="I402" s="1758"/>
      <c r="J402" s="1759"/>
      <c r="K402" s="1761">
        <f t="shared" si="56"/>
        <v>0</v>
      </c>
      <c r="L402" s="1749" t="e">
        <f t="shared" si="54"/>
        <v>#DIV/0!</v>
      </c>
      <c r="M402" s="2009"/>
      <c r="N402" s="2011"/>
    </row>
    <row r="403" spans="1:14" ht="0.75" hidden="1" customHeight="1">
      <c r="A403" s="2016"/>
      <c r="B403" s="2019"/>
      <c r="C403" s="2025"/>
      <c r="D403" s="1755">
        <v>4700</v>
      </c>
      <c r="E403" s="1756">
        <v>3000</v>
      </c>
      <c r="F403" s="1756">
        <v>3000</v>
      </c>
      <c r="G403" s="1757"/>
      <c r="H403" s="1756">
        <f>E403+G403</f>
        <v>3000</v>
      </c>
      <c r="I403" s="1758">
        <f t="shared" si="53"/>
        <v>1</v>
      </c>
      <c r="J403" s="1759"/>
      <c r="K403" s="1761">
        <f t="shared" si="56"/>
        <v>3000</v>
      </c>
      <c r="L403" s="1749">
        <f t="shared" si="54"/>
        <v>1</v>
      </c>
      <c r="M403" s="2009"/>
      <c r="N403" s="2011"/>
    </row>
    <row r="404" spans="1:14" ht="15.75" customHeight="1">
      <c r="A404" s="2016"/>
      <c r="B404" s="2019"/>
      <c r="C404" s="1750" t="s">
        <v>23</v>
      </c>
      <c r="D404" s="1744"/>
      <c r="E404" s="1751"/>
      <c r="F404" s="1751"/>
      <c r="G404" s="1762"/>
      <c r="H404" s="1751"/>
      <c r="I404" s="1753"/>
      <c r="J404" s="1754"/>
      <c r="K404" s="1754"/>
      <c r="L404" s="1763"/>
      <c r="M404" s="2009"/>
      <c r="N404" s="2011"/>
    </row>
    <row r="405" spans="1:14" ht="15.75" customHeight="1">
      <c r="A405" s="2016"/>
      <c r="B405" s="2019"/>
      <c r="C405" s="1750" t="s">
        <v>24</v>
      </c>
      <c r="D405" s="1744"/>
      <c r="E405" s="1751"/>
      <c r="F405" s="1751"/>
      <c r="G405" s="1762"/>
      <c r="H405" s="1751"/>
      <c r="I405" s="1764"/>
      <c r="J405" s="1754"/>
      <c r="K405" s="1754"/>
      <c r="L405" s="1763"/>
      <c r="M405" s="2009"/>
      <c r="N405" s="2011"/>
    </row>
    <row r="406" spans="1:14" ht="23.25" customHeight="1">
      <c r="A406" s="2016"/>
      <c r="B406" s="2019"/>
      <c r="C406" s="1765" t="s">
        <v>25</v>
      </c>
      <c r="D406" s="1744"/>
      <c r="E406" s="1751"/>
      <c r="F406" s="1751"/>
      <c r="G406" s="1762"/>
      <c r="H406" s="1751"/>
      <c r="I406" s="1764"/>
      <c r="J406" s="1754"/>
      <c r="K406" s="1754"/>
      <c r="L406" s="1763"/>
      <c r="M406" s="2009"/>
      <c r="N406" s="2011"/>
    </row>
    <row r="407" spans="1:14" ht="15.75" customHeight="1">
      <c r="A407" s="2016"/>
      <c r="B407" s="2019"/>
      <c r="C407" s="1750" t="s">
        <v>26</v>
      </c>
      <c r="D407" s="1744"/>
      <c r="E407" s="1751"/>
      <c r="F407" s="1751"/>
      <c r="G407" s="1762"/>
      <c r="H407" s="1751"/>
      <c r="I407" s="1764"/>
      <c r="J407" s="1754"/>
      <c r="K407" s="1754"/>
      <c r="L407" s="1763"/>
      <c r="M407" s="2009"/>
      <c r="N407" s="2011"/>
    </row>
    <row r="408" spans="1:14" ht="15.75" customHeight="1">
      <c r="A408" s="2016"/>
      <c r="B408" s="2019"/>
      <c r="C408" s="1750" t="s">
        <v>27</v>
      </c>
      <c r="D408" s="1744"/>
      <c r="E408" s="1751"/>
      <c r="F408" s="1751"/>
      <c r="G408" s="1762"/>
      <c r="H408" s="1751"/>
      <c r="I408" s="1764"/>
      <c r="J408" s="1754"/>
      <c r="K408" s="1754"/>
      <c r="L408" s="1763"/>
      <c r="M408" s="2009"/>
      <c r="N408" s="2011"/>
    </row>
    <row r="409" spans="1:14" ht="15.75" customHeight="1">
      <c r="A409" s="2016"/>
      <c r="B409" s="2019"/>
      <c r="C409" s="1766" t="s">
        <v>28</v>
      </c>
      <c r="D409" s="1767"/>
      <c r="E409" s="1745">
        <f>E410+E412+E413</f>
        <v>0</v>
      </c>
      <c r="F409" s="1745">
        <f t="shared" ref="F409:K409" si="57">F410+F412+F413</f>
        <v>0</v>
      </c>
      <c r="G409" s="1746">
        <f t="shared" si="57"/>
        <v>0</v>
      </c>
      <c r="H409" s="1745">
        <f t="shared" si="57"/>
        <v>0</v>
      </c>
      <c r="I409" s="1748"/>
      <c r="J409" s="1748">
        <f t="shared" si="57"/>
        <v>0</v>
      </c>
      <c r="K409" s="1748">
        <f t="shared" si="57"/>
        <v>0</v>
      </c>
      <c r="L409" s="1768"/>
      <c r="M409" s="2009"/>
      <c r="N409" s="2011"/>
    </row>
    <row r="410" spans="1:14" ht="15.75" customHeight="1">
      <c r="A410" s="2016"/>
      <c r="B410" s="2019"/>
      <c r="C410" s="1750" t="s">
        <v>29</v>
      </c>
      <c r="D410" s="1769"/>
      <c r="E410" s="1751"/>
      <c r="F410" s="1751"/>
      <c r="G410" s="1752"/>
      <c r="H410" s="1751"/>
      <c r="I410" s="1754"/>
      <c r="J410" s="1754"/>
      <c r="K410" s="1754"/>
      <c r="L410" s="1763"/>
      <c r="M410" s="2009"/>
      <c r="N410" s="2011"/>
    </row>
    <row r="411" spans="1:14" ht="22.5">
      <c r="A411" s="2016"/>
      <c r="B411" s="2019"/>
      <c r="C411" s="1765" t="s">
        <v>30</v>
      </c>
      <c r="D411" s="1744"/>
      <c r="E411" s="1751"/>
      <c r="F411" s="1751"/>
      <c r="G411" s="1762"/>
      <c r="H411" s="1751"/>
      <c r="I411" s="1764"/>
      <c r="J411" s="1754"/>
      <c r="K411" s="1754"/>
      <c r="L411" s="1763"/>
      <c r="M411" s="2009"/>
      <c r="N411" s="2011"/>
    </row>
    <row r="412" spans="1:14" ht="12.75" customHeight="1">
      <c r="A412" s="2016"/>
      <c r="B412" s="2019"/>
      <c r="C412" s="1750" t="s">
        <v>31</v>
      </c>
      <c r="D412" s="1744"/>
      <c r="E412" s="1751"/>
      <c r="F412" s="1751"/>
      <c r="G412" s="1762"/>
      <c r="H412" s="1751"/>
      <c r="I412" s="1764"/>
      <c r="J412" s="1754"/>
      <c r="K412" s="1754"/>
      <c r="L412" s="1763"/>
      <c r="M412" s="2009"/>
      <c r="N412" s="2011"/>
    </row>
    <row r="413" spans="1:14" ht="13.5" customHeight="1" thickBot="1">
      <c r="A413" s="2017"/>
      <c r="B413" s="2020"/>
      <c r="C413" s="1770" t="s">
        <v>32</v>
      </c>
      <c r="D413" s="1771"/>
      <c r="E413" s="1772"/>
      <c r="F413" s="1772"/>
      <c r="G413" s="1773"/>
      <c r="H413" s="1772"/>
      <c r="I413" s="1774"/>
      <c r="J413" s="1775"/>
      <c r="K413" s="1775"/>
      <c r="L413" s="1776"/>
      <c r="M413" s="2021"/>
      <c r="N413" s="2023"/>
    </row>
    <row r="414" spans="1:14" ht="21.75" customHeight="1" thickBot="1">
      <c r="A414" s="2000" t="s">
        <v>154</v>
      </c>
      <c r="B414" s="2001"/>
      <c r="C414" s="2002"/>
      <c r="D414" s="742"/>
      <c r="E414" s="743">
        <f>SUM(E6,E29,E52,E75,E335,E220,E239,E91)</f>
        <v>127116738</v>
      </c>
      <c r="F414" s="743">
        <f>SUM(F6,F29,F52,F75,F319,F335,F220,F239,F91)</f>
        <v>132879327</v>
      </c>
      <c r="G414" s="744">
        <f>SUM(G6,G29,G52,G75,G335,G220,G239,G91)</f>
        <v>0</v>
      </c>
      <c r="H414" s="269">
        <f>SUM(H6,H29,H52,H75,H335,H220,H239,H91)</f>
        <v>150065784</v>
      </c>
      <c r="I414" s="745">
        <f>H414/E414</f>
        <v>1.1805352022170361</v>
      </c>
      <c r="J414" s="269">
        <f>SUM(J6,J29,J52,J75,J335,J220,J239,J91)</f>
        <v>11433502</v>
      </c>
      <c r="K414" s="269">
        <f>SUM(K6,K29,K52,K75,K335,K220,K239,K91)</f>
        <v>161499286</v>
      </c>
      <c r="L414" s="746">
        <f>K414/E414</f>
        <v>1.2704800999534773</v>
      </c>
      <c r="M414" s="747"/>
      <c r="N414" s="748"/>
    </row>
    <row r="415" spans="1:14">
      <c r="A415" s="749"/>
      <c r="B415" s="749"/>
      <c r="C415" s="749"/>
      <c r="D415" s="750"/>
      <c r="E415" s="751"/>
      <c r="F415" s="751"/>
      <c r="G415" s="752"/>
      <c r="H415" s="753"/>
      <c r="I415" s="754"/>
      <c r="J415" s="753"/>
      <c r="K415" s="753"/>
      <c r="L415" s="755"/>
      <c r="M415" s="756"/>
      <c r="N415" s="756"/>
    </row>
    <row r="416" spans="1:14">
      <c r="C416" s="251"/>
      <c r="D416" s="251"/>
      <c r="E416" s="257"/>
      <c r="F416" s="251"/>
      <c r="G416" s="257"/>
      <c r="H416" s="257"/>
      <c r="I416" s="178"/>
      <c r="J416" s="178"/>
      <c r="K416" s="178"/>
    </row>
  </sheetData>
  <mergeCells count="129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7:A28"/>
    <mergeCell ref="B7:B28"/>
    <mergeCell ref="M7:M28"/>
    <mergeCell ref="N7:N28"/>
    <mergeCell ref="C10:C15"/>
    <mergeCell ref="C16:C18"/>
    <mergeCell ref="J3:J4"/>
    <mergeCell ref="K3:K4"/>
    <mergeCell ref="L3:L4"/>
    <mergeCell ref="M3:M4"/>
    <mergeCell ref="N3:N4"/>
    <mergeCell ref="B5:C5"/>
    <mergeCell ref="A53:A74"/>
    <mergeCell ref="B53:B74"/>
    <mergeCell ref="M53:M74"/>
    <mergeCell ref="N53:N74"/>
    <mergeCell ref="C56:C61"/>
    <mergeCell ref="C62:C64"/>
    <mergeCell ref="A30:A51"/>
    <mergeCell ref="B30:B51"/>
    <mergeCell ref="M30:M51"/>
    <mergeCell ref="N30:N51"/>
    <mergeCell ref="C33:C38"/>
    <mergeCell ref="C39:C41"/>
    <mergeCell ref="A76:A90"/>
    <mergeCell ref="B76:B90"/>
    <mergeCell ref="M76:M90"/>
    <mergeCell ref="N76:N90"/>
    <mergeCell ref="A92:A105"/>
    <mergeCell ref="B92:B114"/>
    <mergeCell ref="M92:M105"/>
    <mergeCell ref="N92:N105"/>
    <mergeCell ref="C95:C101"/>
    <mergeCell ref="C102:C104"/>
    <mergeCell ref="N147:N202"/>
    <mergeCell ref="C148:C150"/>
    <mergeCell ref="C151:C189"/>
    <mergeCell ref="C193:C197"/>
    <mergeCell ref="C198:C200"/>
    <mergeCell ref="A106:A114"/>
    <mergeCell ref="M106:M114"/>
    <mergeCell ref="N106:N114"/>
    <mergeCell ref="A115:A146"/>
    <mergeCell ref="M115:M146"/>
    <mergeCell ref="N115:N146"/>
    <mergeCell ref="C118:C124"/>
    <mergeCell ref="C125:C146"/>
    <mergeCell ref="B115:B133"/>
    <mergeCell ref="B134:B146"/>
    <mergeCell ref="B190:B202"/>
    <mergeCell ref="A190:A202"/>
    <mergeCell ref="A147:A189"/>
    <mergeCell ref="B147:B189"/>
    <mergeCell ref="M190:M202"/>
    <mergeCell ref="M147:M189"/>
    <mergeCell ref="A240:A254"/>
    <mergeCell ref="B240:B254"/>
    <mergeCell ref="M240:M254"/>
    <mergeCell ref="N240:N254"/>
    <mergeCell ref="A255:A269"/>
    <mergeCell ref="B255:B269"/>
    <mergeCell ref="M255:M269"/>
    <mergeCell ref="N255:N269"/>
    <mergeCell ref="A203:A219"/>
    <mergeCell ref="B203:B219"/>
    <mergeCell ref="M203:M219"/>
    <mergeCell ref="N203:N219"/>
    <mergeCell ref="C207:C209"/>
    <mergeCell ref="M220:M238"/>
    <mergeCell ref="N220:N238"/>
    <mergeCell ref="A221:A238"/>
    <mergeCell ref="B221:B238"/>
    <mergeCell ref="C225:C228"/>
    <mergeCell ref="A300:A318"/>
    <mergeCell ref="B300:B318"/>
    <mergeCell ref="M300:M318"/>
    <mergeCell ref="N300:N318"/>
    <mergeCell ref="C305:C307"/>
    <mergeCell ref="A270:A284"/>
    <mergeCell ref="B270:B284"/>
    <mergeCell ref="M270:M284"/>
    <mergeCell ref="N270:N284"/>
    <mergeCell ref="A285:A299"/>
    <mergeCell ref="B285:B299"/>
    <mergeCell ref="M285:M299"/>
    <mergeCell ref="N285:N299"/>
    <mergeCell ref="C313:C315"/>
    <mergeCell ref="N320:N334"/>
    <mergeCell ref="A336:A347"/>
    <mergeCell ref="B336:B355"/>
    <mergeCell ref="M336:M347"/>
    <mergeCell ref="N336:N347"/>
    <mergeCell ref="C339:C342"/>
    <mergeCell ref="C343:C345"/>
    <mergeCell ref="A348:A355"/>
    <mergeCell ref="M348:M355"/>
    <mergeCell ref="N348:N355"/>
    <mergeCell ref="A320:A334"/>
    <mergeCell ref="B320:B334"/>
    <mergeCell ref="M320:M334"/>
    <mergeCell ref="A414:C414"/>
    <mergeCell ref="A356:A375"/>
    <mergeCell ref="B356:B375"/>
    <mergeCell ref="M356:M375"/>
    <mergeCell ref="N356:N375"/>
    <mergeCell ref="C359:C362"/>
    <mergeCell ref="C363:C365"/>
    <mergeCell ref="A394:A413"/>
    <mergeCell ref="B394:B413"/>
    <mergeCell ref="M394:M413"/>
    <mergeCell ref="N394:N413"/>
    <mergeCell ref="C397:C400"/>
    <mergeCell ref="C401:C403"/>
    <mergeCell ref="A376:A393"/>
    <mergeCell ref="B376:B393"/>
    <mergeCell ref="M376:M393"/>
    <mergeCell ref="N376:N388"/>
    <mergeCell ref="C379:C382"/>
    <mergeCell ref="N389:N393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horizontalDpi="4294967295" verticalDpi="4294967295" r:id="rId1"/>
  <rowBreaks count="1" manualBreakCount="1">
    <brk id="27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</sheetPr>
  <dimension ref="A1:M183"/>
  <sheetViews>
    <sheetView view="pageBreakPreview" topLeftCell="A96" zoomScaleSheetLayoutView="100" workbookViewId="0">
      <selection activeCell="T177" sqref="T177"/>
    </sheetView>
  </sheetViews>
  <sheetFormatPr defaultRowHeight="12.75"/>
  <cols>
    <col min="1" max="1" width="4.5703125" style="1197" bestFit="1" customWidth="1"/>
    <col min="2" max="2" width="7.42578125" style="257" bestFit="1" customWidth="1"/>
    <col min="3" max="3" width="41.85546875" style="257" customWidth="1"/>
    <col min="4" max="4" width="5.28515625" style="1197" bestFit="1" customWidth="1"/>
    <col min="5" max="6" width="12.140625" style="257" customWidth="1"/>
    <col min="7" max="8" width="12.140625" style="257" hidden="1" customWidth="1"/>
    <col min="9" max="9" width="9.42578125" style="257" hidden="1" customWidth="1"/>
    <col min="10" max="10" width="12.140625" style="257" hidden="1" customWidth="1"/>
    <col min="11" max="11" width="12.140625" style="257" customWidth="1"/>
    <col min="12" max="12" width="7.140625" style="257" hidden="1" customWidth="1"/>
    <col min="13" max="13" width="78.7109375" style="257" customWidth="1"/>
    <col min="14" max="236" width="9.140625" style="178"/>
    <col min="237" max="237" width="4.28515625" style="178" bestFit="1" customWidth="1"/>
    <col min="238" max="238" width="6.85546875" style="178" bestFit="1" customWidth="1"/>
    <col min="239" max="239" width="11" style="178" customWidth="1"/>
    <col min="240" max="240" width="11.140625" style="178" bestFit="1" customWidth="1"/>
    <col min="241" max="241" width="10.85546875" style="178" customWidth="1"/>
    <col min="242" max="242" width="11.5703125" style="178" customWidth="1"/>
    <col min="243" max="243" width="11.140625" style="178" bestFit="1" customWidth="1"/>
    <col min="244" max="244" width="11" style="178" customWidth="1"/>
    <col min="245" max="245" width="10.42578125" style="178" customWidth="1"/>
    <col min="246" max="246" width="11.28515625" style="178" customWidth="1"/>
    <col min="247" max="248" width="9.140625" style="178" bestFit="1" customWidth="1"/>
    <col min="249" max="250" width="11.140625" style="178" bestFit="1" customWidth="1"/>
    <col min="251" max="251" width="11.5703125" style="178" bestFit="1" customWidth="1"/>
    <col min="252" max="252" width="9.140625" style="178" bestFit="1" customWidth="1"/>
    <col min="253" max="253" width="10.28515625" style="178" customWidth="1"/>
    <col min="254" max="492" width="9.140625" style="178"/>
    <col min="493" max="493" width="4.28515625" style="178" bestFit="1" customWidth="1"/>
    <col min="494" max="494" width="6.85546875" style="178" bestFit="1" customWidth="1"/>
    <col min="495" max="495" width="11" style="178" customWidth="1"/>
    <col min="496" max="496" width="11.140625" style="178" bestFit="1" customWidth="1"/>
    <col min="497" max="497" width="10.85546875" style="178" customWidth="1"/>
    <col min="498" max="498" width="11.5703125" style="178" customWidth="1"/>
    <col min="499" max="499" width="11.140625" style="178" bestFit="1" customWidth="1"/>
    <col min="500" max="500" width="11" style="178" customWidth="1"/>
    <col min="501" max="501" width="10.42578125" style="178" customWidth="1"/>
    <col min="502" max="502" width="11.28515625" style="178" customWidth="1"/>
    <col min="503" max="504" width="9.140625" style="178" bestFit="1" customWidth="1"/>
    <col min="505" max="506" width="11.140625" style="178" bestFit="1" customWidth="1"/>
    <col min="507" max="507" width="11.5703125" style="178" bestFit="1" customWidth="1"/>
    <col min="508" max="508" width="9.140625" style="178" bestFit="1" customWidth="1"/>
    <col min="509" max="509" width="10.28515625" style="178" customWidth="1"/>
    <col min="510" max="748" width="9.140625" style="178"/>
    <col min="749" max="749" width="4.28515625" style="178" bestFit="1" customWidth="1"/>
    <col min="750" max="750" width="6.85546875" style="178" bestFit="1" customWidth="1"/>
    <col min="751" max="751" width="11" style="178" customWidth="1"/>
    <col min="752" max="752" width="11.140625" style="178" bestFit="1" customWidth="1"/>
    <col min="753" max="753" width="10.85546875" style="178" customWidth="1"/>
    <col min="754" max="754" width="11.5703125" style="178" customWidth="1"/>
    <col min="755" max="755" width="11.140625" style="178" bestFit="1" customWidth="1"/>
    <col min="756" max="756" width="11" style="178" customWidth="1"/>
    <col min="757" max="757" width="10.42578125" style="178" customWidth="1"/>
    <col min="758" max="758" width="11.28515625" style="178" customWidth="1"/>
    <col min="759" max="760" width="9.140625" style="178" bestFit="1" customWidth="1"/>
    <col min="761" max="762" width="11.140625" style="178" bestFit="1" customWidth="1"/>
    <col min="763" max="763" width="11.5703125" style="178" bestFit="1" customWidth="1"/>
    <col min="764" max="764" width="9.140625" style="178" bestFit="1" customWidth="1"/>
    <col min="765" max="765" width="10.28515625" style="178" customWidth="1"/>
    <col min="766" max="1004" width="9.140625" style="178"/>
    <col min="1005" max="1005" width="4.28515625" style="178" bestFit="1" customWidth="1"/>
    <col min="1006" max="1006" width="6.85546875" style="178" bestFit="1" customWidth="1"/>
    <col min="1007" max="1007" width="11" style="178" customWidth="1"/>
    <col min="1008" max="1008" width="11.140625" style="178" bestFit="1" customWidth="1"/>
    <col min="1009" max="1009" width="10.85546875" style="178" customWidth="1"/>
    <col min="1010" max="1010" width="11.5703125" style="178" customWidth="1"/>
    <col min="1011" max="1011" width="11.140625" style="178" bestFit="1" customWidth="1"/>
    <col min="1012" max="1012" width="11" style="178" customWidth="1"/>
    <col min="1013" max="1013" width="10.42578125" style="178" customWidth="1"/>
    <col min="1014" max="1014" width="11.28515625" style="178" customWidth="1"/>
    <col min="1015" max="1016" width="9.140625" style="178" bestFit="1" customWidth="1"/>
    <col min="1017" max="1018" width="11.140625" style="178" bestFit="1" customWidth="1"/>
    <col min="1019" max="1019" width="11.5703125" style="178" bestFit="1" customWidth="1"/>
    <col min="1020" max="1020" width="9.140625" style="178" bestFit="1" customWidth="1"/>
    <col min="1021" max="1021" width="10.28515625" style="178" customWidth="1"/>
    <col min="1022" max="1260" width="9.140625" style="178"/>
    <col min="1261" max="1261" width="4.28515625" style="178" bestFit="1" customWidth="1"/>
    <col min="1262" max="1262" width="6.85546875" style="178" bestFit="1" customWidth="1"/>
    <col min="1263" max="1263" width="11" style="178" customWidth="1"/>
    <col min="1264" max="1264" width="11.140625" style="178" bestFit="1" customWidth="1"/>
    <col min="1265" max="1265" width="10.85546875" style="178" customWidth="1"/>
    <col min="1266" max="1266" width="11.5703125" style="178" customWidth="1"/>
    <col min="1267" max="1267" width="11.140625" style="178" bestFit="1" customWidth="1"/>
    <col min="1268" max="1268" width="11" style="178" customWidth="1"/>
    <col min="1269" max="1269" width="10.42578125" style="178" customWidth="1"/>
    <col min="1270" max="1270" width="11.28515625" style="178" customWidth="1"/>
    <col min="1271" max="1272" width="9.140625" style="178" bestFit="1" customWidth="1"/>
    <col min="1273" max="1274" width="11.140625" style="178" bestFit="1" customWidth="1"/>
    <col min="1275" max="1275" width="11.5703125" style="178" bestFit="1" customWidth="1"/>
    <col min="1276" max="1276" width="9.140625" style="178" bestFit="1" customWidth="1"/>
    <col min="1277" max="1277" width="10.28515625" style="178" customWidth="1"/>
    <col min="1278" max="1516" width="9.140625" style="178"/>
    <col min="1517" max="1517" width="4.28515625" style="178" bestFit="1" customWidth="1"/>
    <col min="1518" max="1518" width="6.85546875" style="178" bestFit="1" customWidth="1"/>
    <col min="1519" max="1519" width="11" style="178" customWidth="1"/>
    <col min="1520" max="1520" width="11.140625" style="178" bestFit="1" customWidth="1"/>
    <col min="1521" max="1521" width="10.85546875" style="178" customWidth="1"/>
    <col min="1522" max="1522" width="11.5703125" style="178" customWidth="1"/>
    <col min="1523" max="1523" width="11.140625" style="178" bestFit="1" customWidth="1"/>
    <col min="1524" max="1524" width="11" style="178" customWidth="1"/>
    <col min="1525" max="1525" width="10.42578125" style="178" customWidth="1"/>
    <col min="1526" max="1526" width="11.28515625" style="178" customWidth="1"/>
    <col min="1527" max="1528" width="9.140625" style="178" bestFit="1" customWidth="1"/>
    <col min="1529" max="1530" width="11.140625" style="178" bestFit="1" customWidth="1"/>
    <col min="1531" max="1531" width="11.5703125" style="178" bestFit="1" customWidth="1"/>
    <col min="1532" max="1532" width="9.140625" style="178" bestFit="1" customWidth="1"/>
    <col min="1533" max="1533" width="10.28515625" style="178" customWidth="1"/>
    <col min="1534" max="1772" width="9.140625" style="178"/>
    <col min="1773" max="1773" width="4.28515625" style="178" bestFit="1" customWidth="1"/>
    <col min="1774" max="1774" width="6.85546875" style="178" bestFit="1" customWidth="1"/>
    <col min="1775" max="1775" width="11" style="178" customWidth="1"/>
    <col min="1776" max="1776" width="11.140625" style="178" bestFit="1" customWidth="1"/>
    <col min="1777" max="1777" width="10.85546875" style="178" customWidth="1"/>
    <col min="1778" max="1778" width="11.5703125" style="178" customWidth="1"/>
    <col min="1779" max="1779" width="11.140625" style="178" bestFit="1" customWidth="1"/>
    <col min="1780" max="1780" width="11" style="178" customWidth="1"/>
    <col min="1781" max="1781" width="10.42578125" style="178" customWidth="1"/>
    <col min="1782" max="1782" width="11.28515625" style="178" customWidth="1"/>
    <col min="1783" max="1784" width="9.140625" style="178" bestFit="1" customWidth="1"/>
    <col min="1785" max="1786" width="11.140625" style="178" bestFit="1" customWidth="1"/>
    <col min="1787" max="1787" width="11.5703125" style="178" bestFit="1" customWidth="1"/>
    <col min="1788" max="1788" width="9.140625" style="178" bestFit="1" customWidth="1"/>
    <col min="1789" max="1789" width="10.28515625" style="178" customWidth="1"/>
    <col min="1790" max="2028" width="9.140625" style="178"/>
    <col min="2029" max="2029" width="4.28515625" style="178" bestFit="1" customWidth="1"/>
    <col min="2030" max="2030" width="6.85546875" style="178" bestFit="1" customWidth="1"/>
    <col min="2031" max="2031" width="11" style="178" customWidth="1"/>
    <col min="2032" max="2032" width="11.140625" style="178" bestFit="1" customWidth="1"/>
    <col min="2033" max="2033" width="10.85546875" style="178" customWidth="1"/>
    <col min="2034" max="2034" width="11.5703125" style="178" customWidth="1"/>
    <col min="2035" max="2035" width="11.140625" style="178" bestFit="1" customWidth="1"/>
    <col min="2036" max="2036" width="11" style="178" customWidth="1"/>
    <col min="2037" max="2037" width="10.42578125" style="178" customWidth="1"/>
    <col min="2038" max="2038" width="11.28515625" style="178" customWidth="1"/>
    <col min="2039" max="2040" width="9.140625" style="178" bestFit="1" customWidth="1"/>
    <col min="2041" max="2042" width="11.140625" style="178" bestFit="1" customWidth="1"/>
    <col min="2043" max="2043" width="11.5703125" style="178" bestFit="1" customWidth="1"/>
    <col min="2044" max="2044" width="9.140625" style="178" bestFit="1" customWidth="1"/>
    <col min="2045" max="2045" width="10.28515625" style="178" customWidth="1"/>
    <col min="2046" max="2284" width="9.140625" style="178"/>
    <col min="2285" max="2285" width="4.28515625" style="178" bestFit="1" customWidth="1"/>
    <col min="2286" max="2286" width="6.85546875" style="178" bestFit="1" customWidth="1"/>
    <col min="2287" max="2287" width="11" style="178" customWidth="1"/>
    <col min="2288" max="2288" width="11.140625" style="178" bestFit="1" customWidth="1"/>
    <col min="2289" max="2289" width="10.85546875" style="178" customWidth="1"/>
    <col min="2290" max="2290" width="11.5703125" style="178" customWidth="1"/>
    <col min="2291" max="2291" width="11.140625" style="178" bestFit="1" customWidth="1"/>
    <col min="2292" max="2292" width="11" style="178" customWidth="1"/>
    <col min="2293" max="2293" width="10.42578125" style="178" customWidth="1"/>
    <col min="2294" max="2294" width="11.28515625" style="178" customWidth="1"/>
    <col min="2295" max="2296" width="9.140625" style="178" bestFit="1" customWidth="1"/>
    <col min="2297" max="2298" width="11.140625" style="178" bestFit="1" customWidth="1"/>
    <col min="2299" max="2299" width="11.5703125" style="178" bestFit="1" customWidth="1"/>
    <col min="2300" max="2300" width="9.140625" style="178" bestFit="1" customWidth="1"/>
    <col min="2301" max="2301" width="10.28515625" style="178" customWidth="1"/>
    <col min="2302" max="2540" width="9.140625" style="178"/>
    <col min="2541" max="2541" width="4.28515625" style="178" bestFit="1" customWidth="1"/>
    <col min="2542" max="2542" width="6.85546875" style="178" bestFit="1" customWidth="1"/>
    <col min="2543" max="2543" width="11" style="178" customWidth="1"/>
    <col min="2544" max="2544" width="11.140625" style="178" bestFit="1" customWidth="1"/>
    <col min="2545" max="2545" width="10.85546875" style="178" customWidth="1"/>
    <col min="2546" max="2546" width="11.5703125" style="178" customWidth="1"/>
    <col min="2547" max="2547" width="11.140625" style="178" bestFit="1" customWidth="1"/>
    <col min="2548" max="2548" width="11" style="178" customWidth="1"/>
    <col min="2549" max="2549" width="10.42578125" style="178" customWidth="1"/>
    <col min="2550" max="2550" width="11.28515625" style="178" customWidth="1"/>
    <col min="2551" max="2552" width="9.140625" style="178" bestFit="1" customWidth="1"/>
    <col min="2553" max="2554" width="11.140625" style="178" bestFit="1" customWidth="1"/>
    <col min="2555" max="2555" width="11.5703125" style="178" bestFit="1" customWidth="1"/>
    <col min="2556" max="2556" width="9.140625" style="178" bestFit="1" customWidth="1"/>
    <col min="2557" max="2557" width="10.28515625" style="178" customWidth="1"/>
    <col min="2558" max="2796" width="9.140625" style="178"/>
    <col min="2797" max="2797" width="4.28515625" style="178" bestFit="1" customWidth="1"/>
    <col min="2798" max="2798" width="6.85546875" style="178" bestFit="1" customWidth="1"/>
    <col min="2799" max="2799" width="11" style="178" customWidth="1"/>
    <col min="2800" max="2800" width="11.140625" style="178" bestFit="1" customWidth="1"/>
    <col min="2801" max="2801" width="10.85546875" style="178" customWidth="1"/>
    <col min="2802" max="2802" width="11.5703125" style="178" customWidth="1"/>
    <col min="2803" max="2803" width="11.140625" style="178" bestFit="1" customWidth="1"/>
    <col min="2804" max="2804" width="11" style="178" customWidth="1"/>
    <col min="2805" max="2805" width="10.42578125" style="178" customWidth="1"/>
    <col min="2806" max="2806" width="11.28515625" style="178" customWidth="1"/>
    <col min="2807" max="2808" width="9.140625" style="178" bestFit="1" customWidth="1"/>
    <col min="2809" max="2810" width="11.140625" style="178" bestFit="1" customWidth="1"/>
    <col min="2811" max="2811" width="11.5703125" style="178" bestFit="1" customWidth="1"/>
    <col min="2812" max="2812" width="9.140625" style="178" bestFit="1" customWidth="1"/>
    <col min="2813" max="2813" width="10.28515625" style="178" customWidth="1"/>
    <col min="2814" max="3052" width="9.140625" style="178"/>
    <col min="3053" max="3053" width="4.28515625" style="178" bestFit="1" customWidth="1"/>
    <col min="3054" max="3054" width="6.85546875" style="178" bestFit="1" customWidth="1"/>
    <col min="3055" max="3055" width="11" style="178" customWidth="1"/>
    <col min="3056" max="3056" width="11.140625" style="178" bestFit="1" customWidth="1"/>
    <col min="3057" max="3057" width="10.85546875" style="178" customWidth="1"/>
    <col min="3058" max="3058" width="11.5703125" style="178" customWidth="1"/>
    <col min="3059" max="3059" width="11.140625" style="178" bestFit="1" customWidth="1"/>
    <col min="3060" max="3060" width="11" style="178" customWidth="1"/>
    <col min="3061" max="3061" width="10.42578125" style="178" customWidth="1"/>
    <col min="3062" max="3062" width="11.28515625" style="178" customWidth="1"/>
    <col min="3063" max="3064" width="9.140625" style="178" bestFit="1" customWidth="1"/>
    <col min="3065" max="3066" width="11.140625" style="178" bestFit="1" customWidth="1"/>
    <col min="3067" max="3067" width="11.5703125" style="178" bestFit="1" customWidth="1"/>
    <col min="3068" max="3068" width="9.140625" style="178" bestFit="1" customWidth="1"/>
    <col min="3069" max="3069" width="10.28515625" style="178" customWidth="1"/>
    <col min="3070" max="3308" width="9.140625" style="178"/>
    <col min="3309" max="3309" width="4.28515625" style="178" bestFit="1" customWidth="1"/>
    <col min="3310" max="3310" width="6.85546875" style="178" bestFit="1" customWidth="1"/>
    <col min="3311" max="3311" width="11" style="178" customWidth="1"/>
    <col min="3312" max="3312" width="11.140625" style="178" bestFit="1" customWidth="1"/>
    <col min="3313" max="3313" width="10.85546875" style="178" customWidth="1"/>
    <col min="3314" max="3314" width="11.5703125" style="178" customWidth="1"/>
    <col min="3315" max="3315" width="11.140625" style="178" bestFit="1" customWidth="1"/>
    <col min="3316" max="3316" width="11" style="178" customWidth="1"/>
    <col min="3317" max="3317" width="10.42578125" style="178" customWidth="1"/>
    <col min="3318" max="3318" width="11.28515625" style="178" customWidth="1"/>
    <col min="3319" max="3320" width="9.140625" style="178" bestFit="1" customWidth="1"/>
    <col min="3321" max="3322" width="11.140625" style="178" bestFit="1" customWidth="1"/>
    <col min="3323" max="3323" width="11.5703125" style="178" bestFit="1" customWidth="1"/>
    <col min="3324" max="3324" width="9.140625" style="178" bestFit="1" customWidth="1"/>
    <col min="3325" max="3325" width="10.28515625" style="178" customWidth="1"/>
    <col min="3326" max="3564" width="9.140625" style="178"/>
    <col min="3565" max="3565" width="4.28515625" style="178" bestFit="1" customWidth="1"/>
    <col min="3566" max="3566" width="6.85546875" style="178" bestFit="1" customWidth="1"/>
    <col min="3567" max="3567" width="11" style="178" customWidth="1"/>
    <col min="3568" max="3568" width="11.140625" style="178" bestFit="1" customWidth="1"/>
    <col min="3569" max="3569" width="10.85546875" style="178" customWidth="1"/>
    <col min="3570" max="3570" width="11.5703125" style="178" customWidth="1"/>
    <col min="3571" max="3571" width="11.140625" style="178" bestFit="1" customWidth="1"/>
    <col min="3572" max="3572" width="11" style="178" customWidth="1"/>
    <col min="3573" max="3573" width="10.42578125" style="178" customWidth="1"/>
    <col min="3574" max="3574" width="11.28515625" style="178" customWidth="1"/>
    <col min="3575" max="3576" width="9.140625" style="178" bestFit="1" customWidth="1"/>
    <col min="3577" max="3578" width="11.140625" style="178" bestFit="1" customWidth="1"/>
    <col min="3579" max="3579" width="11.5703125" style="178" bestFit="1" customWidth="1"/>
    <col min="3580" max="3580" width="9.140625" style="178" bestFit="1" customWidth="1"/>
    <col min="3581" max="3581" width="10.28515625" style="178" customWidth="1"/>
    <col min="3582" max="3820" width="9.140625" style="178"/>
    <col min="3821" max="3821" width="4.28515625" style="178" bestFit="1" customWidth="1"/>
    <col min="3822" max="3822" width="6.85546875" style="178" bestFit="1" customWidth="1"/>
    <col min="3823" max="3823" width="11" style="178" customWidth="1"/>
    <col min="3824" max="3824" width="11.140625" style="178" bestFit="1" customWidth="1"/>
    <col min="3825" max="3825" width="10.85546875" style="178" customWidth="1"/>
    <col min="3826" max="3826" width="11.5703125" style="178" customWidth="1"/>
    <col min="3827" max="3827" width="11.140625" style="178" bestFit="1" customWidth="1"/>
    <col min="3828" max="3828" width="11" style="178" customWidth="1"/>
    <col min="3829" max="3829" width="10.42578125" style="178" customWidth="1"/>
    <col min="3830" max="3830" width="11.28515625" style="178" customWidth="1"/>
    <col min="3831" max="3832" width="9.140625" style="178" bestFit="1" customWidth="1"/>
    <col min="3833" max="3834" width="11.140625" style="178" bestFit="1" customWidth="1"/>
    <col min="3835" max="3835" width="11.5703125" style="178" bestFit="1" customWidth="1"/>
    <col min="3836" max="3836" width="9.140625" style="178" bestFit="1" customWidth="1"/>
    <col min="3837" max="3837" width="10.28515625" style="178" customWidth="1"/>
    <col min="3838" max="4076" width="9.140625" style="178"/>
    <col min="4077" max="4077" width="4.28515625" style="178" bestFit="1" customWidth="1"/>
    <col min="4078" max="4078" width="6.85546875" style="178" bestFit="1" customWidth="1"/>
    <col min="4079" max="4079" width="11" style="178" customWidth="1"/>
    <col min="4080" max="4080" width="11.140625" style="178" bestFit="1" customWidth="1"/>
    <col min="4081" max="4081" width="10.85546875" style="178" customWidth="1"/>
    <col min="4082" max="4082" width="11.5703125" style="178" customWidth="1"/>
    <col min="4083" max="4083" width="11.140625" style="178" bestFit="1" customWidth="1"/>
    <col min="4084" max="4084" width="11" style="178" customWidth="1"/>
    <col min="4085" max="4085" width="10.42578125" style="178" customWidth="1"/>
    <col min="4086" max="4086" width="11.28515625" style="178" customWidth="1"/>
    <col min="4087" max="4088" width="9.140625" style="178" bestFit="1" customWidth="1"/>
    <col min="4089" max="4090" width="11.140625" style="178" bestFit="1" customWidth="1"/>
    <col min="4091" max="4091" width="11.5703125" style="178" bestFit="1" customWidth="1"/>
    <col min="4092" max="4092" width="9.140625" style="178" bestFit="1" customWidth="1"/>
    <col min="4093" max="4093" width="10.28515625" style="178" customWidth="1"/>
    <col min="4094" max="4332" width="9.140625" style="178"/>
    <col min="4333" max="4333" width="4.28515625" style="178" bestFit="1" customWidth="1"/>
    <col min="4334" max="4334" width="6.85546875" style="178" bestFit="1" customWidth="1"/>
    <col min="4335" max="4335" width="11" style="178" customWidth="1"/>
    <col min="4336" max="4336" width="11.140625" style="178" bestFit="1" customWidth="1"/>
    <col min="4337" max="4337" width="10.85546875" style="178" customWidth="1"/>
    <col min="4338" max="4338" width="11.5703125" style="178" customWidth="1"/>
    <col min="4339" max="4339" width="11.140625" style="178" bestFit="1" customWidth="1"/>
    <col min="4340" max="4340" width="11" style="178" customWidth="1"/>
    <col min="4341" max="4341" width="10.42578125" style="178" customWidth="1"/>
    <col min="4342" max="4342" width="11.28515625" style="178" customWidth="1"/>
    <col min="4343" max="4344" width="9.140625" style="178" bestFit="1" customWidth="1"/>
    <col min="4345" max="4346" width="11.140625" style="178" bestFit="1" customWidth="1"/>
    <col min="4347" max="4347" width="11.5703125" style="178" bestFit="1" customWidth="1"/>
    <col min="4348" max="4348" width="9.140625" style="178" bestFit="1" customWidth="1"/>
    <col min="4349" max="4349" width="10.28515625" style="178" customWidth="1"/>
    <col min="4350" max="4588" width="9.140625" style="178"/>
    <col min="4589" max="4589" width="4.28515625" style="178" bestFit="1" customWidth="1"/>
    <col min="4590" max="4590" width="6.85546875" style="178" bestFit="1" customWidth="1"/>
    <col min="4591" max="4591" width="11" style="178" customWidth="1"/>
    <col min="4592" max="4592" width="11.140625" style="178" bestFit="1" customWidth="1"/>
    <col min="4593" max="4593" width="10.85546875" style="178" customWidth="1"/>
    <col min="4594" max="4594" width="11.5703125" style="178" customWidth="1"/>
    <col min="4595" max="4595" width="11.140625" style="178" bestFit="1" customWidth="1"/>
    <col min="4596" max="4596" width="11" style="178" customWidth="1"/>
    <col min="4597" max="4597" width="10.42578125" style="178" customWidth="1"/>
    <col min="4598" max="4598" width="11.28515625" style="178" customWidth="1"/>
    <col min="4599" max="4600" width="9.140625" style="178" bestFit="1" customWidth="1"/>
    <col min="4601" max="4602" width="11.140625" style="178" bestFit="1" customWidth="1"/>
    <col min="4603" max="4603" width="11.5703125" style="178" bestFit="1" customWidth="1"/>
    <col min="4604" max="4604" width="9.140625" style="178" bestFit="1" customWidth="1"/>
    <col min="4605" max="4605" width="10.28515625" style="178" customWidth="1"/>
    <col min="4606" max="4844" width="9.140625" style="178"/>
    <col min="4845" max="4845" width="4.28515625" style="178" bestFit="1" customWidth="1"/>
    <col min="4846" max="4846" width="6.85546875" style="178" bestFit="1" customWidth="1"/>
    <col min="4847" max="4847" width="11" style="178" customWidth="1"/>
    <col min="4848" max="4848" width="11.140625" style="178" bestFit="1" customWidth="1"/>
    <col min="4849" max="4849" width="10.85546875" style="178" customWidth="1"/>
    <col min="4850" max="4850" width="11.5703125" style="178" customWidth="1"/>
    <col min="4851" max="4851" width="11.140625" style="178" bestFit="1" customWidth="1"/>
    <col min="4852" max="4852" width="11" style="178" customWidth="1"/>
    <col min="4853" max="4853" width="10.42578125" style="178" customWidth="1"/>
    <col min="4854" max="4854" width="11.28515625" style="178" customWidth="1"/>
    <col min="4855" max="4856" width="9.140625" style="178" bestFit="1" customWidth="1"/>
    <col min="4857" max="4858" width="11.140625" style="178" bestFit="1" customWidth="1"/>
    <col min="4859" max="4859" width="11.5703125" style="178" bestFit="1" customWidth="1"/>
    <col min="4860" max="4860" width="9.140625" style="178" bestFit="1" customWidth="1"/>
    <col min="4861" max="4861" width="10.28515625" style="178" customWidth="1"/>
    <col min="4862" max="5100" width="9.140625" style="178"/>
    <col min="5101" max="5101" width="4.28515625" style="178" bestFit="1" customWidth="1"/>
    <col min="5102" max="5102" width="6.85546875" style="178" bestFit="1" customWidth="1"/>
    <col min="5103" max="5103" width="11" style="178" customWidth="1"/>
    <col min="5104" max="5104" width="11.140625" style="178" bestFit="1" customWidth="1"/>
    <col min="5105" max="5105" width="10.85546875" style="178" customWidth="1"/>
    <col min="5106" max="5106" width="11.5703125" style="178" customWidth="1"/>
    <col min="5107" max="5107" width="11.140625" style="178" bestFit="1" customWidth="1"/>
    <col min="5108" max="5108" width="11" style="178" customWidth="1"/>
    <col min="5109" max="5109" width="10.42578125" style="178" customWidth="1"/>
    <col min="5110" max="5110" width="11.28515625" style="178" customWidth="1"/>
    <col min="5111" max="5112" width="9.140625" style="178" bestFit="1" customWidth="1"/>
    <col min="5113" max="5114" width="11.140625" style="178" bestFit="1" customWidth="1"/>
    <col min="5115" max="5115" width="11.5703125" style="178" bestFit="1" customWidth="1"/>
    <col min="5116" max="5116" width="9.140625" style="178" bestFit="1" customWidth="1"/>
    <col min="5117" max="5117" width="10.28515625" style="178" customWidth="1"/>
    <col min="5118" max="5356" width="9.140625" style="178"/>
    <col min="5357" max="5357" width="4.28515625" style="178" bestFit="1" customWidth="1"/>
    <col min="5358" max="5358" width="6.85546875" style="178" bestFit="1" customWidth="1"/>
    <col min="5359" max="5359" width="11" style="178" customWidth="1"/>
    <col min="5360" max="5360" width="11.140625" style="178" bestFit="1" customWidth="1"/>
    <col min="5361" max="5361" width="10.85546875" style="178" customWidth="1"/>
    <col min="5362" max="5362" width="11.5703125" style="178" customWidth="1"/>
    <col min="5363" max="5363" width="11.140625" style="178" bestFit="1" customWidth="1"/>
    <col min="5364" max="5364" width="11" style="178" customWidth="1"/>
    <col min="5365" max="5365" width="10.42578125" style="178" customWidth="1"/>
    <col min="5366" max="5366" width="11.28515625" style="178" customWidth="1"/>
    <col min="5367" max="5368" width="9.140625" style="178" bestFit="1" customWidth="1"/>
    <col min="5369" max="5370" width="11.140625" style="178" bestFit="1" customWidth="1"/>
    <col min="5371" max="5371" width="11.5703125" style="178" bestFit="1" customWidth="1"/>
    <col min="5372" max="5372" width="9.140625" style="178" bestFit="1" customWidth="1"/>
    <col min="5373" max="5373" width="10.28515625" style="178" customWidth="1"/>
    <col min="5374" max="5612" width="9.140625" style="178"/>
    <col min="5613" max="5613" width="4.28515625" style="178" bestFit="1" customWidth="1"/>
    <col min="5614" max="5614" width="6.85546875" style="178" bestFit="1" customWidth="1"/>
    <col min="5615" max="5615" width="11" style="178" customWidth="1"/>
    <col min="5616" max="5616" width="11.140625" style="178" bestFit="1" customWidth="1"/>
    <col min="5617" max="5617" width="10.85546875" style="178" customWidth="1"/>
    <col min="5618" max="5618" width="11.5703125" style="178" customWidth="1"/>
    <col min="5619" max="5619" width="11.140625" style="178" bestFit="1" customWidth="1"/>
    <col min="5620" max="5620" width="11" style="178" customWidth="1"/>
    <col min="5621" max="5621" width="10.42578125" style="178" customWidth="1"/>
    <col min="5622" max="5622" width="11.28515625" style="178" customWidth="1"/>
    <col min="5623" max="5624" width="9.140625" style="178" bestFit="1" customWidth="1"/>
    <col min="5625" max="5626" width="11.140625" style="178" bestFit="1" customWidth="1"/>
    <col min="5627" max="5627" width="11.5703125" style="178" bestFit="1" customWidth="1"/>
    <col min="5628" max="5628" width="9.140625" style="178" bestFit="1" customWidth="1"/>
    <col min="5629" max="5629" width="10.28515625" style="178" customWidth="1"/>
    <col min="5630" max="5868" width="9.140625" style="178"/>
    <col min="5869" max="5869" width="4.28515625" style="178" bestFit="1" customWidth="1"/>
    <col min="5870" max="5870" width="6.85546875" style="178" bestFit="1" customWidth="1"/>
    <col min="5871" max="5871" width="11" style="178" customWidth="1"/>
    <col min="5872" max="5872" width="11.140625" style="178" bestFit="1" customWidth="1"/>
    <col min="5873" max="5873" width="10.85546875" style="178" customWidth="1"/>
    <col min="5874" max="5874" width="11.5703125" style="178" customWidth="1"/>
    <col min="5875" max="5875" width="11.140625" style="178" bestFit="1" customWidth="1"/>
    <col min="5876" max="5876" width="11" style="178" customWidth="1"/>
    <col min="5877" max="5877" width="10.42578125" style="178" customWidth="1"/>
    <col min="5878" max="5878" width="11.28515625" style="178" customWidth="1"/>
    <col min="5879" max="5880" width="9.140625" style="178" bestFit="1" customWidth="1"/>
    <col min="5881" max="5882" width="11.140625" style="178" bestFit="1" customWidth="1"/>
    <col min="5883" max="5883" width="11.5703125" style="178" bestFit="1" customWidth="1"/>
    <col min="5884" max="5884" width="9.140625" style="178" bestFit="1" customWidth="1"/>
    <col min="5885" max="5885" width="10.28515625" style="178" customWidth="1"/>
    <col min="5886" max="6124" width="9.140625" style="178"/>
    <col min="6125" max="6125" width="4.28515625" style="178" bestFit="1" customWidth="1"/>
    <col min="6126" max="6126" width="6.85546875" style="178" bestFit="1" customWidth="1"/>
    <col min="6127" max="6127" width="11" style="178" customWidth="1"/>
    <col min="6128" max="6128" width="11.140625" style="178" bestFit="1" customWidth="1"/>
    <col min="6129" max="6129" width="10.85546875" style="178" customWidth="1"/>
    <col min="6130" max="6130" width="11.5703125" style="178" customWidth="1"/>
    <col min="6131" max="6131" width="11.140625" style="178" bestFit="1" customWidth="1"/>
    <col min="6132" max="6132" width="11" style="178" customWidth="1"/>
    <col min="6133" max="6133" width="10.42578125" style="178" customWidth="1"/>
    <col min="6134" max="6134" width="11.28515625" style="178" customWidth="1"/>
    <col min="6135" max="6136" width="9.140625" style="178" bestFit="1" customWidth="1"/>
    <col min="6137" max="6138" width="11.140625" style="178" bestFit="1" customWidth="1"/>
    <col min="6139" max="6139" width="11.5703125" style="178" bestFit="1" customWidth="1"/>
    <col min="6140" max="6140" width="9.140625" style="178" bestFit="1" customWidth="1"/>
    <col min="6141" max="6141" width="10.28515625" style="178" customWidth="1"/>
    <col min="6142" max="6380" width="9.140625" style="178"/>
    <col min="6381" max="6381" width="4.28515625" style="178" bestFit="1" customWidth="1"/>
    <col min="6382" max="6382" width="6.85546875" style="178" bestFit="1" customWidth="1"/>
    <col min="6383" max="6383" width="11" style="178" customWidth="1"/>
    <col min="6384" max="6384" width="11.140625" style="178" bestFit="1" customWidth="1"/>
    <col min="6385" max="6385" width="10.85546875" style="178" customWidth="1"/>
    <col min="6386" max="6386" width="11.5703125" style="178" customWidth="1"/>
    <col min="6387" max="6387" width="11.140625" style="178" bestFit="1" customWidth="1"/>
    <col min="6388" max="6388" width="11" style="178" customWidth="1"/>
    <col min="6389" max="6389" width="10.42578125" style="178" customWidth="1"/>
    <col min="6390" max="6390" width="11.28515625" style="178" customWidth="1"/>
    <col min="6391" max="6392" width="9.140625" style="178" bestFit="1" customWidth="1"/>
    <col min="6393" max="6394" width="11.140625" style="178" bestFit="1" customWidth="1"/>
    <col min="6395" max="6395" width="11.5703125" style="178" bestFit="1" customWidth="1"/>
    <col min="6396" max="6396" width="9.140625" style="178" bestFit="1" customWidth="1"/>
    <col min="6397" max="6397" width="10.28515625" style="178" customWidth="1"/>
    <col min="6398" max="6636" width="9.140625" style="178"/>
    <col min="6637" max="6637" width="4.28515625" style="178" bestFit="1" customWidth="1"/>
    <col min="6638" max="6638" width="6.85546875" style="178" bestFit="1" customWidth="1"/>
    <col min="6639" max="6639" width="11" style="178" customWidth="1"/>
    <col min="6640" max="6640" width="11.140625" style="178" bestFit="1" customWidth="1"/>
    <col min="6641" max="6641" width="10.85546875" style="178" customWidth="1"/>
    <col min="6642" max="6642" width="11.5703125" style="178" customWidth="1"/>
    <col min="6643" max="6643" width="11.140625" style="178" bestFit="1" customWidth="1"/>
    <col min="6644" max="6644" width="11" style="178" customWidth="1"/>
    <col min="6645" max="6645" width="10.42578125" style="178" customWidth="1"/>
    <col min="6646" max="6646" width="11.28515625" style="178" customWidth="1"/>
    <col min="6647" max="6648" width="9.140625" style="178" bestFit="1" customWidth="1"/>
    <col min="6649" max="6650" width="11.140625" style="178" bestFit="1" customWidth="1"/>
    <col min="6651" max="6651" width="11.5703125" style="178" bestFit="1" customWidth="1"/>
    <col min="6652" max="6652" width="9.140625" style="178" bestFit="1" customWidth="1"/>
    <col min="6653" max="6653" width="10.28515625" style="178" customWidth="1"/>
    <col min="6654" max="6892" width="9.140625" style="178"/>
    <col min="6893" max="6893" width="4.28515625" style="178" bestFit="1" customWidth="1"/>
    <col min="6894" max="6894" width="6.85546875" style="178" bestFit="1" customWidth="1"/>
    <col min="6895" max="6895" width="11" style="178" customWidth="1"/>
    <col min="6896" max="6896" width="11.140625" style="178" bestFit="1" customWidth="1"/>
    <col min="6897" max="6897" width="10.85546875" style="178" customWidth="1"/>
    <col min="6898" max="6898" width="11.5703125" style="178" customWidth="1"/>
    <col min="6899" max="6899" width="11.140625" style="178" bestFit="1" customWidth="1"/>
    <col min="6900" max="6900" width="11" style="178" customWidth="1"/>
    <col min="6901" max="6901" width="10.42578125" style="178" customWidth="1"/>
    <col min="6902" max="6902" width="11.28515625" style="178" customWidth="1"/>
    <col min="6903" max="6904" width="9.140625" style="178" bestFit="1" customWidth="1"/>
    <col min="6905" max="6906" width="11.140625" style="178" bestFit="1" customWidth="1"/>
    <col min="6907" max="6907" width="11.5703125" style="178" bestFit="1" customWidth="1"/>
    <col min="6908" max="6908" width="9.140625" style="178" bestFit="1" customWidth="1"/>
    <col min="6909" max="6909" width="10.28515625" style="178" customWidth="1"/>
    <col min="6910" max="7148" width="9.140625" style="178"/>
    <col min="7149" max="7149" width="4.28515625" style="178" bestFit="1" customWidth="1"/>
    <col min="7150" max="7150" width="6.85546875" style="178" bestFit="1" customWidth="1"/>
    <col min="7151" max="7151" width="11" style="178" customWidth="1"/>
    <col min="7152" max="7152" width="11.140625" style="178" bestFit="1" customWidth="1"/>
    <col min="7153" max="7153" width="10.85546875" style="178" customWidth="1"/>
    <col min="7154" max="7154" width="11.5703125" style="178" customWidth="1"/>
    <col min="7155" max="7155" width="11.140625" style="178" bestFit="1" customWidth="1"/>
    <col min="7156" max="7156" width="11" style="178" customWidth="1"/>
    <col min="7157" max="7157" width="10.42578125" style="178" customWidth="1"/>
    <col min="7158" max="7158" width="11.28515625" style="178" customWidth="1"/>
    <col min="7159" max="7160" width="9.140625" style="178" bestFit="1" customWidth="1"/>
    <col min="7161" max="7162" width="11.140625" style="178" bestFit="1" customWidth="1"/>
    <col min="7163" max="7163" width="11.5703125" style="178" bestFit="1" customWidth="1"/>
    <col min="7164" max="7164" width="9.140625" style="178" bestFit="1" customWidth="1"/>
    <col min="7165" max="7165" width="10.28515625" style="178" customWidth="1"/>
    <col min="7166" max="7404" width="9.140625" style="178"/>
    <col min="7405" max="7405" width="4.28515625" style="178" bestFit="1" customWidth="1"/>
    <col min="7406" max="7406" width="6.85546875" style="178" bestFit="1" customWidth="1"/>
    <col min="7407" max="7407" width="11" style="178" customWidth="1"/>
    <col min="7408" max="7408" width="11.140625" style="178" bestFit="1" customWidth="1"/>
    <col min="7409" max="7409" width="10.85546875" style="178" customWidth="1"/>
    <col min="7410" max="7410" width="11.5703125" style="178" customWidth="1"/>
    <col min="7411" max="7411" width="11.140625" style="178" bestFit="1" customWidth="1"/>
    <col min="7412" max="7412" width="11" style="178" customWidth="1"/>
    <col min="7413" max="7413" width="10.42578125" style="178" customWidth="1"/>
    <col min="7414" max="7414" width="11.28515625" style="178" customWidth="1"/>
    <col min="7415" max="7416" width="9.140625" style="178" bestFit="1" customWidth="1"/>
    <col min="7417" max="7418" width="11.140625" style="178" bestFit="1" customWidth="1"/>
    <col min="7419" max="7419" width="11.5703125" style="178" bestFit="1" customWidth="1"/>
    <col min="7420" max="7420" width="9.140625" style="178" bestFit="1" customWidth="1"/>
    <col min="7421" max="7421" width="10.28515625" style="178" customWidth="1"/>
    <col min="7422" max="7660" width="9.140625" style="178"/>
    <col min="7661" max="7661" width="4.28515625" style="178" bestFit="1" customWidth="1"/>
    <col min="7662" max="7662" width="6.85546875" style="178" bestFit="1" customWidth="1"/>
    <col min="7663" max="7663" width="11" style="178" customWidth="1"/>
    <col min="7664" max="7664" width="11.140625" style="178" bestFit="1" customWidth="1"/>
    <col min="7665" max="7665" width="10.85546875" style="178" customWidth="1"/>
    <col min="7666" max="7666" width="11.5703125" style="178" customWidth="1"/>
    <col min="7667" max="7667" width="11.140625" style="178" bestFit="1" customWidth="1"/>
    <col min="7668" max="7668" width="11" style="178" customWidth="1"/>
    <col min="7669" max="7669" width="10.42578125" style="178" customWidth="1"/>
    <col min="7670" max="7670" width="11.28515625" style="178" customWidth="1"/>
    <col min="7671" max="7672" width="9.140625" style="178" bestFit="1" customWidth="1"/>
    <col min="7673" max="7674" width="11.140625" style="178" bestFit="1" customWidth="1"/>
    <col min="7675" max="7675" width="11.5703125" style="178" bestFit="1" customWidth="1"/>
    <col min="7676" max="7676" width="9.140625" style="178" bestFit="1" customWidth="1"/>
    <col min="7677" max="7677" width="10.28515625" style="178" customWidth="1"/>
    <col min="7678" max="7916" width="9.140625" style="178"/>
    <col min="7917" max="7917" width="4.28515625" style="178" bestFit="1" customWidth="1"/>
    <col min="7918" max="7918" width="6.85546875" style="178" bestFit="1" customWidth="1"/>
    <col min="7919" max="7919" width="11" style="178" customWidth="1"/>
    <col min="7920" max="7920" width="11.140625" style="178" bestFit="1" customWidth="1"/>
    <col min="7921" max="7921" width="10.85546875" style="178" customWidth="1"/>
    <col min="7922" max="7922" width="11.5703125" style="178" customWidth="1"/>
    <col min="7923" max="7923" width="11.140625" style="178" bestFit="1" customWidth="1"/>
    <col min="7924" max="7924" width="11" style="178" customWidth="1"/>
    <col min="7925" max="7925" width="10.42578125" style="178" customWidth="1"/>
    <col min="7926" max="7926" width="11.28515625" style="178" customWidth="1"/>
    <col min="7927" max="7928" width="9.140625" style="178" bestFit="1" customWidth="1"/>
    <col min="7929" max="7930" width="11.140625" style="178" bestFit="1" customWidth="1"/>
    <col min="7931" max="7931" width="11.5703125" style="178" bestFit="1" customWidth="1"/>
    <col min="7932" max="7932" width="9.140625" style="178" bestFit="1" customWidth="1"/>
    <col min="7933" max="7933" width="10.28515625" style="178" customWidth="1"/>
    <col min="7934" max="8172" width="9.140625" style="178"/>
    <col min="8173" max="8173" width="4.28515625" style="178" bestFit="1" customWidth="1"/>
    <col min="8174" max="8174" width="6.85546875" style="178" bestFit="1" customWidth="1"/>
    <col min="8175" max="8175" width="11" style="178" customWidth="1"/>
    <col min="8176" max="8176" width="11.140625" style="178" bestFit="1" customWidth="1"/>
    <col min="8177" max="8177" width="10.85546875" style="178" customWidth="1"/>
    <col min="8178" max="8178" width="11.5703125" style="178" customWidth="1"/>
    <col min="8179" max="8179" width="11.140625" style="178" bestFit="1" customWidth="1"/>
    <col min="8180" max="8180" width="11" style="178" customWidth="1"/>
    <col min="8181" max="8181" width="10.42578125" style="178" customWidth="1"/>
    <col min="8182" max="8182" width="11.28515625" style="178" customWidth="1"/>
    <col min="8183" max="8184" width="9.140625" style="178" bestFit="1" customWidth="1"/>
    <col min="8185" max="8186" width="11.140625" style="178" bestFit="1" customWidth="1"/>
    <col min="8187" max="8187" width="11.5703125" style="178" bestFit="1" customWidth="1"/>
    <col min="8188" max="8188" width="9.140625" style="178" bestFit="1" customWidth="1"/>
    <col min="8189" max="8189" width="10.28515625" style="178" customWidth="1"/>
    <col min="8190" max="8428" width="9.140625" style="178"/>
    <col min="8429" max="8429" width="4.28515625" style="178" bestFit="1" customWidth="1"/>
    <col min="8430" max="8430" width="6.85546875" style="178" bestFit="1" customWidth="1"/>
    <col min="8431" max="8431" width="11" style="178" customWidth="1"/>
    <col min="8432" max="8432" width="11.140625" style="178" bestFit="1" customWidth="1"/>
    <col min="8433" max="8433" width="10.85546875" style="178" customWidth="1"/>
    <col min="8434" max="8434" width="11.5703125" style="178" customWidth="1"/>
    <col min="8435" max="8435" width="11.140625" style="178" bestFit="1" customWidth="1"/>
    <col min="8436" max="8436" width="11" style="178" customWidth="1"/>
    <col min="8437" max="8437" width="10.42578125" style="178" customWidth="1"/>
    <col min="8438" max="8438" width="11.28515625" style="178" customWidth="1"/>
    <col min="8439" max="8440" width="9.140625" style="178" bestFit="1" customWidth="1"/>
    <col min="8441" max="8442" width="11.140625" style="178" bestFit="1" customWidth="1"/>
    <col min="8443" max="8443" width="11.5703125" style="178" bestFit="1" customWidth="1"/>
    <col min="8444" max="8444" width="9.140625" style="178" bestFit="1" customWidth="1"/>
    <col min="8445" max="8445" width="10.28515625" style="178" customWidth="1"/>
    <col min="8446" max="8684" width="9.140625" style="178"/>
    <col min="8685" max="8685" width="4.28515625" style="178" bestFit="1" customWidth="1"/>
    <col min="8686" max="8686" width="6.85546875" style="178" bestFit="1" customWidth="1"/>
    <col min="8687" max="8687" width="11" style="178" customWidth="1"/>
    <col min="8688" max="8688" width="11.140625" style="178" bestFit="1" customWidth="1"/>
    <col min="8689" max="8689" width="10.85546875" style="178" customWidth="1"/>
    <col min="8690" max="8690" width="11.5703125" style="178" customWidth="1"/>
    <col min="8691" max="8691" width="11.140625" style="178" bestFit="1" customWidth="1"/>
    <col min="8692" max="8692" width="11" style="178" customWidth="1"/>
    <col min="8693" max="8693" width="10.42578125" style="178" customWidth="1"/>
    <col min="8694" max="8694" width="11.28515625" style="178" customWidth="1"/>
    <col min="8695" max="8696" width="9.140625" style="178" bestFit="1" customWidth="1"/>
    <col min="8697" max="8698" width="11.140625" style="178" bestFit="1" customWidth="1"/>
    <col min="8699" max="8699" width="11.5703125" style="178" bestFit="1" customWidth="1"/>
    <col min="8700" max="8700" width="9.140625" style="178" bestFit="1" customWidth="1"/>
    <col min="8701" max="8701" width="10.28515625" style="178" customWidth="1"/>
    <col min="8702" max="8940" width="9.140625" style="178"/>
    <col min="8941" max="8941" width="4.28515625" style="178" bestFit="1" customWidth="1"/>
    <col min="8942" max="8942" width="6.85546875" style="178" bestFit="1" customWidth="1"/>
    <col min="8943" max="8943" width="11" style="178" customWidth="1"/>
    <col min="8944" max="8944" width="11.140625" style="178" bestFit="1" customWidth="1"/>
    <col min="8945" max="8945" width="10.85546875" style="178" customWidth="1"/>
    <col min="8946" max="8946" width="11.5703125" style="178" customWidth="1"/>
    <col min="8947" max="8947" width="11.140625" style="178" bestFit="1" customWidth="1"/>
    <col min="8948" max="8948" width="11" style="178" customWidth="1"/>
    <col min="8949" max="8949" width="10.42578125" style="178" customWidth="1"/>
    <col min="8950" max="8950" width="11.28515625" style="178" customWidth="1"/>
    <col min="8951" max="8952" width="9.140625" style="178" bestFit="1" customWidth="1"/>
    <col min="8953" max="8954" width="11.140625" style="178" bestFit="1" customWidth="1"/>
    <col min="8955" max="8955" width="11.5703125" style="178" bestFit="1" customWidth="1"/>
    <col min="8956" max="8956" width="9.140625" style="178" bestFit="1" customWidth="1"/>
    <col min="8957" max="8957" width="10.28515625" style="178" customWidth="1"/>
    <col min="8958" max="9196" width="9.140625" style="178"/>
    <col min="9197" max="9197" width="4.28515625" style="178" bestFit="1" customWidth="1"/>
    <col min="9198" max="9198" width="6.85546875" style="178" bestFit="1" customWidth="1"/>
    <col min="9199" max="9199" width="11" style="178" customWidth="1"/>
    <col min="9200" max="9200" width="11.140625" style="178" bestFit="1" customWidth="1"/>
    <col min="9201" max="9201" width="10.85546875" style="178" customWidth="1"/>
    <col min="9202" max="9202" width="11.5703125" style="178" customWidth="1"/>
    <col min="9203" max="9203" width="11.140625" style="178" bestFit="1" customWidth="1"/>
    <col min="9204" max="9204" width="11" style="178" customWidth="1"/>
    <col min="9205" max="9205" width="10.42578125" style="178" customWidth="1"/>
    <col min="9206" max="9206" width="11.28515625" style="178" customWidth="1"/>
    <col min="9207" max="9208" width="9.140625" style="178" bestFit="1" customWidth="1"/>
    <col min="9209" max="9210" width="11.140625" style="178" bestFit="1" customWidth="1"/>
    <col min="9211" max="9211" width="11.5703125" style="178" bestFit="1" customWidth="1"/>
    <col min="9212" max="9212" width="9.140625" style="178" bestFit="1" customWidth="1"/>
    <col min="9213" max="9213" width="10.28515625" style="178" customWidth="1"/>
    <col min="9214" max="9452" width="9.140625" style="178"/>
    <col min="9453" max="9453" width="4.28515625" style="178" bestFit="1" customWidth="1"/>
    <col min="9454" max="9454" width="6.85546875" style="178" bestFit="1" customWidth="1"/>
    <col min="9455" max="9455" width="11" style="178" customWidth="1"/>
    <col min="9456" max="9456" width="11.140625" style="178" bestFit="1" customWidth="1"/>
    <col min="9457" max="9457" width="10.85546875" style="178" customWidth="1"/>
    <col min="9458" max="9458" width="11.5703125" style="178" customWidth="1"/>
    <col min="9459" max="9459" width="11.140625" style="178" bestFit="1" customWidth="1"/>
    <col min="9460" max="9460" width="11" style="178" customWidth="1"/>
    <col min="9461" max="9461" width="10.42578125" style="178" customWidth="1"/>
    <col min="9462" max="9462" width="11.28515625" style="178" customWidth="1"/>
    <col min="9463" max="9464" width="9.140625" style="178" bestFit="1" customWidth="1"/>
    <col min="9465" max="9466" width="11.140625" style="178" bestFit="1" customWidth="1"/>
    <col min="9467" max="9467" width="11.5703125" style="178" bestFit="1" customWidth="1"/>
    <col min="9468" max="9468" width="9.140625" style="178" bestFit="1" customWidth="1"/>
    <col min="9469" max="9469" width="10.28515625" style="178" customWidth="1"/>
    <col min="9470" max="9708" width="9.140625" style="178"/>
    <col min="9709" max="9709" width="4.28515625" style="178" bestFit="1" customWidth="1"/>
    <col min="9710" max="9710" width="6.85546875" style="178" bestFit="1" customWidth="1"/>
    <col min="9711" max="9711" width="11" style="178" customWidth="1"/>
    <col min="9712" max="9712" width="11.140625" style="178" bestFit="1" customWidth="1"/>
    <col min="9713" max="9713" width="10.85546875" style="178" customWidth="1"/>
    <col min="9714" max="9714" width="11.5703125" style="178" customWidth="1"/>
    <col min="9715" max="9715" width="11.140625" style="178" bestFit="1" customWidth="1"/>
    <col min="9716" max="9716" width="11" style="178" customWidth="1"/>
    <col min="9717" max="9717" width="10.42578125" style="178" customWidth="1"/>
    <col min="9718" max="9718" width="11.28515625" style="178" customWidth="1"/>
    <col min="9719" max="9720" width="9.140625" style="178" bestFit="1" customWidth="1"/>
    <col min="9721" max="9722" width="11.140625" style="178" bestFit="1" customWidth="1"/>
    <col min="9723" max="9723" width="11.5703125" style="178" bestFit="1" customWidth="1"/>
    <col min="9724" max="9724" width="9.140625" style="178" bestFit="1" customWidth="1"/>
    <col min="9725" max="9725" width="10.28515625" style="178" customWidth="1"/>
    <col min="9726" max="9964" width="9.140625" style="178"/>
    <col min="9965" max="9965" width="4.28515625" style="178" bestFit="1" customWidth="1"/>
    <col min="9966" max="9966" width="6.85546875" style="178" bestFit="1" customWidth="1"/>
    <col min="9967" max="9967" width="11" style="178" customWidth="1"/>
    <col min="9968" max="9968" width="11.140625" style="178" bestFit="1" customWidth="1"/>
    <col min="9969" max="9969" width="10.85546875" style="178" customWidth="1"/>
    <col min="9970" max="9970" width="11.5703125" style="178" customWidth="1"/>
    <col min="9971" max="9971" width="11.140625" style="178" bestFit="1" customWidth="1"/>
    <col min="9972" max="9972" width="11" style="178" customWidth="1"/>
    <col min="9973" max="9973" width="10.42578125" style="178" customWidth="1"/>
    <col min="9974" max="9974" width="11.28515625" style="178" customWidth="1"/>
    <col min="9975" max="9976" width="9.140625" style="178" bestFit="1" customWidth="1"/>
    <col min="9977" max="9978" width="11.140625" style="178" bestFit="1" customWidth="1"/>
    <col min="9979" max="9979" width="11.5703125" style="178" bestFit="1" customWidth="1"/>
    <col min="9980" max="9980" width="9.140625" style="178" bestFit="1" customWidth="1"/>
    <col min="9981" max="9981" width="10.28515625" style="178" customWidth="1"/>
    <col min="9982" max="10220" width="9.140625" style="178"/>
    <col min="10221" max="10221" width="4.28515625" style="178" bestFit="1" customWidth="1"/>
    <col min="10222" max="10222" width="6.85546875" style="178" bestFit="1" customWidth="1"/>
    <col min="10223" max="10223" width="11" style="178" customWidth="1"/>
    <col min="10224" max="10224" width="11.140625" style="178" bestFit="1" customWidth="1"/>
    <col min="10225" max="10225" width="10.85546875" style="178" customWidth="1"/>
    <col min="10226" max="10226" width="11.5703125" style="178" customWidth="1"/>
    <col min="10227" max="10227" width="11.140625" style="178" bestFit="1" customWidth="1"/>
    <col min="10228" max="10228" width="11" style="178" customWidth="1"/>
    <col min="10229" max="10229" width="10.42578125" style="178" customWidth="1"/>
    <col min="10230" max="10230" width="11.28515625" style="178" customWidth="1"/>
    <col min="10231" max="10232" width="9.140625" style="178" bestFit="1" customWidth="1"/>
    <col min="10233" max="10234" width="11.140625" style="178" bestFit="1" customWidth="1"/>
    <col min="10235" max="10235" width="11.5703125" style="178" bestFit="1" customWidth="1"/>
    <col min="10236" max="10236" width="9.140625" style="178" bestFit="1" customWidth="1"/>
    <col min="10237" max="10237" width="10.28515625" style="178" customWidth="1"/>
    <col min="10238" max="10476" width="9.140625" style="178"/>
    <col min="10477" max="10477" width="4.28515625" style="178" bestFit="1" customWidth="1"/>
    <col min="10478" max="10478" width="6.85546875" style="178" bestFit="1" customWidth="1"/>
    <col min="10479" max="10479" width="11" style="178" customWidth="1"/>
    <col min="10480" max="10480" width="11.140625" style="178" bestFit="1" customWidth="1"/>
    <col min="10481" max="10481" width="10.85546875" style="178" customWidth="1"/>
    <col min="10482" max="10482" width="11.5703125" style="178" customWidth="1"/>
    <col min="10483" max="10483" width="11.140625" style="178" bestFit="1" customWidth="1"/>
    <col min="10484" max="10484" width="11" style="178" customWidth="1"/>
    <col min="10485" max="10485" width="10.42578125" style="178" customWidth="1"/>
    <col min="10486" max="10486" width="11.28515625" style="178" customWidth="1"/>
    <col min="10487" max="10488" width="9.140625" style="178" bestFit="1" customWidth="1"/>
    <col min="10489" max="10490" width="11.140625" style="178" bestFit="1" customWidth="1"/>
    <col min="10491" max="10491" width="11.5703125" style="178" bestFit="1" customWidth="1"/>
    <col min="10492" max="10492" width="9.140625" style="178" bestFit="1" customWidth="1"/>
    <col min="10493" max="10493" width="10.28515625" style="178" customWidth="1"/>
    <col min="10494" max="10732" width="9.140625" style="178"/>
    <col min="10733" max="10733" width="4.28515625" style="178" bestFit="1" customWidth="1"/>
    <col min="10734" max="10734" width="6.85546875" style="178" bestFit="1" customWidth="1"/>
    <col min="10735" max="10735" width="11" style="178" customWidth="1"/>
    <col min="10736" max="10736" width="11.140625" style="178" bestFit="1" customWidth="1"/>
    <col min="10737" max="10737" width="10.85546875" style="178" customWidth="1"/>
    <col min="10738" max="10738" width="11.5703125" style="178" customWidth="1"/>
    <col min="10739" max="10739" width="11.140625" style="178" bestFit="1" customWidth="1"/>
    <col min="10740" max="10740" width="11" style="178" customWidth="1"/>
    <col min="10741" max="10741" width="10.42578125" style="178" customWidth="1"/>
    <col min="10742" max="10742" width="11.28515625" style="178" customWidth="1"/>
    <col min="10743" max="10744" width="9.140625" style="178" bestFit="1" customWidth="1"/>
    <col min="10745" max="10746" width="11.140625" style="178" bestFit="1" customWidth="1"/>
    <col min="10747" max="10747" width="11.5703125" style="178" bestFit="1" customWidth="1"/>
    <col min="10748" max="10748" width="9.140625" style="178" bestFit="1" customWidth="1"/>
    <col min="10749" max="10749" width="10.28515625" style="178" customWidth="1"/>
    <col min="10750" max="10988" width="9.140625" style="178"/>
    <col min="10989" max="10989" width="4.28515625" style="178" bestFit="1" customWidth="1"/>
    <col min="10990" max="10990" width="6.85546875" style="178" bestFit="1" customWidth="1"/>
    <col min="10991" max="10991" width="11" style="178" customWidth="1"/>
    <col min="10992" max="10992" width="11.140625" style="178" bestFit="1" customWidth="1"/>
    <col min="10993" max="10993" width="10.85546875" style="178" customWidth="1"/>
    <col min="10994" max="10994" width="11.5703125" style="178" customWidth="1"/>
    <col min="10995" max="10995" width="11.140625" style="178" bestFit="1" customWidth="1"/>
    <col min="10996" max="10996" width="11" style="178" customWidth="1"/>
    <col min="10997" max="10997" width="10.42578125" style="178" customWidth="1"/>
    <col min="10998" max="10998" width="11.28515625" style="178" customWidth="1"/>
    <col min="10999" max="11000" width="9.140625" style="178" bestFit="1" customWidth="1"/>
    <col min="11001" max="11002" width="11.140625" style="178" bestFit="1" customWidth="1"/>
    <col min="11003" max="11003" width="11.5703125" style="178" bestFit="1" customWidth="1"/>
    <col min="11004" max="11004" width="9.140625" style="178" bestFit="1" customWidth="1"/>
    <col min="11005" max="11005" width="10.28515625" style="178" customWidth="1"/>
    <col min="11006" max="11244" width="9.140625" style="178"/>
    <col min="11245" max="11245" width="4.28515625" style="178" bestFit="1" customWidth="1"/>
    <col min="11246" max="11246" width="6.85546875" style="178" bestFit="1" customWidth="1"/>
    <col min="11247" max="11247" width="11" style="178" customWidth="1"/>
    <col min="11248" max="11248" width="11.140625" style="178" bestFit="1" customWidth="1"/>
    <col min="11249" max="11249" width="10.85546875" style="178" customWidth="1"/>
    <col min="11250" max="11250" width="11.5703125" style="178" customWidth="1"/>
    <col min="11251" max="11251" width="11.140625" style="178" bestFit="1" customWidth="1"/>
    <col min="11252" max="11252" width="11" style="178" customWidth="1"/>
    <col min="11253" max="11253" width="10.42578125" style="178" customWidth="1"/>
    <col min="11254" max="11254" width="11.28515625" style="178" customWidth="1"/>
    <col min="11255" max="11256" width="9.140625" style="178" bestFit="1" customWidth="1"/>
    <col min="11257" max="11258" width="11.140625" style="178" bestFit="1" customWidth="1"/>
    <col min="11259" max="11259" width="11.5703125" style="178" bestFit="1" customWidth="1"/>
    <col min="11260" max="11260" width="9.140625" style="178" bestFit="1" customWidth="1"/>
    <col min="11261" max="11261" width="10.28515625" style="178" customWidth="1"/>
    <col min="11262" max="11500" width="9.140625" style="178"/>
    <col min="11501" max="11501" width="4.28515625" style="178" bestFit="1" customWidth="1"/>
    <col min="11502" max="11502" width="6.85546875" style="178" bestFit="1" customWidth="1"/>
    <col min="11503" max="11503" width="11" style="178" customWidth="1"/>
    <col min="11504" max="11504" width="11.140625" style="178" bestFit="1" customWidth="1"/>
    <col min="11505" max="11505" width="10.85546875" style="178" customWidth="1"/>
    <col min="11506" max="11506" width="11.5703125" style="178" customWidth="1"/>
    <col min="11507" max="11507" width="11.140625" style="178" bestFit="1" customWidth="1"/>
    <col min="11508" max="11508" width="11" style="178" customWidth="1"/>
    <col min="11509" max="11509" width="10.42578125" style="178" customWidth="1"/>
    <col min="11510" max="11510" width="11.28515625" style="178" customWidth="1"/>
    <col min="11511" max="11512" width="9.140625" style="178" bestFit="1" customWidth="1"/>
    <col min="11513" max="11514" width="11.140625" style="178" bestFit="1" customWidth="1"/>
    <col min="11515" max="11515" width="11.5703125" style="178" bestFit="1" customWidth="1"/>
    <col min="11516" max="11516" width="9.140625" style="178" bestFit="1" customWidth="1"/>
    <col min="11517" max="11517" width="10.28515625" style="178" customWidth="1"/>
    <col min="11518" max="11756" width="9.140625" style="178"/>
    <col min="11757" max="11757" width="4.28515625" style="178" bestFit="1" customWidth="1"/>
    <col min="11758" max="11758" width="6.85546875" style="178" bestFit="1" customWidth="1"/>
    <col min="11759" max="11759" width="11" style="178" customWidth="1"/>
    <col min="11760" max="11760" width="11.140625" style="178" bestFit="1" customWidth="1"/>
    <col min="11761" max="11761" width="10.85546875" style="178" customWidth="1"/>
    <col min="11762" max="11762" width="11.5703125" style="178" customWidth="1"/>
    <col min="11763" max="11763" width="11.140625" style="178" bestFit="1" customWidth="1"/>
    <col min="11764" max="11764" width="11" style="178" customWidth="1"/>
    <col min="11765" max="11765" width="10.42578125" style="178" customWidth="1"/>
    <col min="11766" max="11766" width="11.28515625" style="178" customWidth="1"/>
    <col min="11767" max="11768" width="9.140625" style="178" bestFit="1" customWidth="1"/>
    <col min="11769" max="11770" width="11.140625" style="178" bestFit="1" customWidth="1"/>
    <col min="11771" max="11771" width="11.5703125" style="178" bestFit="1" customWidth="1"/>
    <col min="11772" max="11772" width="9.140625" style="178" bestFit="1" customWidth="1"/>
    <col min="11773" max="11773" width="10.28515625" style="178" customWidth="1"/>
    <col min="11774" max="12012" width="9.140625" style="178"/>
    <col min="12013" max="12013" width="4.28515625" style="178" bestFit="1" customWidth="1"/>
    <col min="12014" max="12014" width="6.85546875" style="178" bestFit="1" customWidth="1"/>
    <col min="12015" max="12015" width="11" style="178" customWidth="1"/>
    <col min="12016" max="12016" width="11.140625" style="178" bestFit="1" customWidth="1"/>
    <col min="12017" max="12017" width="10.85546875" style="178" customWidth="1"/>
    <col min="12018" max="12018" width="11.5703125" style="178" customWidth="1"/>
    <col min="12019" max="12019" width="11.140625" style="178" bestFit="1" customWidth="1"/>
    <col min="12020" max="12020" width="11" style="178" customWidth="1"/>
    <col min="12021" max="12021" width="10.42578125" style="178" customWidth="1"/>
    <col min="12022" max="12022" width="11.28515625" style="178" customWidth="1"/>
    <col min="12023" max="12024" width="9.140625" style="178" bestFit="1" customWidth="1"/>
    <col min="12025" max="12026" width="11.140625" style="178" bestFit="1" customWidth="1"/>
    <col min="12027" max="12027" width="11.5703125" style="178" bestFit="1" customWidth="1"/>
    <col min="12028" max="12028" width="9.140625" style="178" bestFit="1" customWidth="1"/>
    <col min="12029" max="12029" width="10.28515625" style="178" customWidth="1"/>
    <col min="12030" max="12268" width="9.140625" style="178"/>
    <col min="12269" max="12269" width="4.28515625" style="178" bestFit="1" customWidth="1"/>
    <col min="12270" max="12270" width="6.85546875" style="178" bestFit="1" customWidth="1"/>
    <col min="12271" max="12271" width="11" style="178" customWidth="1"/>
    <col min="12272" max="12272" width="11.140625" style="178" bestFit="1" customWidth="1"/>
    <col min="12273" max="12273" width="10.85546875" style="178" customWidth="1"/>
    <col min="12274" max="12274" width="11.5703125" style="178" customWidth="1"/>
    <col min="12275" max="12275" width="11.140625" style="178" bestFit="1" customWidth="1"/>
    <col min="12276" max="12276" width="11" style="178" customWidth="1"/>
    <col min="12277" max="12277" width="10.42578125" style="178" customWidth="1"/>
    <col min="12278" max="12278" width="11.28515625" style="178" customWidth="1"/>
    <col min="12279" max="12280" width="9.140625" style="178" bestFit="1" customWidth="1"/>
    <col min="12281" max="12282" width="11.140625" style="178" bestFit="1" customWidth="1"/>
    <col min="12283" max="12283" width="11.5703125" style="178" bestFit="1" customWidth="1"/>
    <col min="12284" max="12284" width="9.140625" style="178" bestFit="1" customWidth="1"/>
    <col min="12285" max="12285" width="10.28515625" style="178" customWidth="1"/>
    <col min="12286" max="12524" width="9.140625" style="178"/>
    <col min="12525" max="12525" width="4.28515625" style="178" bestFit="1" customWidth="1"/>
    <col min="12526" max="12526" width="6.85546875" style="178" bestFit="1" customWidth="1"/>
    <col min="12527" max="12527" width="11" style="178" customWidth="1"/>
    <col min="12528" max="12528" width="11.140625" style="178" bestFit="1" customWidth="1"/>
    <col min="12529" max="12529" width="10.85546875" style="178" customWidth="1"/>
    <col min="12530" max="12530" width="11.5703125" style="178" customWidth="1"/>
    <col min="12531" max="12531" width="11.140625" style="178" bestFit="1" customWidth="1"/>
    <col min="12532" max="12532" width="11" style="178" customWidth="1"/>
    <col min="12533" max="12533" width="10.42578125" style="178" customWidth="1"/>
    <col min="12534" max="12534" width="11.28515625" style="178" customWidth="1"/>
    <col min="12535" max="12536" width="9.140625" style="178" bestFit="1" customWidth="1"/>
    <col min="12537" max="12538" width="11.140625" style="178" bestFit="1" customWidth="1"/>
    <col min="12539" max="12539" width="11.5703125" style="178" bestFit="1" customWidth="1"/>
    <col min="12540" max="12540" width="9.140625" style="178" bestFit="1" customWidth="1"/>
    <col min="12541" max="12541" width="10.28515625" style="178" customWidth="1"/>
    <col min="12542" max="12780" width="9.140625" style="178"/>
    <col min="12781" max="12781" width="4.28515625" style="178" bestFit="1" customWidth="1"/>
    <col min="12782" max="12782" width="6.85546875" style="178" bestFit="1" customWidth="1"/>
    <col min="12783" max="12783" width="11" style="178" customWidth="1"/>
    <col min="12784" max="12784" width="11.140625" style="178" bestFit="1" customWidth="1"/>
    <col min="12785" max="12785" width="10.85546875" style="178" customWidth="1"/>
    <col min="12786" max="12786" width="11.5703125" style="178" customWidth="1"/>
    <col min="12787" max="12787" width="11.140625" style="178" bestFit="1" customWidth="1"/>
    <col min="12788" max="12788" width="11" style="178" customWidth="1"/>
    <col min="12789" max="12789" width="10.42578125" style="178" customWidth="1"/>
    <col min="12790" max="12790" width="11.28515625" style="178" customWidth="1"/>
    <col min="12791" max="12792" width="9.140625" style="178" bestFit="1" customWidth="1"/>
    <col min="12793" max="12794" width="11.140625" style="178" bestFit="1" customWidth="1"/>
    <col min="12795" max="12795" width="11.5703125" style="178" bestFit="1" customWidth="1"/>
    <col min="12796" max="12796" width="9.140625" style="178" bestFit="1" customWidth="1"/>
    <col min="12797" max="12797" width="10.28515625" style="178" customWidth="1"/>
    <col min="12798" max="13036" width="9.140625" style="178"/>
    <col min="13037" max="13037" width="4.28515625" style="178" bestFit="1" customWidth="1"/>
    <col min="13038" max="13038" width="6.85546875" style="178" bestFit="1" customWidth="1"/>
    <col min="13039" max="13039" width="11" style="178" customWidth="1"/>
    <col min="13040" max="13040" width="11.140625" style="178" bestFit="1" customWidth="1"/>
    <col min="13041" max="13041" width="10.85546875" style="178" customWidth="1"/>
    <col min="13042" max="13042" width="11.5703125" style="178" customWidth="1"/>
    <col min="13043" max="13043" width="11.140625" style="178" bestFit="1" customWidth="1"/>
    <col min="13044" max="13044" width="11" style="178" customWidth="1"/>
    <col min="13045" max="13045" width="10.42578125" style="178" customWidth="1"/>
    <col min="13046" max="13046" width="11.28515625" style="178" customWidth="1"/>
    <col min="13047" max="13048" width="9.140625" style="178" bestFit="1" customWidth="1"/>
    <col min="13049" max="13050" width="11.140625" style="178" bestFit="1" customWidth="1"/>
    <col min="13051" max="13051" width="11.5703125" style="178" bestFit="1" customWidth="1"/>
    <col min="13052" max="13052" width="9.140625" style="178" bestFit="1" customWidth="1"/>
    <col min="13053" max="13053" width="10.28515625" style="178" customWidth="1"/>
    <col min="13054" max="13292" width="9.140625" style="178"/>
    <col min="13293" max="13293" width="4.28515625" style="178" bestFit="1" customWidth="1"/>
    <col min="13294" max="13294" width="6.85546875" style="178" bestFit="1" customWidth="1"/>
    <col min="13295" max="13295" width="11" style="178" customWidth="1"/>
    <col min="13296" max="13296" width="11.140625" style="178" bestFit="1" customWidth="1"/>
    <col min="13297" max="13297" width="10.85546875" style="178" customWidth="1"/>
    <col min="13298" max="13298" width="11.5703125" style="178" customWidth="1"/>
    <col min="13299" max="13299" width="11.140625" style="178" bestFit="1" customWidth="1"/>
    <col min="13300" max="13300" width="11" style="178" customWidth="1"/>
    <col min="13301" max="13301" width="10.42578125" style="178" customWidth="1"/>
    <col min="13302" max="13302" width="11.28515625" style="178" customWidth="1"/>
    <col min="13303" max="13304" width="9.140625" style="178" bestFit="1" customWidth="1"/>
    <col min="13305" max="13306" width="11.140625" style="178" bestFit="1" customWidth="1"/>
    <col min="13307" max="13307" width="11.5703125" style="178" bestFit="1" customWidth="1"/>
    <col min="13308" max="13308" width="9.140625" style="178" bestFit="1" customWidth="1"/>
    <col min="13309" max="13309" width="10.28515625" style="178" customWidth="1"/>
    <col min="13310" max="13548" width="9.140625" style="178"/>
    <col min="13549" max="13549" width="4.28515625" style="178" bestFit="1" customWidth="1"/>
    <col min="13550" max="13550" width="6.85546875" style="178" bestFit="1" customWidth="1"/>
    <col min="13551" max="13551" width="11" style="178" customWidth="1"/>
    <col min="13552" max="13552" width="11.140625" style="178" bestFit="1" customWidth="1"/>
    <col min="13553" max="13553" width="10.85546875" style="178" customWidth="1"/>
    <col min="13554" max="13554" width="11.5703125" style="178" customWidth="1"/>
    <col min="13555" max="13555" width="11.140625" style="178" bestFit="1" customWidth="1"/>
    <col min="13556" max="13556" width="11" style="178" customWidth="1"/>
    <col min="13557" max="13557" width="10.42578125" style="178" customWidth="1"/>
    <col min="13558" max="13558" width="11.28515625" style="178" customWidth="1"/>
    <col min="13559" max="13560" width="9.140625" style="178" bestFit="1" customWidth="1"/>
    <col min="13561" max="13562" width="11.140625" style="178" bestFit="1" customWidth="1"/>
    <col min="13563" max="13563" width="11.5703125" style="178" bestFit="1" customWidth="1"/>
    <col min="13564" max="13564" width="9.140625" style="178" bestFit="1" customWidth="1"/>
    <col min="13565" max="13565" width="10.28515625" style="178" customWidth="1"/>
    <col min="13566" max="13804" width="9.140625" style="178"/>
    <col min="13805" max="13805" width="4.28515625" style="178" bestFit="1" customWidth="1"/>
    <col min="13806" max="13806" width="6.85546875" style="178" bestFit="1" customWidth="1"/>
    <col min="13807" max="13807" width="11" style="178" customWidth="1"/>
    <col min="13808" max="13808" width="11.140625" style="178" bestFit="1" customWidth="1"/>
    <col min="13809" max="13809" width="10.85546875" style="178" customWidth="1"/>
    <col min="13810" max="13810" width="11.5703125" style="178" customWidth="1"/>
    <col min="13811" max="13811" width="11.140625" style="178" bestFit="1" customWidth="1"/>
    <col min="13812" max="13812" width="11" style="178" customWidth="1"/>
    <col min="13813" max="13813" width="10.42578125" style="178" customWidth="1"/>
    <col min="13814" max="13814" width="11.28515625" style="178" customWidth="1"/>
    <col min="13815" max="13816" width="9.140625" style="178" bestFit="1" customWidth="1"/>
    <col min="13817" max="13818" width="11.140625" style="178" bestFit="1" customWidth="1"/>
    <col min="13819" max="13819" width="11.5703125" style="178" bestFit="1" customWidth="1"/>
    <col min="13820" max="13820" width="9.140625" style="178" bestFit="1" customWidth="1"/>
    <col min="13821" max="13821" width="10.28515625" style="178" customWidth="1"/>
    <col min="13822" max="14060" width="9.140625" style="178"/>
    <col min="14061" max="14061" width="4.28515625" style="178" bestFit="1" customWidth="1"/>
    <col min="14062" max="14062" width="6.85546875" style="178" bestFit="1" customWidth="1"/>
    <col min="14063" max="14063" width="11" style="178" customWidth="1"/>
    <col min="14064" max="14064" width="11.140625" style="178" bestFit="1" customWidth="1"/>
    <col min="14065" max="14065" width="10.85546875" style="178" customWidth="1"/>
    <col min="14066" max="14066" width="11.5703125" style="178" customWidth="1"/>
    <col min="14067" max="14067" width="11.140625" style="178" bestFit="1" customWidth="1"/>
    <col min="14068" max="14068" width="11" style="178" customWidth="1"/>
    <col min="14069" max="14069" width="10.42578125" style="178" customWidth="1"/>
    <col min="14070" max="14070" width="11.28515625" style="178" customWidth="1"/>
    <col min="14071" max="14072" width="9.140625" style="178" bestFit="1" customWidth="1"/>
    <col min="14073" max="14074" width="11.140625" style="178" bestFit="1" customWidth="1"/>
    <col min="14075" max="14075" width="11.5703125" style="178" bestFit="1" customWidth="1"/>
    <col min="14076" max="14076" width="9.140625" style="178" bestFit="1" customWidth="1"/>
    <col min="14077" max="14077" width="10.28515625" style="178" customWidth="1"/>
    <col min="14078" max="14316" width="9.140625" style="178"/>
    <col min="14317" max="14317" width="4.28515625" style="178" bestFit="1" customWidth="1"/>
    <col min="14318" max="14318" width="6.85546875" style="178" bestFit="1" customWidth="1"/>
    <col min="14319" max="14319" width="11" style="178" customWidth="1"/>
    <col min="14320" max="14320" width="11.140625" style="178" bestFit="1" customWidth="1"/>
    <col min="14321" max="14321" width="10.85546875" style="178" customWidth="1"/>
    <col min="14322" max="14322" width="11.5703125" style="178" customWidth="1"/>
    <col min="14323" max="14323" width="11.140625" style="178" bestFit="1" customWidth="1"/>
    <col min="14324" max="14324" width="11" style="178" customWidth="1"/>
    <col min="14325" max="14325" width="10.42578125" style="178" customWidth="1"/>
    <col min="14326" max="14326" width="11.28515625" style="178" customWidth="1"/>
    <col min="14327" max="14328" width="9.140625" style="178" bestFit="1" customWidth="1"/>
    <col min="14329" max="14330" width="11.140625" style="178" bestFit="1" customWidth="1"/>
    <col min="14331" max="14331" width="11.5703125" style="178" bestFit="1" customWidth="1"/>
    <col min="14332" max="14332" width="9.140625" style="178" bestFit="1" customWidth="1"/>
    <col min="14333" max="14333" width="10.28515625" style="178" customWidth="1"/>
    <col min="14334" max="14572" width="9.140625" style="178"/>
    <col min="14573" max="14573" width="4.28515625" style="178" bestFit="1" customWidth="1"/>
    <col min="14574" max="14574" width="6.85546875" style="178" bestFit="1" customWidth="1"/>
    <col min="14575" max="14575" width="11" style="178" customWidth="1"/>
    <col min="14576" max="14576" width="11.140625" style="178" bestFit="1" customWidth="1"/>
    <col min="14577" max="14577" width="10.85546875" style="178" customWidth="1"/>
    <col min="14578" max="14578" width="11.5703125" style="178" customWidth="1"/>
    <col min="14579" max="14579" width="11.140625" style="178" bestFit="1" customWidth="1"/>
    <col min="14580" max="14580" width="11" style="178" customWidth="1"/>
    <col min="14581" max="14581" width="10.42578125" style="178" customWidth="1"/>
    <col min="14582" max="14582" width="11.28515625" style="178" customWidth="1"/>
    <col min="14583" max="14584" width="9.140625" style="178" bestFit="1" customWidth="1"/>
    <col min="14585" max="14586" width="11.140625" style="178" bestFit="1" customWidth="1"/>
    <col min="14587" max="14587" width="11.5703125" style="178" bestFit="1" customWidth="1"/>
    <col min="14588" max="14588" width="9.140625" style="178" bestFit="1" customWidth="1"/>
    <col min="14589" max="14589" width="10.28515625" style="178" customWidth="1"/>
    <col min="14590" max="14828" width="9.140625" style="178"/>
    <col min="14829" max="14829" width="4.28515625" style="178" bestFit="1" customWidth="1"/>
    <col min="14830" max="14830" width="6.85546875" style="178" bestFit="1" customWidth="1"/>
    <col min="14831" max="14831" width="11" style="178" customWidth="1"/>
    <col min="14832" max="14832" width="11.140625" style="178" bestFit="1" customWidth="1"/>
    <col min="14833" max="14833" width="10.85546875" style="178" customWidth="1"/>
    <col min="14834" max="14834" width="11.5703125" style="178" customWidth="1"/>
    <col min="14835" max="14835" width="11.140625" style="178" bestFit="1" customWidth="1"/>
    <col min="14836" max="14836" width="11" style="178" customWidth="1"/>
    <col min="14837" max="14837" width="10.42578125" style="178" customWidth="1"/>
    <col min="14838" max="14838" width="11.28515625" style="178" customWidth="1"/>
    <col min="14839" max="14840" width="9.140625" style="178" bestFit="1" customWidth="1"/>
    <col min="14841" max="14842" width="11.140625" style="178" bestFit="1" customWidth="1"/>
    <col min="14843" max="14843" width="11.5703125" style="178" bestFit="1" customWidth="1"/>
    <col min="14844" max="14844" width="9.140625" style="178" bestFit="1" customWidth="1"/>
    <col min="14845" max="14845" width="10.28515625" style="178" customWidth="1"/>
    <col min="14846" max="15084" width="9.140625" style="178"/>
    <col min="15085" max="15085" width="4.28515625" style="178" bestFit="1" customWidth="1"/>
    <col min="15086" max="15086" width="6.85546875" style="178" bestFit="1" customWidth="1"/>
    <col min="15087" max="15087" width="11" style="178" customWidth="1"/>
    <col min="15088" max="15088" width="11.140625" style="178" bestFit="1" customWidth="1"/>
    <col min="15089" max="15089" width="10.85546875" style="178" customWidth="1"/>
    <col min="15090" max="15090" width="11.5703125" style="178" customWidth="1"/>
    <col min="15091" max="15091" width="11.140625" style="178" bestFit="1" customWidth="1"/>
    <col min="15092" max="15092" width="11" style="178" customWidth="1"/>
    <col min="15093" max="15093" width="10.42578125" style="178" customWidth="1"/>
    <col min="15094" max="15094" width="11.28515625" style="178" customWidth="1"/>
    <col min="15095" max="15096" width="9.140625" style="178" bestFit="1" customWidth="1"/>
    <col min="15097" max="15098" width="11.140625" style="178" bestFit="1" customWidth="1"/>
    <col min="15099" max="15099" width="11.5703125" style="178" bestFit="1" customWidth="1"/>
    <col min="15100" max="15100" width="9.140625" style="178" bestFit="1" customWidth="1"/>
    <col min="15101" max="15101" width="10.28515625" style="178" customWidth="1"/>
    <col min="15102" max="15340" width="9.140625" style="178"/>
    <col min="15341" max="15341" width="4.28515625" style="178" bestFit="1" customWidth="1"/>
    <col min="15342" max="15342" width="6.85546875" style="178" bestFit="1" customWidth="1"/>
    <col min="15343" max="15343" width="11" style="178" customWidth="1"/>
    <col min="15344" max="15344" width="11.140625" style="178" bestFit="1" customWidth="1"/>
    <col min="15345" max="15345" width="10.85546875" style="178" customWidth="1"/>
    <col min="15346" max="15346" width="11.5703125" style="178" customWidth="1"/>
    <col min="15347" max="15347" width="11.140625" style="178" bestFit="1" customWidth="1"/>
    <col min="15348" max="15348" width="11" style="178" customWidth="1"/>
    <col min="15349" max="15349" width="10.42578125" style="178" customWidth="1"/>
    <col min="15350" max="15350" width="11.28515625" style="178" customWidth="1"/>
    <col min="15351" max="15352" width="9.140625" style="178" bestFit="1" customWidth="1"/>
    <col min="15353" max="15354" width="11.140625" style="178" bestFit="1" customWidth="1"/>
    <col min="15355" max="15355" width="11.5703125" style="178" bestFit="1" customWidth="1"/>
    <col min="15356" max="15356" width="9.140625" style="178" bestFit="1" customWidth="1"/>
    <col min="15357" max="15357" width="10.28515625" style="178" customWidth="1"/>
    <col min="15358" max="15596" width="9.140625" style="178"/>
    <col min="15597" max="15597" width="4.28515625" style="178" bestFit="1" customWidth="1"/>
    <col min="15598" max="15598" width="6.85546875" style="178" bestFit="1" customWidth="1"/>
    <col min="15599" max="15599" width="11" style="178" customWidth="1"/>
    <col min="15600" max="15600" width="11.140625" style="178" bestFit="1" customWidth="1"/>
    <col min="15601" max="15601" width="10.85546875" style="178" customWidth="1"/>
    <col min="15602" max="15602" width="11.5703125" style="178" customWidth="1"/>
    <col min="15603" max="15603" width="11.140625" style="178" bestFit="1" customWidth="1"/>
    <col min="15604" max="15604" width="11" style="178" customWidth="1"/>
    <col min="15605" max="15605" width="10.42578125" style="178" customWidth="1"/>
    <col min="15606" max="15606" width="11.28515625" style="178" customWidth="1"/>
    <col min="15607" max="15608" width="9.140625" style="178" bestFit="1" customWidth="1"/>
    <col min="15609" max="15610" width="11.140625" style="178" bestFit="1" customWidth="1"/>
    <col min="15611" max="15611" width="11.5703125" style="178" bestFit="1" customWidth="1"/>
    <col min="15612" max="15612" width="9.140625" style="178" bestFit="1" customWidth="1"/>
    <col min="15613" max="15613" width="10.28515625" style="178" customWidth="1"/>
    <col min="15614" max="15852" width="9.140625" style="178"/>
    <col min="15853" max="15853" width="4.28515625" style="178" bestFit="1" customWidth="1"/>
    <col min="15854" max="15854" width="6.85546875" style="178" bestFit="1" customWidth="1"/>
    <col min="15855" max="15855" width="11" style="178" customWidth="1"/>
    <col min="15856" max="15856" width="11.140625" style="178" bestFit="1" customWidth="1"/>
    <col min="15857" max="15857" width="10.85546875" style="178" customWidth="1"/>
    <col min="15858" max="15858" width="11.5703125" style="178" customWidth="1"/>
    <col min="15859" max="15859" width="11.140625" style="178" bestFit="1" customWidth="1"/>
    <col min="15860" max="15860" width="11" style="178" customWidth="1"/>
    <col min="15861" max="15861" width="10.42578125" style="178" customWidth="1"/>
    <col min="15862" max="15862" width="11.28515625" style="178" customWidth="1"/>
    <col min="15863" max="15864" width="9.140625" style="178" bestFit="1" customWidth="1"/>
    <col min="15865" max="15866" width="11.140625" style="178" bestFit="1" customWidth="1"/>
    <col min="15867" max="15867" width="11.5703125" style="178" bestFit="1" customWidth="1"/>
    <col min="15868" max="15868" width="9.140625" style="178" bestFit="1" customWidth="1"/>
    <col min="15869" max="15869" width="10.28515625" style="178" customWidth="1"/>
    <col min="15870" max="16108" width="9.140625" style="178"/>
    <col min="16109" max="16109" width="4.28515625" style="178" bestFit="1" customWidth="1"/>
    <col min="16110" max="16110" width="6.85546875" style="178" bestFit="1" customWidth="1"/>
    <col min="16111" max="16111" width="11" style="178" customWidth="1"/>
    <col min="16112" max="16112" width="11.140625" style="178" bestFit="1" customWidth="1"/>
    <col min="16113" max="16113" width="10.85546875" style="178" customWidth="1"/>
    <col min="16114" max="16114" width="11.5703125" style="178" customWidth="1"/>
    <col min="16115" max="16115" width="11.140625" style="178" bestFit="1" customWidth="1"/>
    <col min="16116" max="16116" width="11" style="178" customWidth="1"/>
    <col min="16117" max="16117" width="10.42578125" style="178" customWidth="1"/>
    <col min="16118" max="16118" width="11.28515625" style="178" customWidth="1"/>
    <col min="16119" max="16120" width="9.140625" style="178" bestFit="1" customWidth="1"/>
    <col min="16121" max="16122" width="11.140625" style="178" bestFit="1" customWidth="1"/>
    <col min="16123" max="16123" width="11.5703125" style="178" bestFit="1" customWidth="1"/>
    <col min="16124" max="16124" width="9.140625" style="178" bestFit="1" customWidth="1"/>
    <col min="16125" max="16125" width="10.28515625" style="178" customWidth="1"/>
    <col min="16126" max="16384" width="9.140625" style="178"/>
  </cols>
  <sheetData>
    <row r="1" spans="1:13" ht="64.5" customHeight="1">
      <c r="A1" s="1983" t="s">
        <v>556</v>
      </c>
      <c r="B1" s="1984"/>
      <c r="C1" s="1984"/>
      <c r="D1" s="1984"/>
      <c r="E1" s="1984"/>
      <c r="F1" s="1984"/>
      <c r="G1" s="1984"/>
      <c r="H1" s="1984"/>
      <c r="I1" s="1984"/>
      <c r="J1" s="1984"/>
      <c r="K1" s="1984"/>
      <c r="L1" s="1984"/>
      <c r="M1" s="1984"/>
    </row>
    <row r="2" spans="1:13" ht="16.5" customHeight="1" thickBot="1">
      <c r="A2" s="795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1120" t="s">
        <v>0</v>
      </c>
    </row>
    <row r="3" spans="1:13" s="1125" customFormat="1" ht="90.75" thickBot="1">
      <c r="A3" s="1121" t="s">
        <v>1</v>
      </c>
      <c r="B3" s="1122" t="s">
        <v>2</v>
      </c>
      <c r="C3" s="1121" t="s">
        <v>3</v>
      </c>
      <c r="D3" s="1123" t="s">
        <v>4</v>
      </c>
      <c r="E3" s="1124" t="s">
        <v>557</v>
      </c>
      <c r="F3" s="1124" t="s">
        <v>153</v>
      </c>
      <c r="G3" s="1124"/>
      <c r="H3" s="1124" t="s">
        <v>180</v>
      </c>
      <c r="I3" s="1124" t="s">
        <v>5</v>
      </c>
      <c r="J3" s="1124" t="s">
        <v>178</v>
      </c>
      <c r="K3" s="1124" t="s">
        <v>558</v>
      </c>
      <c r="L3" s="1124" t="s">
        <v>517</v>
      </c>
      <c r="M3" s="1124" t="s">
        <v>358</v>
      </c>
    </row>
    <row r="4" spans="1:13" s="1132" customFormat="1" ht="10.5" thickBot="1">
      <c r="A4" s="1126" t="s">
        <v>6</v>
      </c>
      <c r="B4" s="2127" t="s">
        <v>7</v>
      </c>
      <c r="C4" s="2127"/>
      <c r="D4" s="1127" t="s">
        <v>8</v>
      </c>
      <c r="E4" s="1128" t="s">
        <v>9</v>
      </c>
      <c r="F4" s="1128" t="s">
        <v>10</v>
      </c>
      <c r="G4" s="1128"/>
      <c r="H4" s="1129" t="s">
        <v>10</v>
      </c>
      <c r="I4" s="1128" t="s">
        <v>12</v>
      </c>
      <c r="J4" s="1128" t="s">
        <v>11</v>
      </c>
      <c r="K4" s="1128" t="s">
        <v>11</v>
      </c>
      <c r="L4" s="1130" t="s">
        <v>202</v>
      </c>
      <c r="M4" s="1131" t="s">
        <v>12</v>
      </c>
    </row>
    <row r="5" spans="1:13" s="640" customFormat="1">
      <c r="A5" s="392" t="s">
        <v>65</v>
      </c>
      <c r="B5" s="393"/>
      <c r="C5" s="812" t="s">
        <v>66</v>
      </c>
      <c r="D5" s="393"/>
      <c r="E5" s="395">
        <f>E6+E42</f>
        <v>4044710</v>
      </c>
      <c r="F5" s="395">
        <f t="shared" ref="F5:K5" si="0">F6+F42</f>
        <v>2495710</v>
      </c>
      <c r="G5" s="395">
        <f t="shared" si="0"/>
        <v>0</v>
      </c>
      <c r="H5" s="395">
        <f t="shared" si="0"/>
        <v>71500</v>
      </c>
      <c r="I5" s="396">
        <f>H5/E5</f>
        <v>1.7677410741437583E-2</v>
      </c>
      <c r="J5" s="395">
        <f t="shared" si="0"/>
        <v>0</v>
      </c>
      <c r="K5" s="395">
        <f t="shared" si="0"/>
        <v>71500</v>
      </c>
      <c r="L5" s="1010">
        <f>K5/E5</f>
        <v>1.7677410741437583E-2</v>
      </c>
      <c r="M5" s="1133"/>
    </row>
    <row r="6" spans="1:13" s="640" customFormat="1">
      <c r="A6" s="1929"/>
      <c r="B6" s="1932" t="s">
        <v>559</v>
      </c>
      <c r="C6" s="660" t="s">
        <v>560</v>
      </c>
      <c r="D6" s="661"/>
      <c r="E6" s="525">
        <f>SUM(E7,E37)</f>
        <v>4044710</v>
      </c>
      <c r="F6" s="525">
        <f>SUM(F7,F37)</f>
        <v>2437210</v>
      </c>
      <c r="G6" s="525"/>
      <c r="H6" s="525">
        <f>SUM(H7,H37)</f>
        <v>0</v>
      </c>
      <c r="I6" s="1134">
        <f>H6/E6</f>
        <v>0</v>
      </c>
      <c r="J6" s="525">
        <f>SUM(J7,J37)</f>
        <v>0</v>
      </c>
      <c r="K6" s="1135">
        <f>SUM(K7,K37)</f>
        <v>0</v>
      </c>
      <c r="L6" s="850">
        <f t="shared" ref="L6:L69" si="1">K6/E6</f>
        <v>0</v>
      </c>
      <c r="M6" s="2120"/>
    </row>
    <row r="7" spans="1:13" s="640" customFormat="1">
      <c r="A7" s="1930"/>
      <c r="B7" s="1932"/>
      <c r="C7" s="664" t="s">
        <v>18</v>
      </c>
      <c r="D7" s="665"/>
      <c r="E7" s="528">
        <f>SUM(E8,E32,E33,E34,E35,E36)</f>
        <v>4044710</v>
      </c>
      <c r="F7" s="528">
        <f>SUM(F8,F32,F33,F34,F35,F36)</f>
        <v>2437210</v>
      </c>
      <c r="G7" s="528"/>
      <c r="H7" s="528">
        <f>SUM(H8,H32,H33,H34,H35,H36)</f>
        <v>0</v>
      </c>
      <c r="I7" s="808">
        <f t="shared" ref="I7:I31" si="2">H7/E7</f>
        <v>0</v>
      </c>
      <c r="J7" s="528">
        <f>SUM(J8,J32,J33,J34,J35,J36)</f>
        <v>0</v>
      </c>
      <c r="K7" s="1136">
        <f>SUM(K8,K32,K33,K34,K35,K36)</f>
        <v>0</v>
      </c>
      <c r="L7" s="858">
        <f t="shared" si="1"/>
        <v>0</v>
      </c>
      <c r="M7" s="2121"/>
    </row>
    <row r="8" spans="1:13" s="640" customFormat="1">
      <c r="A8" s="1930"/>
      <c r="B8" s="1932"/>
      <c r="C8" s="668" t="s">
        <v>19</v>
      </c>
      <c r="D8" s="669"/>
      <c r="E8" s="513">
        <f>SUM(E9,E16)</f>
        <v>4037010</v>
      </c>
      <c r="F8" s="513">
        <f>SUM(F9,F16)</f>
        <v>2429510</v>
      </c>
      <c r="G8" s="513"/>
      <c r="H8" s="513">
        <f>SUM(H9,H16)</f>
        <v>0</v>
      </c>
      <c r="I8" s="809">
        <f t="shared" si="2"/>
        <v>0</v>
      </c>
      <c r="J8" s="513">
        <f>SUM(J9,J16)</f>
        <v>0</v>
      </c>
      <c r="K8" s="1137">
        <f>SUM(K9,K16)</f>
        <v>0</v>
      </c>
      <c r="L8" s="858">
        <f t="shared" si="1"/>
        <v>0</v>
      </c>
      <c r="M8" s="2121"/>
    </row>
    <row r="9" spans="1:13" s="640" customFormat="1">
      <c r="A9" s="1930"/>
      <c r="B9" s="1932"/>
      <c r="C9" s="1938" t="s">
        <v>20</v>
      </c>
      <c r="D9" s="669" t="s">
        <v>22</v>
      </c>
      <c r="E9" s="513">
        <f>SUM(E10:E15)</f>
        <v>3472460</v>
      </c>
      <c r="F9" s="513">
        <f t="shared" ref="F9:K9" si="3">SUM(F10:F15)</f>
        <v>1992460</v>
      </c>
      <c r="G9" s="513">
        <f t="shared" si="3"/>
        <v>0</v>
      </c>
      <c r="H9" s="513">
        <f t="shared" si="3"/>
        <v>0</v>
      </c>
      <c r="I9" s="809">
        <f t="shared" si="2"/>
        <v>0</v>
      </c>
      <c r="J9" s="513">
        <f t="shared" si="3"/>
        <v>0</v>
      </c>
      <c r="K9" s="1137">
        <f t="shared" si="3"/>
        <v>0</v>
      </c>
      <c r="L9" s="858">
        <f t="shared" si="1"/>
        <v>0</v>
      </c>
      <c r="M9" s="2121"/>
    </row>
    <row r="10" spans="1:13" s="640" customFormat="1">
      <c r="A10" s="1930"/>
      <c r="B10" s="1932"/>
      <c r="C10" s="1939"/>
      <c r="D10" s="674">
        <v>4010</v>
      </c>
      <c r="E10" s="502">
        <v>2703000</v>
      </c>
      <c r="F10" s="502">
        <v>1323000</v>
      </c>
      <c r="G10" s="502"/>
      <c r="H10" s="502">
        <v>0</v>
      </c>
      <c r="I10" s="1138">
        <f t="shared" si="2"/>
        <v>0</v>
      </c>
      <c r="J10" s="502"/>
      <c r="K10" s="1139">
        <f t="shared" ref="K10:K15" si="4">H10+J10</f>
        <v>0</v>
      </c>
      <c r="L10" s="858">
        <f t="shared" si="1"/>
        <v>0</v>
      </c>
      <c r="M10" s="2121"/>
    </row>
    <row r="11" spans="1:13" s="640" customFormat="1">
      <c r="A11" s="1930"/>
      <c r="B11" s="1932"/>
      <c r="C11" s="1939"/>
      <c r="D11" s="674">
        <v>4040</v>
      </c>
      <c r="E11" s="502">
        <v>212000</v>
      </c>
      <c r="F11" s="502">
        <v>313370</v>
      </c>
      <c r="G11" s="502"/>
      <c r="H11" s="502">
        <v>0</v>
      </c>
      <c r="I11" s="1138">
        <f t="shared" si="2"/>
        <v>0</v>
      </c>
      <c r="J11" s="502"/>
      <c r="K11" s="1139">
        <f t="shared" si="4"/>
        <v>0</v>
      </c>
      <c r="L11" s="858">
        <f t="shared" si="1"/>
        <v>0</v>
      </c>
      <c r="M11" s="2121"/>
    </row>
    <row r="12" spans="1:13" s="640" customFormat="1">
      <c r="A12" s="1930"/>
      <c r="B12" s="1932"/>
      <c r="C12" s="1939"/>
      <c r="D12" s="674">
        <v>4110</v>
      </c>
      <c r="E12" s="502">
        <v>480000</v>
      </c>
      <c r="F12" s="502">
        <v>276850</v>
      </c>
      <c r="G12" s="502"/>
      <c r="H12" s="502">
        <v>0</v>
      </c>
      <c r="I12" s="1138">
        <f t="shared" si="2"/>
        <v>0</v>
      </c>
      <c r="J12" s="502"/>
      <c r="K12" s="1139">
        <f t="shared" si="4"/>
        <v>0</v>
      </c>
      <c r="L12" s="858">
        <f t="shared" si="1"/>
        <v>0</v>
      </c>
      <c r="M12" s="2121"/>
    </row>
    <row r="13" spans="1:13" s="640" customFormat="1">
      <c r="A13" s="1930"/>
      <c r="B13" s="1932"/>
      <c r="C13" s="1939"/>
      <c r="D13" s="674">
        <v>4120</v>
      </c>
      <c r="E13" s="502">
        <v>57000</v>
      </c>
      <c r="F13" s="502">
        <v>36530</v>
      </c>
      <c r="G13" s="502"/>
      <c r="H13" s="502">
        <v>0</v>
      </c>
      <c r="I13" s="1138">
        <f t="shared" si="2"/>
        <v>0</v>
      </c>
      <c r="J13" s="502"/>
      <c r="K13" s="1139">
        <f t="shared" si="4"/>
        <v>0</v>
      </c>
      <c r="L13" s="858">
        <f t="shared" si="1"/>
        <v>0</v>
      </c>
      <c r="M13" s="2121"/>
    </row>
    <row r="14" spans="1:13" s="640" customFormat="1">
      <c r="A14" s="1930"/>
      <c r="B14" s="1932"/>
      <c r="C14" s="1939"/>
      <c r="D14" s="674">
        <v>4170</v>
      </c>
      <c r="E14" s="502">
        <v>7000</v>
      </c>
      <c r="F14" s="502">
        <v>29250</v>
      </c>
      <c r="G14" s="502"/>
      <c r="H14" s="502">
        <v>0</v>
      </c>
      <c r="I14" s="1138">
        <f t="shared" si="2"/>
        <v>0</v>
      </c>
      <c r="J14" s="502"/>
      <c r="K14" s="1139">
        <f t="shared" si="4"/>
        <v>0</v>
      </c>
      <c r="L14" s="858">
        <f t="shared" si="1"/>
        <v>0</v>
      </c>
      <c r="M14" s="2121"/>
    </row>
    <row r="15" spans="1:13" s="640" customFormat="1">
      <c r="A15" s="1930"/>
      <c r="B15" s="1932"/>
      <c r="C15" s="2117"/>
      <c r="D15" s="674">
        <v>4710</v>
      </c>
      <c r="E15" s="502">
        <v>13460</v>
      </c>
      <c r="F15" s="502">
        <v>13460</v>
      </c>
      <c r="G15" s="502"/>
      <c r="H15" s="502">
        <v>0</v>
      </c>
      <c r="I15" s="1138">
        <f t="shared" si="2"/>
        <v>0</v>
      </c>
      <c r="J15" s="502"/>
      <c r="K15" s="1139">
        <f t="shared" si="4"/>
        <v>0</v>
      </c>
      <c r="L15" s="858">
        <f t="shared" si="1"/>
        <v>0</v>
      </c>
      <c r="M15" s="2121"/>
    </row>
    <row r="16" spans="1:13" s="640" customFormat="1">
      <c r="A16" s="1930"/>
      <c r="B16" s="1932"/>
      <c r="C16" s="1934" t="s">
        <v>21</v>
      </c>
      <c r="D16" s="669" t="s">
        <v>22</v>
      </c>
      <c r="E16" s="513">
        <f>SUM(E17:E31)</f>
        <v>564550</v>
      </c>
      <c r="F16" s="513">
        <f>SUM(F17:F31)</f>
        <v>437050</v>
      </c>
      <c r="G16" s="513">
        <f>SUM(G17:G31)</f>
        <v>0</v>
      </c>
      <c r="H16" s="513">
        <f>SUM(H17:H31)</f>
        <v>0</v>
      </c>
      <c r="I16" s="1138">
        <f t="shared" si="2"/>
        <v>0</v>
      </c>
      <c r="J16" s="513">
        <f>SUM(J17:J31)</f>
        <v>0</v>
      </c>
      <c r="K16" s="1137">
        <f>SUM(K17:K31)</f>
        <v>0</v>
      </c>
      <c r="L16" s="858">
        <f t="shared" si="1"/>
        <v>0</v>
      </c>
      <c r="M16" s="2121"/>
    </row>
    <row r="17" spans="1:13" s="640" customFormat="1">
      <c r="A17" s="1930"/>
      <c r="B17" s="1932"/>
      <c r="C17" s="1935"/>
      <c r="D17" s="669">
        <v>4140</v>
      </c>
      <c r="E17" s="502">
        <v>20800</v>
      </c>
      <c r="F17" s="502">
        <v>10800</v>
      </c>
      <c r="G17" s="502"/>
      <c r="H17" s="502">
        <v>0</v>
      </c>
      <c r="I17" s="1138">
        <f t="shared" si="2"/>
        <v>0</v>
      </c>
      <c r="J17" s="513"/>
      <c r="K17" s="1139">
        <f t="shared" ref="K17:K37" si="5">H17+J17</f>
        <v>0</v>
      </c>
      <c r="L17" s="858">
        <f t="shared" si="1"/>
        <v>0</v>
      </c>
      <c r="M17" s="2121"/>
    </row>
    <row r="18" spans="1:13" s="640" customFormat="1">
      <c r="A18" s="1930"/>
      <c r="B18" s="1932"/>
      <c r="C18" s="1935"/>
      <c r="D18" s="1140" t="s">
        <v>232</v>
      </c>
      <c r="E18" s="502">
        <v>95540</v>
      </c>
      <c r="F18" s="502">
        <v>65540</v>
      </c>
      <c r="G18" s="502"/>
      <c r="H18" s="502">
        <v>0</v>
      </c>
      <c r="I18" s="1138">
        <f t="shared" si="2"/>
        <v>0</v>
      </c>
      <c r="J18" s="502"/>
      <c r="K18" s="1139">
        <f t="shared" si="5"/>
        <v>0</v>
      </c>
      <c r="L18" s="858">
        <f t="shared" si="1"/>
        <v>0</v>
      </c>
      <c r="M18" s="2121"/>
    </row>
    <row r="19" spans="1:13" s="640" customFormat="1">
      <c r="A19" s="1930"/>
      <c r="B19" s="1932"/>
      <c r="C19" s="1935"/>
      <c r="D19" s="1140" t="s">
        <v>315</v>
      </c>
      <c r="E19" s="502">
        <v>1500</v>
      </c>
      <c r="F19" s="502">
        <v>1500</v>
      </c>
      <c r="G19" s="502"/>
      <c r="H19" s="502">
        <v>0</v>
      </c>
      <c r="I19" s="1138">
        <f t="shared" si="2"/>
        <v>0</v>
      </c>
      <c r="J19" s="502"/>
      <c r="K19" s="1139">
        <f t="shared" si="5"/>
        <v>0</v>
      </c>
      <c r="L19" s="858">
        <f t="shared" si="1"/>
        <v>0</v>
      </c>
      <c r="M19" s="2121"/>
    </row>
    <row r="20" spans="1:13" s="640" customFormat="1">
      <c r="A20" s="1930"/>
      <c r="B20" s="1932"/>
      <c r="C20" s="1935"/>
      <c r="D20" s="1140" t="s">
        <v>241</v>
      </c>
      <c r="E20" s="502">
        <v>1500</v>
      </c>
      <c r="F20" s="502">
        <v>0</v>
      </c>
      <c r="G20" s="502"/>
      <c r="H20" s="502">
        <v>0</v>
      </c>
      <c r="I20" s="1138">
        <f t="shared" si="2"/>
        <v>0</v>
      </c>
      <c r="J20" s="502"/>
      <c r="K20" s="1139">
        <f t="shared" si="5"/>
        <v>0</v>
      </c>
      <c r="L20" s="858">
        <f t="shared" si="1"/>
        <v>0</v>
      </c>
      <c r="M20" s="2121"/>
    </row>
    <row r="21" spans="1:13" s="640" customFormat="1">
      <c r="A21" s="1930"/>
      <c r="B21" s="1932"/>
      <c r="C21" s="1935"/>
      <c r="D21" s="1140" t="s">
        <v>242</v>
      </c>
      <c r="E21" s="502">
        <v>133800</v>
      </c>
      <c r="F21" s="502">
        <v>133800</v>
      </c>
      <c r="G21" s="502"/>
      <c r="H21" s="502">
        <v>0</v>
      </c>
      <c r="I21" s="1138">
        <f t="shared" si="2"/>
        <v>0</v>
      </c>
      <c r="J21" s="502"/>
      <c r="K21" s="1139">
        <f t="shared" si="5"/>
        <v>0</v>
      </c>
      <c r="L21" s="858">
        <f t="shared" si="1"/>
        <v>0</v>
      </c>
      <c r="M21" s="2121"/>
    </row>
    <row r="22" spans="1:13" s="640" customFormat="1">
      <c r="A22" s="1930"/>
      <c r="B22" s="1932"/>
      <c r="C22" s="1935"/>
      <c r="D22" s="1140" t="s">
        <v>243</v>
      </c>
      <c r="E22" s="502">
        <v>18320</v>
      </c>
      <c r="F22" s="502">
        <v>8320</v>
      </c>
      <c r="G22" s="502"/>
      <c r="H22" s="502">
        <v>0</v>
      </c>
      <c r="I22" s="1138">
        <f t="shared" si="2"/>
        <v>0</v>
      </c>
      <c r="J22" s="502"/>
      <c r="K22" s="1139">
        <f t="shared" si="5"/>
        <v>0</v>
      </c>
      <c r="L22" s="858">
        <f t="shared" si="1"/>
        <v>0</v>
      </c>
      <c r="M22" s="2121"/>
    </row>
    <row r="23" spans="1:13" s="640" customFormat="1">
      <c r="A23" s="1930"/>
      <c r="B23" s="1932"/>
      <c r="C23" s="1935"/>
      <c r="D23" s="1140" t="s">
        <v>244</v>
      </c>
      <c r="E23" s="502">
        <v>8350</v>
      </c>
      <c r="F23" s="502">
        <v>6350</v>
      </c>
      <c r="G23" s="502"/>
      <c r="H23" s="502">
        <v>0</v>
      </c>
      <c r="I23" s="1138">
        <f t="shared" si="2"/>
        <v>0</v>
      </c>
      <c r="J23" s="502"/>
      <c r="K23" s="1139">
        <f t="shared" si="5"/>
        <v>0</v>
      </c>
      <c r="L23" s="858">
        <f t="shared" si="1"/>
        <v>0</v>
      </c>
      <c r="M23" s="2121"/>
    </row>
    <row r="24" spans="1:13" s="640" customFormat="1">
      <c r="A24" s="1930"/>
      <c r="B24" s="1932"/>
      <c r="C24" s="1935"/>
      <c r="D24" s="1140" t="s">
        <v>222</v>
      </c>
      <c r="E24" s="502">
        <v>145500</v>
      </c>
      <c r="F24" s="502">
        <v>95500</v>
      </c>
      <c r="G24" s="502"/>
      <c r="H24" s="502">
        <v>0</v>
      </c>
      <c r="I24" s="1138">
        <f t="shared" si="2"/>
        <v>0</v>
      </c>
      <c r="J24" s="502"/>
      <c r="K24" s="1139">
        <f t="shared" si="5"/>
        <v>0</v>
      </c>
      <c r="L24" s="858">
        <f t="shared" si="1"/>
        <v>0</v>
      </c>
      <c r="M24" s="2121"/>
    </row>
    <row r="25" spans="1:13" s="640" customFormat="1">
      <c r="A25" s="1930"/>
      <c r="B25" s="1932"/>
      <c r="C25" s="1935"/>
      <c r="D25" s="1140" t="s">
        <v>245</v>
      </c>
      <c r="E25" s="502">
        <v>12000</v>
      </c>
      <c r="F25" s="502">
        <v>6000</v>
      </c>
      <c r="G25" s="502"/>
      <c r="H25" s="502">
        <v>0</v>
      </c>
      <c r="I25" s="1138">
        <f t="shared" si="2"/>
        <v>0</v>
      </c>
      <c r="J25" s="502"/>
      <c r="K25" s="1139">
        <f t="shared" si="5"/>
        <v>0</v>
      </c>
      <c r="L25" s="858">
        <f t="shared" si="1"/>
        <v>0</v>
      </c>
      <c r="M25" s="2121"/>
    </row>
    <row r="26" spans="1:13" s="640" customFormat="1">
      <c r="A26" s="1930"/>
      <c r="B26" s="1932"/>
      <c r="C26" s="1935"/>
      <c r="D26" s="1140" t="s">
        <v>247</v>
      </c>
      <c r="E26" s="502">
        <v>5000</v>
      </c>
      <c r="F26" s="502">
        <v>5000</v>
      </c>
      <c r="G26" s="502"/>
      <c r="H26" s="502">
        <v>0</v>
      </c>
      <c r="I26" s="1138">
        <f t="shared" si="2"/>
        <v>0</v>
      </c>
      <c r="J26" s="502"/>
      <c r="K26" s="1139">
        <f t="shared" si="5"/>
        <v>0</v>
      </c>
      <c r="L26" s="858">
        <f t="shared" si="1"/>
        <v>0</v>
      </c>
      <c r="M26" s="2121"/>
    </row>
    <row r="27" spans="1:13" s="640" customFormat="1">
      <c r="A27" s="1930"/>
      <c r="B27" s="1932"/>
      <c r="C27" s="1935"/>
      <c r="D27" s="1140" t="s">
        <v>248</v>
      </c>
      <c r="E27" s="502">
        <v>6150</v>
      </c>
      <c r="F27" s="502">
        <v>3150</v>
      </c>
      <c r="G27" s="502"/>
      <c r="H27" s="502">
        <v>0</v>
      </c>
      <c r="I27" s="1138">
        <f t="shared" si="2"/>
        <v>0</v>
      </c>
      <c r="J27" s="502"/>
      <c r="K27" s="1139">
        <f t="shared" si="5"/>
        <v>0</v>
      </c>
      <c r="L27" s="858">
        <f t="shared" si="1"/>
        <v>0</v>
      </c>
      <c r="M27" s="2121"/>
    </row>
    <row r="28" spans="1:13" s="640" customFormat="1">
      <c r="A28" s="1930"/>
      <c r="B28" s="1932"/>
      <c r="C28" s="1935"/>
      <c r="D28" s="1140" t="s">
        <v>249</v>
      </c>
      <c r="E28" s="502">
        <v>85650</v>
      </c>
      <c r="F28" s="502">
        <v>85650</v>
      </c>
      <c r="G28" s="502"/>
      <c r="H28" s="502">
        <v>0</v>
      </c>
      <c r="I28" s="1138">
        <f t="shared" si="2"/>
        <v>0</v>
      </c>
      <c r="J28" s="502"/>
      <c r="K28" s="1139">
        <f t="shared" si="5"/>
        <v>0</v>
      </c>
      <c r="L28" s="858">
        <f t="shared" si="1"/>
        <v>0</v>
      </c>
      <c r="M28" s="2121"/>
    </row>
    <row r="29" spans="1:13" s="640" customFormat="1">
      <c r="A29" s="1930"/>
      <c r="B29" s="1932"/>
      <c r="C29" s="1935"/>
      <c r="D29" s="1140" t="s">
        <v>561</v>
      </c>
      <c r="E29" s="502">
        <v>8800</v>
      </c>
      <c r="F29" s="502">
        <v>3800</v>
      </c>
      <c r="G29" s="502"/>
      <c r="H29" s="502">
        <v>0</v>
      </c>
      <c r="I29" s="1138">
        <f t="shared" si="2"/>
        <v>0</v>
      </c>
      <c r="J29" s="502"/>
      <c r="K29" s="1139">
        <f t="shared" si="5"/>
        <v>0</v>
      </c>
      <c r="L29" s="858">
        <f t="shared" si="1"/>
        <v>0</v>
      </c>
      <c r="M29" s="2121"/>
    </row>
    <row r="30" spans="1:13" s="640" customFormat="1">
      <c r="A30" s="1930"/>
      <c r="B30" s="1932"/>
      <c r="C30" s="1935"/>
      <c r="D30" s="1140" t="s">
        <v>264</v>
      </c>
      <c r="E30" s="502">
        <v>11040</v>
      </c>
      <c r="F30" s="502">
        <v>11040</v>
      </c>
      <c r="G30" s="502"/>
      <c r="H30" s="502">
        <v>0</v>
      </c>
      <c r="I30" s="1138">
        <f t="shared" si="2"/>
        <v>0</v>
      </c>
      <c r="J30" s="502"/>
      <c r="K30" s="1139">
        <f t="shared" si="5"/>
        <v>0</v>
      </c>
      <c r="L30" s="858">
        <f t="shared" si="1"/>
        <v>0</v>
      </c>
      <c r="M30" s="2121"/>
    </row>
    <row r="31" spans="1:13" s="640" customFormat="1">
      <c r="A31" s="1930"/>
      <c r="B31" s="1932"/>
      <c r="C31" s="1935"/>
      <c r="D31" s="1140" t="s">
        <v>250</v>
      </c>
      <c r="E31" s="502">
        <v>10600</v>
      </c>
      <c r="F31" s="502">
        <v>600</v>
      </c>
      <c r="G31" s="502"/>
      <c r="H31" s="502">
        <v>0</v>
      </c>
      <c r="I31" s="1138">
        <f t="shared" si="2"/>
        <v>0</v>
      </c>
      <c r="J31" s="502"/>
      <c r="K31" s="1139">
        <f t="shared" si="5"/>
        <v>0</v>
      </c>
      <c r="L31" s="858">
        <f t="shared" si="1"/>
        <v>0</v>
      </c>
      <c r="M31" s="2121"/>
    </row>
    <row r="32" spans="1:13" s="640" customFormat="1">
      <c r="A32" s="1930"/>
      <c r="B32" s="1932"/>
      <c r="C32" s="668" t="s">
        <v>23</v>
      </c>
      <c r="D32" s="669"/>
      <c r="E32" s="513"/>
      <c r="F32" s="513"/>
      <c r="G32" s="513"/>
      <c r="H32" s="513"/>
      <c r="I32" s="809"/>
      <c r="J32" s="513"/>
      <c r="K32" s="1137"/>
      <c r="L32" s="858"/>
      <c r="M32" s="2121"/>
    </row>
    <row r="33" spans="1:13" s="640" customFormat="1">
      <c r="A33" s="1930"/>
      <c r="B33" s="1932"/>
      <c r="C33" s="668" t="s">
        <v>24</v>
      </c>
      <c r="D33" s="669">
        <v>3020</v>
      </c>
      <c r="E33" s="513">
        <v>7700</v>
      </c>
      <c r="F33" s="513">
        <v>7700</v>
      </c>
      <c r="G33" s="513"/>
      <c r="H33" s="513">
        <v>0</v>
      </c>
      <c r="I33" s="809">
        <f>H33/E33</f>
        <v>0</v>
      </c>
      <c r="J33" s="513"/>
      <c r="K33" s="1137">
        <f t="shared" si="5"/>
        <v>0</v>
      </c>
      <c r="L33" s="858">
        <f t="shared" si="1"/>
        <v>0</v>
      </c>
      <c r="M33" s="2121"/>
    </row>
    <row r="34" spans="1:13" s="640" customFormat="1" ht="22.5">
      <c r="A34" s="1930"/>
      <c r="B34" s="1932"/>
      <c r="C34" s="672" t="s">
        <v>25</v>
      </c>
      <c r="D34" s="673"/>
      <c r="E34" s="513"/>
      <c r="F34" s="513"/>
      <c r="G34" s="513"/>
      <c r="H34" s="513"/>
      <c r="I34" s="809"/>
      <c r="J34" s="513"/>
      <c r="K34" s="1137"/>
      <c r="L34" s="858"/>
      <c r="M34" s="2121"/>
    </row>
    <row r="35" spans="1:13" s="640" customFormat="1">
      <c r="A35" s="1930"/>
      <c r="B35" s="1932"/>
      <c r="C35" s="668" t="s">
        <v>26</v>
      </c>
      <c r="D35" s="669"/>
      <c r="E35" s="513"/>
      <c r="F35" s="513"/>
      <c r="G35" s="513"/>
      <c r="H35" s="513"/>
      <c r="I35" s="809"/>
      <c r="J35" s="513"/>
      <c r="K35" s="1137"/>
      <c r="L35" s="858"/>
      <c r="M35" s="2121"/>
    </row>
    <row r="36" spans="1:13" s="640" customFormat="1">
      <c r="A36" s="1930"/>
      <c r="B36" s="1932"/>
      <c r="C36" s="668" t="s">
        <v>27</v>
      </c>
      <c r="D36" s="669"/>
      <c r="E36" s="513"/>
      <c r="F36" s="513"/>
      <c r="G36" s="513"/>
      <c r="H36" s="513"/>
      <c r="I36" s="809"/>
      <c r="J36" s="513"/>
      <c r="K36" s="1137"/>
      <c r="L36" s="858"/>
      <c r="M36" s="2121"/>
    </row>
    <row r="37" spans="1:13" s="640" customFormat="1">
      <c r="A37" s="1930"/>
      <c r="B37" s="1932"/>
      <c r="C37" s="676" t="s">
        <v>28</v>
      </c>
      <c r="D37" s="677"/>
      <c r="E37" s="528">
        <f>SUM(E38,E40,E41)</f>
        <v>0</v>
      </c>
      <c r="F37" s="528">
        <f>SUM(F38,F40,F41)</f>
        <v>0</v>
      </c>
      <c r="G37" s="528"/>
      <c r="H37" s="528">
        <f>SUM(H38,H40,H41)</f>
        <v>0</v>
      </c>
      <c r="I37" s="808"/>
      <c r="J37" s="528"/>
      <c r="K37" s="1137">
        <f t="shared" si="5"/>
        <v>0</v>
      </c>
      <c r="L37" s="858"/>
      <c r="M37" s="2121"/>
    </row>
    <row r="38" spans="1:13" s="640" customFormat="1">
      <c r="A38" s="1930"/>
      <c r="B38" s="1932"/>
      <c r="C38" s="404" t="s">
        <v>29</v>
      </c>
      <c r="D38" s="669"/>
      <c r="E38" s="513"/>
      <c r="F38" s="513"/>
      <c r="G38" s="513"/>
      <c r="H38" s="513"/>
      <c r="I38" s="808"/>
      <c r="J38" s="513"/>
      <c r="K38" s="1137"/>
      <c r="L38" s="858"/>
      <c r="M38" s="2121"/>
    </row>
    <row r="39" spans="1:13" s="640" customFormat="1" ht="22.5">
      <c r="A39" s="1930"/>
      <c r="B39" s="1932"/>
      <c r="C39" s="672" t="s">
        <v>30</v>
      </c>
      <c r="D39" s="673"/>
      <c r="E39" s="513"/>
      <c r="F39" s="513"/>
      <c r="G39" s="513"/>
      <c r="H39" s="513"/>
      <c r="I39" s="809"/>
      <c r="J39" s="513"/>
      <c r="K39" s="1137"/>
      <c r="L39" s="858"/>
      <c r="M39" s="2121"/>
    </row>
    <row r="40" spans="1:13" s="640" customFormat="1">
      <c r="A40" s="1930"/>
      <c r="B40" s="1932"/>
      <c r="C40" s="668" t="s">
        <v>31</v>
      </c>
      <c r="D40" s="669"/>
      <c r="E40" s="513"/>
      <c r="F40" s="513"/>
      <c r="G40" s="513"/>
      <c r="H40" s="513"/>
      <c r="I40" s="809"/>
      <c r="J40" s="513"/>
      <c r="K40" s="1137"/>
      <c r="L40" s="858"/>
      <c r="M40" s="2121"/>
    </row>
    <row r="41" spans="1:13" s="640" customFormat="1" ht="13.5" thickBot="1">
      <c r="A41" s="1931"/>
      <c r="B41" s="1933"/>
      <c r="C41" s="679" t="s">
        <v>32</v>
      </c>
      <c r="D41" s="680"/>
      <c r="E41" s="683"/>
      <c r="F41" s="683"/>
      <c r="G41" s="683"/>
      <c r="H41" s="683"/>
      <c r="I41" s="1141"/>
      <c r="J41" s="683"/>
      <c r="K41" s="627"/>
      <c r="L41" s="858"/>
      <c r="M41" s="2123"/>
    </row>
    <row r="42" spans="1:13" s="189" customFormat="1" ht="16.5" customHeight="1">
      <c r="A42" s="1943"/>
      <c r="B42" s="1947" t="s">
        <v>562</v>
      </c>
      <c r="C42" s="707" t="s">
        <v>563</v>
      </c>
      <c r="D42" s="708"/>
      <c r="E42" s="709">
        <f>SUM(E43,E52)</f>
        <v>0</v>
      </c>
      <c r="F42" s="709">
        <f>SUM(F43,F52)</f>
        <v>58500</v>
      </c>
      <c r="G42" s="709"/>
      <c r="H42" s="709">
        <f>SUM(H43,H52)</f>
        <v>71500</v>
      </c>
      <c r="I42" s="1142"/>
      <c r="J42" s="709">
        <f>SUM(J43,J52)</f>
        <v>0</v>
      </c>
      <c r="K42" s="1143">
        <f>SUM(K43,K52)</f>
        <v>71500</v>
      </c>
      <c r="L42" s="850"/>
      <c r="M42" s="2124" t="s">
        <v>564</v>
      </c>
    </row>
    <row r="43" spans="1:13" s="189" customFormat="1">
      <c r="A43" s="1930"/>
      <c r="B43" s="1932"/>
      <c r="C43" s="664" t="s">
        <v>18</v>
      </c>
      <c r="D43" s="665"/>
      <c r="E43" s="528">
        <f>SUM(E44,E47,E48,E49,E50,E51)</f>
        <v>0</v>
      </c>
      <c r="F43" s="528">
        <f>SUM(F44,F47,F48,F49,F50,F51)</f>
        <v>58500</v>
      </c>
      <c r="G43" s="528">
        <f>SUM(G44,G47,G48,G49,G50,G51)</f>
        <v>0</v>
      </c>
      <c r="H43" s="528">
        <f>SUM(H44,H47,H48,H49,H50,H51)</f>
        <v>71500</v>
      </c>
      <c r="I43" s="808"/>
      <c r="J43" s="528">
        <f>SUM(J44,J47,J48,J49,J50,J51)</f>
        <v>0</v>
      </c>
      <c r="K43" s="1136">
        <f>SUM(K44,K47,K48,K49,K50,K51)</f>
        <v>71500</v>
      </c>
      <c r="L43" s="854"/>
      <c r="M43" s="2125"/>
    </row>
    <row r="44" spans="1:13" ht="20.100000000000001" customHeight="1">
      <c r="A44" s="1930"/>
      <c r="B44" s="1932"/>
      <c r="C44" s="668" t="s">
        <v>19</v>
      </c>
      <c r="D44" s="669"/>
      <c r="E44" s="513"/>
      <c r="F44" s="513"/>
      <c r="G44" s="513"/>
      <c r="H44" s="513"/>
      <c r="I44" s="808"/>
      <c r="J44" s="513"/>
      <c r="K44" s="1137"/>
      <c r="L44" s="854"/>
      <c r="M44" s="2125"/>
    </row>
    <row r="45" spans="1:13" ht="20.100000000000001" customHeight="1">
      <c r="A45" s="1930"/>
      <c r="B45" s="1932"/>
      <c r="C45" s="668" t="s">
        <v>20</v>
      </c>
      <c r="D45" s="669"/>
      <c r="E45" s="513"/>
      <c r="F45" s="513"/>
      <c r="G45" s="513"/>
      <c r="H45" s="513"/>
      <c r="I45" s="808"/>
      <c r="J45" s="513"/>
      <c r="K45" s="1137"/>
      <c r="L45" s="854"/>
      <c r="M45" s="2125"/>
    </row>
    <row r="46" spans="1:13" ht="20.100000000000001" customHeight="1">
      <c r="A46" s="1930"/>
      <c r="B46" s="1932"/>
      <c r="C46" s="672" t="s">
        <v>21</v>
      </c>
      <c r="D46" s="673"/>
      <c r="E46" s="513"/>
      <c r="F46" s="513"/>
      <c r="G46" s="513"/>
      <c r="H46" s="513"/>
      <c r="I46" s="808"/>
      <c r="J46" s="513"/>
      <c r="K46" s="1137"/>
      <c r="L46" s="854"/>
      <c r="M46" s="2125"/>
    </row>
    <row r="47" spans="1:13" ht="20.100000000000001" customHeight="1">
      <c r="A47" s="1930"/>
      <c r="B47" s="1932"/>
      <c r="C47" s="404" t="s">
        <v>23</v>
      </c>
      <c r="D47" s="669">
        <v>2710</v>
      </c>
      <c r="E47" s="513">
        <v>0</v>
      </c>
      <c r="F47" s="513">
        <v>58500</v>
      </c>
      <c r="G47" s="513"/>
      <c r="H47" s="513">
        <v>71500</v>
      </c>
      <c r="I47" s="809"/>
      <c r="J47" s="513"/>
      <c r="K47" s="1137">
        <f t="shared" ref="K47" si="6">H47+J47</f>
        <v>71500</v>
      </c>
      <c r="L47" s="854"/>
      <c r="M47" s="2125"/>
    </row>
    <row r="48" spans="1:13" ht="20.100000000000001" customHeight="1">
      <c r="A48" s="1930"/>
      <c r="B48" s="1932"/>
      <c r="C48" s="668" t="s">
        <v>24</v>
      </c>
      <c r="D48" s="669"/>
      <c r="E48" s="513"/>
      <c r="F48" s="513"/>
      <c r="G48" s="513"/>
      <c r="H48" s="513"/>
      <c r="I48" s="808"/>
      <c r="J48" s="513"/>
      <c r="K48" s="1137"/>
      <c r="L48" s="854"/>
      <c r="M48" s="2125"/>
    </row>
    <row r="49" spans="1:13" ht="20.100000000000001" customHeight="1">
      <c r="A49" s="1930"/>
      <c r="B49" s="1932"/>
      <c r="C49" s="174" t="s">
        <v>25</v>
      </c>
      <c r="D49" s="669"/>
      <c r="E49" s="513"/>
      <c r="F49" s="513"/>
      <c r="G49" s="513"/>
      <c r="H49" s="513"/>
      <c r="I49" s="808"/>
      <c r="J49" s="513"/>
      <c r="K49" s="1137"/>
      <c r="L49" s="854"/>
      <c r="M49" s="2125"/>
    </row>
    <row r="50" spans="1:13" ht="20.100000000000001" customHeight="1">
      <c r="A50" s="1930"/>
      <c r="B50" s="1932"/>
      <c r="C50" s="668" t="s">
        <v>26</v>
      </c>
      <c r="D50" s="669"/>
      <c r="E50" s="513"/>
      <c r="F50" s="513"/>
      <c r="G50" s="513"/>
      <c r="H50" s="513"/>
      <c r="I50" s="808"/>
      <c r="J50" s="513"/>
      <c r="K50" s="1137"/>
      <c r="L50" s="854"/>
      <c r="M50" s="2125"/>
    </row>
    <row r="51" spans="1:13" ht="20.100000000000001" customHeight="1">
      <c r="A51" s="1930"/>
      <c r="B51" s="1932"/>
      <c r="C51" s="668" t="s">
        <v>27</v>
      </c>
      <c r="D51" s="669"/>
      <c r="E51" s="513"/>
      <c r="F51" s="513"/>
      <c r="G51" s="513"/>
      <c r="H51" s="513"/>
      <c r="I51" s="808"/>
      <c r="J51" s="513"/>
      <c r="K51" s="1137"/>
      <c r="L51" s="854"/>
      <c r="M51" s="2125"/>
    </row>
    <row r="52" spans="1:13">
      <c r="A52" s="1930"/>
      <c r="B52" s="1932"/>
      <c r="C52" s="676" t="s">
        <v>28</v>
      </c>
      <c r="D52" s="677"/>
      <c r="E52" s="528">
        <f>SUM(E53,E55,E56)</f>
        <v>0</v>
      </c>
      <c r="F52" s="528">
        <f>SUM(F53,F55,F56)</f>
        <v>0</v>
      </c>
      <c r="G52" s="528">
        <f>SUM(G53,G55,G56)</f>
        <v>0</v>
      </c>
      <c r="H52" s="528">
        <f>SUM(H53,H55,H56)</f>
        <v>0</v>
      </c>
      <c r="I52" s="808"/>
      <c r="J52" s="528">
        <f>SUM(J53,J55,J56)</f>
        <v>0</v>
      </c>
      <c r="K52" s="1136">
        <f>SUM(K53,K55,K56)</f>
        <v>0</v>
      </c>
      <c r="L52" s="854"/>
      <c r="M52" s="2125"/>
    </row>
    <row r="53" spans="1:13" s="977" customFormat="1" ht="20.100000000000001" customHeight="1">
      <c r="A53" s="1930"/>
      <c r="B53" s="1932"/>
      <c r="C53" s="404" t="s">
        <v>29</v>
      </c>
      <c r="D53" s="669"/>
      <c r="E53" s="513"/>
      <c r="F53" s="513"/>
      <c r="G53" s="513"/>
      <c r="H53" s="513"/>
      <c r="I53" s="809"/>
      <c r="J53" s="513"/>
      <c r="K53" s="1137"/>
      <c r="L53" s="854"/>
      <c r="M53" s="2125"/>
    </row>
    <row r="54" spans="1:13" ht="20.100000000000001" customHeight="1">
      <c r="A54" s="1930"/>
      <c r="B54" s="1932"/>
      <c r="C54" s="174" t="s">
        <v>30</v>
      </c>
      <c r="D54" s="673"/>
      <c r="E54" s="513"/>
      <c r="F54" s="513"/>
      <c r="G54" s="513"/>
      <c r="H54" s="513"/>
      <c r="I54" s="808"/>
      <c r="J54" s="513"/>
      <c r="K54" s="1137"/>
      <c r="L54" s="854"/>
      <c r="M54" s="2125"/>
    </row>
    <row r="55" spans="1:13" ht="20.100000000000001" customHeight="1">
      <c r="A55" s="1930"/>
      <c r="B55" s="1932"/>
      <c r="C55" s="668" t="s">
        <v>31</v>
      </c>
      <c r="D55" s="669"/>
      <c r="E55" s="513"/>
      <c r="F55" s="513"/>
      <c r="G55" s="513"/>
      <c r="H55" s="513"/>
      <c r="I55" s="808"/>
      <c r="J55" s="513"/>
      <c r="K55" s="1137"/>
      <c r="L55" s="854"/>
      <c r="M55" s="2125"/>
    </row>
    <row r="56" spans="1:13" s="189" customFormat="1" ht="20.100000000000001" customHeight="1">
      <c r="A56" s="2119"/>
      <c r="B56" s="1932"/>
      <c r="C56" s="668" t="s">
        <v>32</v>
      </c>
      <c r="D56" s="669"/>
      <c r="E56" s="528"/>
      <c r="F56" s="528"/>
      <c r="G56" s="528"/>
      <c r="H56" s="528"/>
      <c r="I56" s="808"/>
      <c r="J56" s="528"/>
      <c r="K56" s="1137"/>
      <c r="L56" s="854"/>
      <c r="M56" s="2126"/>
    </row>
    <row r="57" spans="1:13" s="640" customFormat="1" ht="20.100000000000001" customHeight="1">
      <c r="A57" s="877" t="s">
        <v>217</v>
      </c>
      <c r="B57" s="878"/>
      <c r="C57" s="800" t="s">
        <v>218</v>
      </c>
      <c r="D57" s="878"/>
      <c r="E57" s="730">
        <f>SUM(E58)</f>
        <v>862463</v>
      </c>
      <c r="F57" s="730">
        <f>SUM(F58)</f>
        <v>1479211</v>
      </c>
      <c r="G57" s="730"/>
      <c r="H57" s="730">
        <f>SUM(H58)</f>
        <v>761911</v>
      </c>
      <c r="I57" s="1145">
        <f>H57/E57</f>
        <v>0.88341296959985527</v>
      </c>
      <c r="J57" s="730">
        <f>SUM(J58)</f>
        <v>0</v>
      </c>
      <c r="K57" s="1146">
        <f>SUM(K58)</f>
        <v>761911</v>
      </c>
      <c r="L57" s="1147">
        <f t="shared" si="1"/>
        <v>0.88341296959985527</v>
      </c>
      <c r="M57" s="1148"/>
    </row>
    <row r="58" spans="1:13" s="640" customFormat="1" ht="15" customHeight="1">
      <c r="A58" s="1929"/>
      <c r="B58" s="1932" t="s">
        <v>225</v>
      </c>
      <c r="C58" s="660" t="s">
        <v>17</v>
      </c>
      <c r="D58" s="661"/>
      <c r="E58" s="525">
        <f>SUM(E59,E79)</f>
        <v>862463</v>
      </c>
      <c r="F58" s="525">
        <f>SUM(F59,F79)</f>
        <v>1479211</v>
      </c>
      <c r="G58" s="525"/>
      <c r="H58" s="525">
        <f>SUM(H59,H79)</f>
        <v>761911</v>
      </c>
      <c r="I58" s="1134">
        <f>H58/E58</f>
        <v>0.88341296959985527</v>
      </c>
      <c r="J58" s="525">
        <f>SUM(J59,J79)</f>
        <v>0</v>
      </c>
      <c r="K58" s="1135">
        <f>SUM(K59,K79)</f>
        <v>761911</v>
      </c>
      <c r="L58" s="850">
        <f t="shared" si="1"/>
        <v>0.88341296959985527</v>
      </c>
      <c r="M58" s="2120" t="s">
        <v>565</v>
      </c>
    </row>
    <row r="59" spans="1:13" s="640" customFormat="1" ht="15" customHeight="1">
      <c r="A59" s="1930"/>
      <c r="B59" s="1932"/>
      <c r="C59" s="664" t="s">
        <v>18</v>
      </c>
      <c r="D59" s="665"/>
      <c r="E59" s="528">
        <f>SUM(E60,E63,E64,E65,E77,E78)</f>
        <v>750000</v>
      </c>
      <c r="F59" s="528">
        <f>SUM(F60,F63,F64,F65,F77,F78)</f>
        <v>1459211</v>
      </c>
      <c r="G59" s="528"/>
      <c r="H59" s="528">
        <f>SUM(H60,H63,H64,H65,H77,H78)</f>
        <v>761911</v>
      </c>
      <c r="I59" s="808">
        <f>H59/E59</f>
        <v>1.0158813333333334</v>
      </c>
      <c r="J59" s="528">
        <f>SUM(J60,J63,J64,J65,J77,J78)</f>
        <v>0</v>
      </c>
      <c r="K59" s="1136">
        <f>SUM(K60,K63,K64,K65,K77,K78)</f>
        <v>761911</v>
      </c>
      <c r="L59" s="854">
        <f t="shared" si="1"/>
        <v>1.0158813333333334</v>
      </c>
      <c r="M59" s="2121"/>
    </row>
    <row r="60" spans="1:13" s="640" customFormat="1" ht="15" customHeight="1">
      <c r="A60" s="1930"/>
      <c r="B60" s="1932"/>
      <c r="C60" s="668" t="s">
        <v>19</v>
      </c>
      <c r="D60" s="669"/>
      <c r="E60" s="513"/>
      <c r="F60" s="513"/>
      <c r="G60" s="513"/>
      <c r="H60" s="513">
        <f>SUM(H61:H62)</f>
        <v>0</v>
      </c>
      <c r="I60" s="809"/>
      <c r="J60" s="513">
        <f>SUM(J61:J62)</f>
        <v>0</v>
      </c>
      <c r="K60" s="1137"/>
      <c r="L60" s="858"/>
      <c r="M60" s="2121"/>
    </row>
    <row r="61" spans="1:13" s="640" customFormat="1" ht="15" customHeight="1">
      <c r="A61" s="1930"/>
      <c r="B61" s="1932"/>
      <c r="C61" s="668" t="s">
        <v>20</v>
      </c>
      <c r="D61" s="669"/>
      <c r="E61" s="513"/>
      <c r="F61" s="513"/>
      <c r="G61" s="513"/>
      <c r="H61" s="513"/>
      <c r="I61" s="809"/>
      <c r="J61" s="513"/>
      <c r="K61" s="1137"/>
      <c r="L61" s="858"/>
      <c r="M61" s="2121"/>
    </row>
    <row r="62" spans="1:13" s="640" customFormat="1" ht="15" customHeight="1">
      <c r="A62" s="1930"/>
      <c r="B62" s="1932"/>
      <c r="C62" s="672" t="s">
        <v>21</v>
      </c>
      <c r="D62" s="673"/>
      <c r="E62" s="513"/>
      <c r="F62" s="513"/>
      <c r="G62" s="513"/>
      <c r="H62" s="513"/>
      <c r="I62" s="809"/>
      <c r="J62" s="513"/>
      <c r="K62" s="1137"/>
      <c r="L62" s="858"/>
      <c r="M62" s="2121"/>
    </row>
    <row r="63" spans="1:13" s="640" customFormat="1" ht="15" customHeight="1">
      <c r="A63" s="1930"/>
      <c r="B63" s="1932"/>
      <c r="C63" s="668" t="s">
        <v>23</v>
      </c>
      <c r="D63" s="669"/>
      <c r="E63" s="513"/>
      <c r="F63" s="513"/>
      <c r="G63" s="513"/>
      <c r="H63" s="513"/>
      <c r="I63" s="809"/>
      <c r="J63" s="513"/>
      <c r="K63" s="1137"/>
      <c r="L63" s="858"/>
      <c r="M63" s="2121"/>
    </row>
    <row r="64" spans="1:13" s="640" customFormat="1" ht="15" customHeight="1">
      <c r="A64" s="1930"/>
      <c r="B64" s="1932"/>
      <c r="C64" s="668" t="s">
        <v>24</v>
      </c>
      <c r="D64" s="669"/>
      <c r="E64" s="513"/>
      <c r="F64" s="513"/>
      <c r="G64" s="513"/>
      <c r="H64" s="513"/>
      <c r="I64" s="809"/>
      <c r="J64" s="513"/>
      <c r="K64" s="1137"/>
      <c r="L64" s="858"/>
      <c r="M64" s="2121"/>
    </row>
    <row r="65" spans="1:13" s="640" customFormat="1" ht="15" customHeight="1">
      <c r="A65" s="1930"/>
      <c r="B65" s="1932"/>
      <c r="C65" s="1934" t="s">
        <v>25</v>
      </c>
      <c r="D65" s="669" t="s">
        <v>22</v>
      </c>
      <c r="E65" s="513">
        <f>SUM(E66:E76)</f>
        <v>750000</v>
      </c>
      <c r="F65" s="513">
        <f>SUM(F66:F76)</f>
        <v>1459211</v>
      </c>
      <c r="G65" s="513">
        <f>SUM(G66:G76)</f>
        <v>0</v>
      </c>
      <c r="H65" s="513">
        <f>SUM(H66:H76)</f>
        <v>761911</v>
      </c>
      <c r="I65" s="1149">
        <f>H65/E65</f>
        <v>1.0158813333333334</v>
      </c>
      <c r="J65" s="513">
        <f>SUM(J66:J76)</f>
        <v>0</v>
      </c>
      <c r="K65" s="1137">
        <f>SUM(K66:K76)</f>
        <v>761911</v>
      </c>
      <c r="L65" s="858">
        <f t="shared" si="1"/>
        <v>1.0158813333333334</v>
      </c>
      <c r="M65" s="2121"/>
    </row>
    <row r="66" spans="1:13" s="640" customFormat="1" ht="15" customHeight="1">
      <c r="A66" s="1930"/>
      <c r="B66" s="1932"/>
      <c r="C66" s="1935"/>
      <c r="D66" s="669">
        <v>4017</v>
      </c>
      <c r="E66" s="513">
        <v>38000</v>
      </c>
      <c r="F66" s="513">
        <v>99790</v>
      </c>
      <c r="G66" s="513"/>
      <c r="H66" s="513">
        <v>0</v>
      </c>
      <c r="I66" s="1149">
        <f t="shared" ref="I66:I76" si="7">H66/E66</f>
        <v>0</v>
      </c>
      <c r="J66" s="513"/>
      <c r="K66" s="1137">
        <f t="shared" ref="K66:K76" si="8">H66+J66</f>
        <v>0</v>
      </c>
      <c r="L66" s="858">
        <f t="shared" si="1"/>
        <v>0</v>
      </c>
      <c r="M66" s="2121"/>
    </row>
    <row r="67" spans="1:13" s="640" customFormat="1" ht="15" customHeight="1">
      <c r="A67" s="1930"/>
      <c r="B67" s="1932"/>
      <c r="C67" s="1935"/>
      <c r="D67" s="674">
        <v>4117</v>
      </c>
      <c r="E67" s="502">
        <v>5800</v>
      </c>
      <c r="F67" s="502">
        <v>15651</v>
      </c>
      <c r="G67" s="502"/>
      <c r="H67" s="502">
        <v>0</v>
      </c>
      <c r="I67" s="1149">
        <f t="shared" si="7"/>
        <v>0</v>
      </c>
      <c r="J67" s="502"/>
      <c r="K67" s="1137">
        <f t="shared" si="8"/>
        <v>0</v>
      </c>
      <c r="L67" s="858">
        <f t="shared" si="1"/>
        <v>0</v>
      </c>
      <c r="M67" s="2121"/>
    </row>
    <row r="68" spans="1:13" s="640" customFormat="1" ht="15" customHeight="1">
      <c r="A68" s="1930"/>
      <c r="B68" s="1932"/>
      <c r="C68" s="1935"/>
      <c r="D68" s="674">
        <v>4127</v>
      </c>
      <c r="E68" s="502">
        <v>908</v>
      </c>
      <c r="F68" s="502">
        <v>2230</v>
      </c>
      <c r="G68" s="502"/>
      <c r="H68" s="502">
        <v>0</v>
      </c>
      <c r="I68" s="1149">
        <f t="shared" si="7"/>
        <v>0</v>
      </c>
      <c r="J68" s="502"/>
      <c r="K68" s="1137">
        <f t="shared" si="8"/>
        <v>0</v>
      </c>
      <c r="L68" s="858">
        <f t="shared" si="1"/>
        <v>0</v>
      </c>
      <c r="M68" s="2121"/>
    </row>
    <row r="69" spans="1:13" s="640" customFormat="1" ht="15" customHeight="1">
      <c r="A69" s="1930"/>
      <c r="B69" s="1932"/>
      <c r="C69" s="1935"/>
      <c r="D69" s="674">
        <v>4177</v>
      </c>
      <c r="E69" s="502">
        <v>50000</v>
      </c>
      <c r="F69" s="502">
        <v>4500</v>
      </c>
      <c r="G69" s="502"/>
      <c r="H69" s="502">
        <v>20000</v>
      </c>
      <c r="I69" s="1149">
        <f t="shared" si="7"/>
        <v>0.4</v>
      </c>
      <c r="J69" s="502"/>
      <c r="K69" s="1137">
        <f t="shared" si="8"/>
        <v>20000</v>
      </c>
      <c r="L69" s="858">
        <f t="shared" si="1"/>
        <v>0.4</v>
      </c>
      <c r="M69" s="2121"/>
    </row>
    <row r="70" spans="1:13" s="640" customFormat="1" ht="15" customHeight="1">
      <c r="A70" s="1930"/>
      <c r="B70" s="1932"/>
      <c r="C70" s="1935"/>
      <c r="D70" s="674">
        <v>4217</v>
      </c>
      <c r="E70" s="502">
        <v>100000</v>
      </c>
      <c r="F70" s="502">
        <v>165500</v>
      </c>
      <c r="G70" s="502"/>
      <c r="H70" s="502">
        <v>50000</v>
      </c>
      <c r="I70" s="1149">
        <f t="shared" si="7"/>
        <v>0.5</v>
      </c>
      <c r="J70" s="502"/>
      <c r="K70" s="1137">
        <f t="shared" si="8"/>
        <v>50000</v>
      </c>
      <c r="L70" s="858">
        <f t="shared" ref="L70:L133" si="9">K70/E70</f>
        <v>0.5</v>
      </c>
      <c r="M70" s="2121"/>
    </row>
    <row r="71" spans="1:13" s="640" customFormat="1" ht="15" customHeight="1">
      <c r="A71" s="1930"/>
      <c r="B71" s="1932"/>
      <c r="C71" s="1935"/>
      <c r="D71" s="674">
        <v>4307</v>
      </c>
      <c r="E71" s="502">
        <v>377652</v>
      </c>
      <c r="F71" s="502">
        <v>654213</v>
      </c>
      <c r="G71" s="502"/>
      <c r="H71" s="502">
        <v>423028</v>
      </c>
      <c r="I71" s="1149">
        <f t="shared" si="7"/>
        <v>1.1201529450393484</v>
      </c>
      <c r="J71" s="502"/>
      <c r="K71" s="1137">
        <f t="shared" si="8"/>
        <v>423028</v>
      </c>
      <c r="L71" s="858">
        <f t="shared" si="9"/>
        <v>1.1201529450393484</v>
      </c>
      <c r="M71" s="2121"/>
    </row>
    <row r="72" spans="1:13" s="640" customFormat="1" ht="15" customHeight="1">
      <c r="A72" s="1930"/>
      <c r="B72" s="1932"/>
      <c r="C72" s="1935"/>
      <c r="D72" s="674">
        <v>4397</v>
      </c>
      <c r="E72" s="502">
        <v>100000</v>
      </c>
      <c r="F72" s="502">
        <v>320000</v>
      </c>
      <c r="G72" s="502"/>
      <c r="H72" s="502">
        <v>151883</v>
      </c>
      <c r="I72" s="1149">
        <f t="shared" si="7"/>
        <v>1.5188299999999999</v>
      </c>
      <c r="J72" s="502"/>
      <c r="K72" s="1137">
        <f t="shared" si="8"/>
        <v>151883</v>
      </c>
      <c r="L72" s="858">
        <f t="shared" si="9"/>
        <v>1.5188299999999999</v>
      </c>
      <c r="M72" s="2121"/>
    </row>
    <row r="73" spans="1:13" s="640" customFormat="1" ht="15" customHeight="1">
      <c r="A73" s="1930"/>
      <c r="B73" s="1932"/>
      <c r="C73" s="1935"/>
      <c r="D73" s="674">
        <v>4417</v>
      </c>
      <c r="E73" s="502">
        <v>7000</v>
      </c>
      <c r="F73" s="502">
        <v>7000</v>
      </c>
      <c r="G73" s="502"/>
      <c r="H73" s="502">
        <v>25000</v>
      </c>
      <c r="I73" s="1149">
        <f t="shared" si="7"/>
        <v>3.5714285714285716</v>
      </c>
      <c r="J73" s="502"/>
      <c r="K73" s="1137">
        <f t="shared" si="8"/>
        <v>25000</v>
      </c>
      <c r="L73" s="858">
        <f t="shared" si="9"/>
        <v>3.5714285714285716</v>
      </c>
      <c r="M73" s="2121"/>
    </row>
    <row r="74" spans="1:13" s="640" customFormat="1" ht="15" customHeight="1">
      <c r="A74" s="1930"/>
      <c r="B74" s="1932"/>
      <c r="C74" s="1935"/>
      <c r="D74" s="674">
        <v>4427</v>
      </c>
      <c r="E74" s="502">
        <v>40000</v>
      </c>
      <c r="F74" s="502">
        <v>150000</v>
      </c>
      <c r="G74" s="502"/>
      <c r="H74" s="502">
        <v>75000</v>
      </c>
      <c r="I74" s="1149">
        <f t="shared" si="7"/>
        <v>1.875</v>
      </c>
      <c r="J74" s="502"/>
      <c r="K74" s="1137">
        <f t="shared" si="8"/>
        <v>75000</v>
      </c>
      <c r="L74" s="858">
        <f t="shared" si="9"/>
        <v>1.875</v>
      </c>
      <c r="M74" s="2121"/>
    </row>
    <row r="75" spans="1:13" s="640" customFormat="1" ht="15" customHeight="1">
      <c r="A75" s="1930"/>
      <c r="B75" s="1932"/>
      <c r="C75" s="1935"/>
      <c r="D75" s="674">
        <v>4707</v>
      </c>
      <c r="E75" s="502">
        <v>30000</v>
      </c>
      <c r="F75" s="502">
        <v>40000</v>
      </c>
      <c r="G75" s="502"/>
      <c r="H75" s="502">
        <v>17000</v>
      </c>
      <c r="I75" s="1149">
        <f t="shared" si="7"/>
        <v>0.56666666666666665</v>
      </c>
      <c r="J75" s="502"/>
      <c r="K75" s="1137">
        <f t="shared" si="8"/>
        <v>17000</v>
      </c>
      <c r="L75" s="858">
        <f t="shared" si="9"/>
        <v>0.56666666666666665</v>
      </c>
      <c r="M75" s="2121"/>
    </row>
    <row r="76" spans="1:13" s="640" customFormat="1" ht="15" customHeight="1">
      <c r="A76" s="1930"/>
      <c r="B76" s="1932"/>
      <c r="C76" s="2118"/>
      <c r="D76" s="674">
        <v>4717</v>
      </c>
      <c r="E76" s="502">
        <v>640</v>
      </c>
      <c r="F76" s="502">
        <v>327</v>
      </c>
      <c r="G76" s="502"/>
      <c r="H76" s="502">
        <v>0</v>
      </c>
      <c r="I76" s="1149">
        <f t="shared" si="7"/>
        <v>0</v>
      </c>
      <c r="J76" s="502"/>
      <c r="K76" s="1137">
        <f t="shared" si="8"/>
        <v>0</v>
      </c>
      <c r="L76" s="858">
        <f t="shared" si="9"/>
        <v>0</v>
      </c>
      <c r="M76" s="2121"/>
    </row>
    <row r="77" spans="1:13" s="640" customFormat="1">
      <c r="A77" s="1930"/>
      <c r="B77" s="1932"/>
      <c r="C77" s="668" t="s">
        <v>26</v>
      </c>
      <c r="D77" s="669"/>
      <c r="E77" s="513"/>
      <c r="F77" s="513"/>
      <c r="G77" s="513"/>
      <c r="H77" s="513"/>
      <c r="I77" s="1149"/>
      <c r="J77" s="513"/>
      <c r="K77" s="1137"/>
      <c r="L77" s="858"/>
      <c r="M77" s="2121"/>
    </row>
    <row r="78" spans="1:13" s="640" customFormat="1">
      <c r="A78" s="1930"/>
      <c r="B78" s="1932"/>
      <c r="C78" s="668" t="s">
        <v>27</v>
      </c>
      <c r="D78" s="669"/>
      <c r="E78" s="513"/>
      <c r="F78" s="513"/>
      <c r="G78" s="513"/>
      <c r="H78" s="513"/>
      <c r="I78" s="1149"/>
      <c r="J78" s="513"/>
      <c r="K78" s="1137"/>
      <c r="L78" s="858"/>
      <c r="M78" s="2121"/>
    </row>
    <row r="79" spans="1:13" s="640" customFormat="1" ht="15" customHeight="1">
      <c r="A79" s="1930"/>
      <c r="B79" s="1932"/>
      <c r="C79" s="676" t="s">
        <v>28</v>
      </c>
      <c r="D79" s="677"/>
      <c r="E79" s="528">
        <f>SUM(E80,E82,E83)</f>
        <v>112463</v>
      </c>
      <c r="F79" s="528">
        <f t="shared" ref="F79:K79" si="10">SUM(F80,F82,F83)</f>
        <v>20000</v>
      </c>
      <c r="G79" s="528">
        <f t="shared" si="10"/>
        <v>0</v>
      </c>
      <c r="H79" s="528">
        <f t="shared" si="10"/>
        <v>0</v>
      </c>
      <c r="I79" s="1149">
        <f t="shared" ref="I79:I81" si="11">H79/E79</f>
        <v>0</v>
      </c>
      <c r="J79" s="528">
        <f t="shared" si="10"/>
        <v>0</v>
      </c>
      <c r="K79" s="1136">
        <f t="shared" si="10"/>
        <v>0</v>
      </c>
      <c r="L79" s="858">
        <f t="shared" si="9"/>
        <v>0</v>
      </c>
      <c r="M79" s="2121"/>
    </row>
    <row r="80" spans="1:13" s="640" customFormat="1" ht="15" customHeight="1">
      <c r="A80" s="1930"/>
      <c r="B80" s="1932"/>
      <c r="C80" s="404" t="s">
        <v>29</v>
      </c>
      <c r="D80" s="669">
        <v>6057</v>
      </c>
      <c r="E80" s="513">
        <v>112463</v>
      </c>
      <c r="F80" s="513">
        <v>20000</v>
      </c>
      <c r="G80" s="513"/>
      <c r="H80" s="513">
        <v>0</v>
      </c>
      <c r="I80" s="1149">
        <f t="shared" si="11"/>
        <v>0</v>
      </c>
      <c r="J80" s="513"/>
      <c r="K80" s="1137">
        <f t="shared" ref="K80:K81" si="12">H80+J80</f>
        <v>0</v>
      </c>
      <c r="L80" s="858">
        <f t="shared" si="9"/>
        <v>0</v>
      </c>
      <c r="M80" s="2121"/>
    </row>
    <row r="81" spans="1:13" s="640" customFormat="1" ht="22.5">
      <c r="A81" s="1930"/>
      <c r="B81" s="1932"/>
      <c r="C81" s="405" t="s">
        <v>30</v>
      </c>
      <c r="D81" s="669">
        <v>6057</v>
      </c>
      <c r="E81" s="513">
        <v>112463</v>
      </c>
      <c r="F81" s="513">
        <v>20000</v>
      </c>
      <c r="G81" s="513"/>
      <c r="H81" s="513">
        <v>0</v>
      </c>
      <c r="I81" s="1149">
        <f t="shared" si="11"/>
        <v>0</v>
      </c>
      <c r="J81" s="513"/>
      <c r="K81" s="1137">
        <f t="shared" si="12"/>
        <v>0</v>
      </c>
      <c r="L81" s="858">
        <f t="shared" si="9"/>
        <v>0</v>
      </c>
      <c r="M81" s="2121"/>
    </row>
    <row r="82" spans="1:13" s="640" customFormat="1">
      <c r="A82" s="1930"/>
      <c r="B82" s="1932"/>
      <c r="C82" s="668" t="s">
        <v>31</v>
      </c>
      <c r="D82" s="669"/>
      <c r="E82" s="513"/>
      <c r="F82" s="513"/>
      <c r="G82" s="513"/>
      <c r="H82" s="513"/>
      <c r="I82" s="809"/>
      <c r="J82" s="513"/>
      <c r="K82" s="1137"/>
      <c r="L82" s="858"/>
      <c r="M82" s="2121"/>
    </row>
    <row r="83" spans="1:13" s="640" customFormat="1" ht="13.5" thickBot="1">
      <c r="A83" s="1931"/>
      <c r="B83" s="1933"/>
      <c r="C83" s="679" t="s">
        <v>32</v>
      </c>
      <c r="D83" s="680"/>
      <c r="E83" s="683"/>
      <c r="F83" s="683"/>
      <c r="G83" s="683"/>
      <c r="H83" s="683"/>
      <c r="I83" s="1141"/>
      <c r="J83" s="683"/>
      <c r="K83" s="627"/>
      <c r="L83" s="858"/>
      <c r="M83" s="2123"/>
    </row>
    <row r="84" spans="1:13" s="640" customFormat="1" ht="20.100000000000001" customHeight="1">
      <c r="A84" s="392" t="s">
        <v>14</v>
      </c>
      <c r="B84" s="393"/>
      <c r="C84" s="812" t="s">
        <v>15</v>
      </c>
      <c r="D84" s="393"/>
      <c r="E84" s="395">
        <f>SUM(E85,E106,E124)</f>
        <v>7613533</v>
      </c>
      <c r="F84" s="395">
        <f>SUM(F85,F106,F124)</f>
        <v>8653936</v>
      </c>
      <c r="G84" s="395">
        <f>SUM(G85,G106,G124)</f>
        <v>0</v>
      </c>
      <c r="H84" s="395">
        <f>SUM(H85,H106,H124)</f>
        <v>9404619</v>
      </c>
      <c r="I84" s="396">
        <f>H84/E84</f>
        <v>1.2352503102042114</v>
      </c>
      <c r="J84" s="395">
        <f>SUM(J85,J106,J124)</f>
        <v>0</v>
      </c>
      <c r="K84" s="1151">
        <f>SUM(K85,K106,K124)</f>
        <v>9404619</v>
      </c>
      <c r="L84" s="1147">
        <f t="shared" si="9"/>
        <v>1.2352503102042114</v>
      </c>
      <c r="M84" s="1152"/>
    </row>
    <row r="85" spans="1:13" s="640" customFormat="1" ht="15" customHeight="1">
      <c r="A85" s="1929"/>
      <c r="B85" s="1932" t="s">
        <v>114</v>
      </c>
      <c r="C85" s="660" t="s">
        <v>106</v>
      </c>
      <c r="D85" s="661"/>
      <c r="E85" s="525">
        <f>SUM(E86,E101)</f>
        <v>350000</v>
      </c>
      <c r="F85" s="525">
        <f>SUM(F86,F101)</f>
        <v>416915</v>
      </c>
      <c r="G85" s="525"/>
      <c r="H85" s="525">
        <f>SUM(H86,H101)</f>
        <v>350000</v>
      </c>
      <c r="I85" s="1134">
        <f>H85/E85</f>
        <v>1</v>
      </c>
      <c r="J85" s="525">
        <f>SUM(J86,J101)</f>
        <v>0</v>
      </c>
      <c r="K85" s="1135">
        <f>SUM(K86,K101)</f>
        <v>350000</v>
      </c>
      <c r="L85" s="850">
        <f t="shared" si="9"/>
        <v>1</v>
      </c>
      <c r="M85" s="2120" t="s">
        <v>566</v>
      </c>
    </row>
    <row r="86" spans="1:13" s="640" customFormat="1" ht="15" customHeight="1">
      <c r="A86" s="1930"/>
      <c r="B86" s="1932"/>
      <c r="C86" s="664" t="s">
        <v>18</v>
      </c>
      <c r="D86" s="665"/>
      <c r="E86" s="528">
        <f>SUM(E87,E90,E91,E92,E99,E100)</f>
        <v>350000</v>
      </c>
      <c r="F86" s="528">
        <f>SUM(F87,F90,F91,F92,F99,F100)</f>
        <v>416915</v>
      </c>
      <c r="G86" s="528"/>
      <c r="H86" s="528">
        <f>SUM(H87,H90,H91,H92,H99,H100)</f>
        <v>350000</v>
      </c>
      <c r="I86" s="808">
        <f>H86/E86</f>
        <v>1</v>
      </c>
      <c r="J86" s="528">
        <f>SUM(J87,J90,J91,J92,J99,J100)</f>
        <v>0</v>
      </c>
      <c r="K86" s="1136">
        <f>SUM(K87,K90,K91,K92,K99,K100)</f>
        <v>350000</v>
      </c>
      <c r="L86" s="858">
        <f t="shared" si="9"/>
        <v>1</v>
      </c>
      <c r="M86" s="2121"/>
    </row>
    <row r="87" spans="1:13" s="640" customFormat="1" ht="15" customHeight="1">
      <c r="A87" s="1930"/>
      <c r="B87" s="1932"/>
      <c r="C87" s="668" t="s">
        <v>19</v>
      </c>
      <c r="D87" s="669"/>
      <c r="E87" s="513"/>
      <c r="F87" s="513"/>
      <c r="G87" s="513"/>
      <c r="H87" s="513">
        <f>SUM(H88:H89)</f>
        <v>0</v>
      </c>
      <c r="I87" s="808"/>
      <c r="J87" s="513">
        <f>SUM(J88:J89)</f>
        <v>0</v>
      </c>
      <c r="K87" s="1137"/>
      <c r="L87" s="858"/>
      <c r="M87" s="2121"/>
    </row>
    <row r="88" spans="1:13" s="640" customFormat="1" ht="15" customHeight="1">
      <c r="A88" s="1930"/>
      <c r="B88" s="1932"/>
      <c r="C88" s="668" t="s">
        <v>20</v>
      </c>
      <c r="D88" s="669"/>
      <c r="E88" s="513"/>
      <c r="F88" s="513"/>
      <c r="G88" s="513"/>
      <c r="H88" s="513"/>
      <c r="I88" s="808"/>
      <c r="J88" s="513"/>
      <c r="K88" s="1137"/>
      <c r="L88" s="858"/>
      <c r="M88" s="2121"/>
    </row>
    <row r="89" spans="1:13" s="640" customFormat="1" ht="15" customHeight="1">
      <c r="A89" s="1930"/>
      <c r="B89" s="1932"/>
      <c r="C89" s="672" t="s">
        <v>21</v>
      </c>
      <c r="D89" s="673"/>
      <c r="E89" s="513"/>
      <c r="F89" s="513"/>
      <c r="G89" s="513"/>
      <c r="H89" s="513"/>
      <c r="I89" s="808"/>
      <c r="J89" s="513"/>
      <c r="K89" s="1137"/>
      <c r="L89" s="858"/>
      <c r="M89" s="2121"/>
    </row>
    <row r="90" spans="1:13" s="640" customFormat="1" ht="15" customHeight="1">
      <c r="A90" s="1930"/>
      <c r="B90" s="1932"/>
      <c r="C90" s="668" t="s">
        <v>23</v>
      </c>
      <c r="D90" s="669"/>
      <c r="E90" s="513"/>
      <c r="F90" s="513"/>
      <c r="G90" s="513"/>
      <c r="H90" s="513"/>
      <c r="I90" s="808"/>
      <c r="J90" s="513"/>
      <c r="K90" s="1137"/>
      <c r="L90" s="858"/>
      <c r="M90" s="2121"/>
    </row>
    <row r="91" spans="1:13" s="640" customFormat="1" ht="15" customHeight="1">
      <c r="A91" s="1930"/>
      <c r="B91" s="1932"/>
      <c r="C91" s="668" t="s">
        <v>24</v>
      </c>
      <c r="D91" s="669"/>
      <c r="E91" s="513"/>
      <c r="F91" s="513"/>
      <c r="G91" s="513"/>
      <c r="H91" s="513"/>
      <c r="I91" s="808"/>
      <c r="J91" s="513"/>
      <c r="K91" s="1137"/>
      <c r="L91" s="858"/>
      <c r="M91" s="2121"/>
    </row>
    <row r="92" spans="1:13" s="640" customFormat="1" ht="15" customHeight="1">
      <c r="A92" s="1930"/>
      <c r="B92" s="1932"/>
      <c r="C92" s="1934" t="s">
        <v>25</v>
      </c>
      <c r="D92" s="669" t="s">
        <v>22</v>
      </c>
      <c r="E92" s="513">
        <f>SUM(E93:E98)</f>
        <v>350000</v>
      </c>
      <c r="F92" s="513">
        <f>SUM(F93:F98)</f>
        <v>416915</v>
      </c>
      <c r="G92" s="513">
        <f>SUM(G93:G98)</f>
        <v>0</v>
      </c>
      <c r="H92" s="513">
        <f>SUM(H93:H98)</f>
        <v>350000</v>
      </c>
      <c r="I92" s="809">
        <f t="shared" ref="I92:I98" si="13">H92/E92</f>
        <v>1</v>
      </c>
      <c r="J92" s="513">
        <f>SUM(J93:J98)</f>
        <v>0</v>
      </c>
      <c r="K92" s="1137">
        <f>SUM(K93:K98)</f>
        <v>350000</v>
      </c>
      <c r="L92" s="858">
        <f t="shared" si="9"/>
        <v>1</v>
      </c>
      <c r="M92" s="2121"/>
    </row>
    <row r="93" spans="1:13" s="640" customFormat="1" ht="15" customHeight="1">
      <c r="A93" s="1930"/>
      <c r="B93" s="1932"/>
      <c r="C93" s="1935"/>
      <c r="D93" s="674">
        <v>4178</v>
      </c>
      <c r="E93" s="502">
        <v>38250</v>
      </c>
      <c r="F93" s="502">
        <v>38250</v>
      </c>
      <c r="G93" s="502"/>
      <c r="H93" s="502">
        <v>38250</v>
      </c>
      <c r="I93" s="1138">
        <f t="shared" si="13"/>
        <v>1</v>
      </c>
      <c r="J93" s="502"/>
      <c r="K93" s="1139">
        <f t="shared" ref="K93:K98" si="14">H93+J93</f>
        <v>38250</v>
      </c>
      <c r="L93" s="858">
        <f t="shared" si="9"/>
        <v>1</v>
      </c>
      <c r="M93" s="2121"/>
    </row>
    <row r="94" spans="1:13" s="640" customFormat="1" ht="15" customHeight="1">
      <c r="A94" s="1930"/>
      <c r="B94" s="1932"/>
      <c r="C94" s="1935"/>
      <c r="D94" s="674">
        <v>4179</v>
      </c>
      <c r="E94" s="502">
        <v>6750</v>
      </c>
      <c r="F94" s="502">
        <v>6750</v>
      </c>
      <c r="G94" s="502"/>
      <c r="H94" s="502">
        <v>6750</v>
      </c>
      <c r="I94" s="1138">
        <f t="shared" si="13"/>
        <v>1</v>
      </c>
      <c r="J94" s="502"/>
      <c r="K94" s="1139">
        <f t="shared" si="14"/>
        <v>6750</v>
      </c>
      <c r="L94" s="858">
        <f t="shared" si="9"/>
        <v>1</v>
      </c>
      <c r="M94" s="2121"/>
    </row>
    <row r="95" spans="1:13" s="640" customFormat="1" ht="15" customHeight="1">
      <c r="A95" s="1930"/>
      <c r="B95" s="1932"/>
      <c r="C95" s="1935"/>
      <c r="D95" s="674">
        <v>4308</v>
      </c>
      <c r="E95" s="502">
        <v>21250</v>
      </c>
      <c r="F95" s="502">
        <v>21250</v>
      </c>
      <c r="G95" s="502"/>
      <c r="H95" s="502">
        <v>78910</v>
      </c>
      <c r="I95" s="1138">
        <f t="shared" si="13"/>
        <v>3.7134117647058824</v>
      </c>
      <c r="J95" s="502"/>
      <c r="K95" s="1139">
        <f t="shared" si="14"/>
        <v>78910</v>
      </c>
      <c r="L95" s="858">
        <f t="shared" si="9"/>
        <v>3.7134117647058824</v>
      </c>
      <c r="M95" s="2121"/>
    </row>
    <row r="96" spans="1:13" s="640" customFormat="1" ht="15" customHeight="1">
      <c r="A96" s="1930"/>
      <c r="B96" s="1932"/>
      <c r="C96" s="1935"/>
      <c r="D96" s="674">
        <v>4309</v>
      </c>
      <c r="E96" s="502">
        <v>3750</v>
      </c>
      <c r="F96" s="502">
        <v>3750</v>
      </c>
      <c r="G96" s="502"/>
      <c r="H96" s="502">
        <v>13925</v>
      </c>
      <c r="I96" s="1138">
        <f t="shared" si="13"/>
        <v>3.7133333333333334</v>
      </c>
      <c r="J96" s="502"/>
      <c r="K96" s="1139">
        <f t="shared" si="14"/>
        <v>13925</v>
      </c>
      <c r="L96" s="858">
        <f t="shared" si="9"/>
        <v>3.7133333333333334</v>
      </c>
      <c r="M96" s="2121"/>
    </row>
    <row r="97" spans="1:13" s="640" customFormat="1" ht="15" customHeight="1">
      <c r="A97" s="1930"/>
      <c r="B97" s="1932"/>
      <c r="C97" s="1935"/>
      <c r="D97" s="674">
        <v>4398</v>
      </c>
      <c r="E97" s="502">
        <v>238000</v>
      </c>
      <c r="F97" s="502">
        <v>294878</v>
      </c>
      <c r="G97" s="502"/>
      <c r="H97" s="502">
        <v>180340</v>
      </c>
      <c r="I97" s="1138">
        <f t="shared" si="13"/>
        <v>0.75773109243697478</v>
      </c>
      <c r="J97" s="502"/>
      <c r="K97" s="1139">
        <f t="shared" si="14"/>
        <v>180340</v>
      </c>
      <c r="L97" s="858">
        <f t="shared" si="9"/>
        <v>0.75773109243697478</v>
      </c>
      <c r="M97" s="2121"/>
    </row>
    <row r="98" spans="1:13" s="640" customFormat="1" ht="15" customHeight="1">
      <c r="A98" s="1930"/>
      <c r="B98" s="1932"/>
      <c r="C98" s="1935"/>
      <c r="D98" s="674">
        <v>4399</v>
      </c>
      <c r="E98" s="502">
        <v>42000</v>
      </c>
      <c r="F98" s="502">
        <v>52037</v>
      </c>
      <c r="G98" s="502"/>
      <c r="H98" s="502">
        <v>31825</v>
      </c>
      <c r="I98" s="1138">
        <f t="shared" si="13"/>
        <v>0.75773809523809521</v>
      </c>
      <c r="J98" s="502"/>
      <c r="K98" s="1139">
        <f t="shared" si="14"/>
        <v>31825</v>
      </c>
      <c r="L98" s="858">
        <f t="shared" si="9"/>
        <v>0.75773809523809521</v>
      </c>
      <c r="M98" s="2121"/>
    </row>
    <row r="99" spans="1:13" s="640" customFormat="1" ht="15" customHeight="1">
      <c r="A99" s="1930"/>
      <c r="B99" s="1932"/>
      <c r="C99" s="668" t="s">
        <v>26</v>
      </c>
      <c r="D99" s="669"/>
      <c r="E99" s="513"/>
      <c r="F99" s="513"/>
      <c r="G99" s="513"/>
      <c r="H99" s="513"/>
      <c r="I99" s="1138"/>
      <c r="J99" s="513"/>
      <c r="K99" s="1137"/>
      <c r="L99" s="858"/>
      <c r="M99" s="2121"/>
    </row>
    <row r="100" spans="1:13" s="640" customFormat="1" ht="15" customHeight="1">
      <c r="A100" s="1930"/>
      <c r="B100" s="1932"/>
      <c r="C100" s="668" t="s">
        <v>27</v>
      </c>
      <c r="D100" s="669"/>
      <c r="E100" s="513"/>
      <c r="F100" s="513"/>
      <c r="G100" s="513"/>
      <c r="H100" s="513"/>
      <c r="I100" s="1138"/>
      <c r="J100" s="513"/>
      <c r="K100" s="1137"/>
      <c r="L100" s="858"/>
      <c r="M100" s="2121"/>
    </row>
    <row r="101" spans="1:13" s="640" customFormat="1" ht="15" customHeight="1">
      <c r="A101" s="1930"/>
      <c r="B101" s="1932"/>
      <c r="C101" s="676" t="s">
        <v>28</v>
      </c>
      <c r="D101" s="677"/>
      <c r="E101" s="528">
        <f>SUM(E102,E104,E105)</f>
        <v>0</v>
      </c>
      <c r="F101" s="528">
        <f>SUM(F102,F104,F105)</f>
        <v>0</v>
      </c>
      <c r="G101" s="528"/>
      <c r="H101" s="528">
        <f>SUM(H102,H104,H105)</f>
        <v>0</v>
      </c>
      <c r="I101" s="808"/>
      <c r="J101" s="528">
        <f>SUM(J102,J104,J105)</f>
        <v>0</v>
      </c>
      <c r="K101" s="1136">
        <f>SUM(K102,K104,K105)</f>
        <v>0</v>
      </c>
      <c r="L101" s="858"/>
      <c r="M101" s="2121"/>
    </row>
    <row r="102" spans="1:13" s="640" customFormat="1" ht="15" customHeight="1">
      <c r="A102" s="1930"/>
      <c r="B102" s="1932"/>
      <c r="C102" s="404" t="s">
        <v>29</v>
      </c>
      <c r="D102" s="669"/>
      <c r="E102" s="513"/>
      <c r="F102" s="513"/>
      <c r="G102" s="513"/>
      <c r="H102" s="513"/>
      <c r="I102" s="809"/>
      <c r="J102" s="513"/>
      <c r="K102" s="1137"/>
      <c r="L102" s="858"/>
      <c r="M102" s="2121"/>
    </row>
    <row r="103" spans="1:13" s="640" customFormat="1" ht="22.5">
      <c r="A103" s="1930"/>
      <c r="B103" s="1932"/>
      <c r="C103" s="405" t="s">
        <v>30</v>
      </c>
      <c r="D103" s="669"/>
      <c r="E103" s="513"/>
      <c r="F103" s="513"/>
      <c r="G103" s="513"/>
      <c r="H103" s="513"/>
      <c r="I103" s="809"/>
      <c r="J103" s="513"/>
      <c r="K103" s="1137"/>
      <c r="L103" s="858"/>
      <c r="M103" s="2121"/>
    </row>
    <row r="104" spans="1:13" s="640" customFormat="1">
      <c r="A104" s="1930"/>
      <c r="B104" s="1932"/>
      <c r="C104" s="668" t="s">
        <v>31</v>
      </c>
      <c r="D104" s="669"/>
      <c r="E104" s="513"/>
      <c r="F104" s="513"/>
      <c r="G104" s="513"/>
      <c r="H104" s="513"/>
      <c r="I104" s="1138"/>
      <c r="J104" s="513"/>
      <c r="K104" s="1137"/>
      <c r="L104" s="858"/>
      <c r="M104" s="2121"/>
    </row>
    <row r="105" spans="1:13" s="640" customFormat="1">
      <c r="A105" s="2119"/>
      <c r="B105" s="1932"/>
      <c r="C105" s="668" t="s">
        <v>32</v>
      </c>
      <c r="D105" s="669"/>
      <c r="E105" s="528"/>
      <c r="F105" s="528"/>
      <c r="G105" s="528"/>
      <c r="H105" s="528"/>
      <c r="I105" s="809"/>
      <c r="J105" s="528"/>
      <c r="K105" s="1137"/>
      <c r="L105" s="858"/>
      <c r="M105" s="2122"/>
    </row>
    <row r="106" spans="1:13" s="640" customFormat="1" ht="20.100000000000001" customHeight="1">
      <c r="A106" s="1929"/>
      <c r="B106" s="1932" t="s">
        <v>67</v>
      </c>
      <c r="C106" s="660" t="s">
        <v>68</v>
      </c>
      <c r="D106" s="661"/>
      <c r="E106" s="525">
        <f>SUM(E107,E119)</f>
        <v>150000</v>
      </c>
      <c r="F106" s="525">
        <f>SUM(F107,F119)</f>
        <v>150000</v>
      </c>
      <c r="G106" s="525"/>
      <c r="H106" s="525">
        <f>SUM(H107,H119)</f>
        <v>170000</v>
      </c>
      <c r="I106" s="1134">
        <f>H106/E106</f>
        <v>1.1333333333333333</v>
      </c>
      <c r="J106" s="525">
        <f>SUM(J107,J119)</f>
        <v>0</v>
      </c>
      <c r="K106" s="1135">
        <f>SUM(K107,K119)</f>
        <v>170000</v>
      </c>
      <c r="L106" s="850">
        <f t="shared" si="9"/>
        <v>1.1333333333333333</v>
      </c>
      <c r="M106" s="2120" t="s">
        <v>567</v>
      </c>
    </row>
    <row r="107" spans="1:13" s="640" customFormat="1" ht="15" customHeight="1">
      <c r="A107" s="1930"/>
      <c r="B107" s="1932"/>
      <c r="C107" s="664" t="s">
        <v>18</v>
      </c>
      <c r="D107" s="665"/>
      <c r="E107" s="528">
        <f>SUM(E108,E114,E115,E116,E117,E118)</f>
        <v>150000</v>
      </c>
      <c r="F107" s="528">
        <f>SUM(F108,F114,F115,F116,F117,F118)</f>
        <v>150000</v>
      </c>
      <c r="G107" s="528"/>
      <c r="H107" s="528">
        <f>SUM(H108,H114,H115,H116,H117,H118)</f>
        <v>170000</v>
      </c>
      <c r="I107" s="808">
        <f>H107/E107</f>
        <v>1.1333333333333333</v>
      </c>
      <c r="J107" s="528">
        <f>SUM(J108,J114,J115,J116,J117,J118)</f>
        <v>0</v>
      </c>
      <c r="K107" s="1136">
        <f>SUM(K108,K114,K115,K116,K117,K118)</f>
        <v>170000</v>
      </c>
      <c r="L107" s="854">
        <f t="shared" si="9"/>
        <v>1.1333333333333333</v>
      </c>
      <c r="M107" s="2121"/>
    </row>
    <row r="108" spans="1:13" s="640" customFormat="1" ht="15" customHeight="1">
      <c r="A108" s="1930"/>
      <c r="B108" s="1932"/>
      <c r="C108" s="668" t="s">
        <v>19</v>
      </c>
      <c r="D108" s="669"/>
      <c r="E108" s="513">
        <f>SUM(E109,E110)</f>
        <v>150000</v>
      </c>
      <c r="F108" s="513">
        <f>SUM(F109,F110)</f>
        <v>150000</v>
      </c>
      <c r="G108" s="513"/>
      <c r="H108" s="513">
        <f>SUM(H109,H110)</f>
        <v>170000</v>
      </c>
      <c r="I108" s="809">
        <f>H108/E108</f>
        <v>1.1333333333333333</v>
      </c>
      <c r="J108" s="513">
        <f>SUM(J109,J110)</f>
        <v>0</v>
      </c>
      <c r="K108" s="1137">
        <f>SUM(K109,K110)</f>
        <v>170000</v>
      </c>
      <c r="L108" s="858">
        <f t="shared" si="9"/>
        <v>1.1333333333333333</v>
      </c>
      <c r="M108" s="2121"/>
    </row>
    <row r="109" spans="1:13" s="640" customFormat="1" ht="15" customHeight="1">
      <c r="A109" s="1930"/>
      <c r="B109" s="1932"/>
      <c r="C109" s="668" t="s">
        <v>20</v>
      </c>
      <c r="D109" s="669"/>
      <c r="E109" s="513"/>
      <c r="F109" s="513"/>
      <c r="G109" s="513"/>
      <c r="H109" s="513"/>
      <c r="I109" s="809"/>
      <c r="J109" s="513"/>
      <c r="K109" s="1137"/>
      <c r="L109" s="858"/>
      <c r="M109" s="2121"/>
    </row>
    <row r="110" spans="1:13" s="640" customFormat="1" ht="15" customHeight="1">
      <c r="A110" s="1930"/>
      <c r="B110" s="1932"/>
      <c r="C110" s="1934" t="s">
        <v>21</v>
      </c>
      <c r="D110" s="669" t="s">
        <v>22</v>
      </c>
      <c r="E110" s="513">
        <f>SUM(E111:E113)</f>
        <v>150000</v>
      </c>
      <c r="F110" s="513">
        <f>SUM(F111:F113)</f>
        <v>150000</v>
      </c>
      <c r="G110" s="513">
        <f>SUM(G111:G113)</f>
        <v>0</v>
      </c>
      <c r="H110" s="513">
        <f>SUM(H111:H113)</f>
        <v>170000</v>
      </c>
      <c r="I110" s="809">
        <f>H110/E110</f>
        <v>1.1333333333333333</v>
      </c>
      <c r="J110" s="513">
        <f>SUM(J111:J113)</f>
        <v>0</v>
      </c>
      <c r="K110" s="1137">
        <f>SUM(K111:K113)</f>
        <v>170000</v>
      </c>
      <c r="L110" s="858">
        <f t="shared" si="9"/>
        <v>1.1333333333333333</v>
      </c>
      <c r="M110" s="2121"/>
    </row>
    <row r="111" spans="1:13" s="640" customFormat="1" ht="15" customHeight="1">
      <c r="A111" s="1930"/>
      <c r="B111" s="1932"/>
      <c r="C111" s="1935"/>
      <c r="D111" s="674">
        <v>4210</v>
      </c>
      <c r="E111" s="502">
        <v>0</v>
      </c>
      <c r="F111" s="502">
        <v>50000</v>
      </c>
      <c r="G111" s="502"/>
      <c r="H111" s="502">
        <v>10000</v>
      </c>
      <c r="I111" s="1138"/>
      <c r="J111" s="502"/>
      <c r="K111" s="1139">
        <f t="shared" ref="K111:K113" si="15">H111+J111</f>
        <v>10000</v>
      </c>
      <c r="L111" s="858"/>
      <c r="M111" s="2121"/>
    </row>
    <row r="112" spans="1:13" s="640" customFormat="1" ht="15" customHeight="1">
      <c r="A112" s="1930"/>
      <c r="B112" s="1932"/>
      <c r="C112" s="1935"/>
      <c r="D112" s="674">
        <v>4300</v>
      </c>
      <c r="E112" s="502">
        <v>130000</v>
      </c>
      <c r="F112" s="502">
        <v>80000</v>
      </c>
      <c r="G112" s="502"/>
      <c r="H112" s="502">
        <v>110000</v>
      </c>
      <c r="I112" s="1138">
        <f>H112/E112</f>
        <v>0.84615384615384615</v>
      </c>
      <c r="J112" s="502"/>
      <c r="K112" s="1139">
        <f t="shared" si="15"/>
        <v>110000</v>
      </c>
      <c r="L112" s="858">
        <f t="shared" si="9"/>
        <v>0.84615384615384615</v>
      </c>
      <c r="M112" s="2121"/>
    </row>
    <row r="113" spans="1:13" s="640" customFormat="1" ht="15" customHeight="1">
      <c r="A113" s="1930"/>
      <c r="B113" s="1932"/>
      <c r="C113" s="2118"/>
      <c r="D113" s="674">
        <v>4420</v>
      </c>
      <c r="E113" s="502">
        <v>20000</v>
      </c>
      <c r="F113" s="502">
        <v>20000</v>
      </c>
      <c r="G113" s="502"/>
      <c r="H113" s="502">
        <v>50000</v>
      </c>
      <c r="I113" s="1138">
        <f>H113/E113</f>
        <v>2.5</v>
      </c>
      <c r="J113" s="502"/>
      <c r="K113" s="1139">
        <f t="shared" si="15"/>
        <v>50000</v>
      </c>
      <c r="L113" s="858">
        <f t="shared" si="9"/>
        <v>2.5</v>
      </c>
      <c r="M113" s="2121"/>
    </row>
    <row r="114" spans="1:13" s="640" customFormat="1" ht="15" customHeight="1">
      <c r="A114" s="1930"/>
      <c r="B114" s="1932"/>
      <c r="C114" s="668" t="s">
        <v>23</v>
      </c>
      <c r="D114" s="669"/>
      <c r="E114" s="513"/>
      <c r="F114" s="513"/>
      <c r="G114" s="513"/>
      <c r="H114" s="513"/>
      <c r="I114" s="809"/>
      <c r="J114" s="513"/>
      <c r="K114" s="1137"/>
      <c r="L114" s="858"/>
      <c r="M114" s="2121"/>
    </row>
    <row r="115" spans="1:13" s="640" customFormat="1" ht="15" customHeight="1">
      <c r="A115" s="1930"/>
      <c r="B115" s="1932"/>
      <c r="C115" s="668" t="s">
        <v>24</v>
      </c>
      <c r="D115" s="669"/>
      <c r="E115" s="513"/>
      <c r="F115" s="513"/>
      <c r="G115" s="513"/>
      <c r="H115" s="513"/>
      <c r="I115" s="809"/>
      <c r="J115" s="513"/>
      <c r="K115" s="1137"/>
      <c r="L115" s="854"/>
      <c r="M115" s="2121"/>
    </row>
    <row r="116" spans="1:13" s="640" customFormat="1" ht="22.5">
      <c r="A116" s="1930"/>
      <c r="B116" s="1932"/>
      <c r="C116" s="672" t="s">
        <v>25</v>
      </c>
      <c r="D116" s="673"/>
      <c r="E116" s="513"/>
      <c r="F116" s="513"/>
      <c r="G116" s="513"/>
      <c r="H116" s="513"/>
      <c r="I116" s="809"/>
      <c r="J116" s="513"/>
      <c r="K116" s="1137"/>
      <c r="L116" s="854"/>
      <c r="M116" s="2121"/>
    </row>
    <row r="117" spans="1:13" s="640" customFormat="1" ht="15" customHeight="1">
      <c r="A117" s="1930"/>
      <c r="B117" s="1932"/>
      <c r="C117" s="668" t="s">
        <v>26</v>
      </c>
      <c r="D117" s="669"/>
      <c r="E117" s="513"/>
      <c r="F117" s="513"/>
      <c r="G117" s="513"/>
      <c r="H117" s="513"/>
      <c r="I117" s="809"/>
      <c r="J117" s="513"/>
      <c r="K117" s="1137"/>
      <c r="L117" s="854"/>
      <c r="M117" s="2121"/>
    </row>
    <row r="118" spans="1:13" s="640" customFormat="1" ht="15" customHeight="1">
      <c r="A118" s="1930"/>
      <c r="B118" s="1932"/>
      <c r="C118" s="668" t="s">
        <v>27</v>
      </c>
      <c r="D118" s="669"/>
      <c r="E118" s="513"/>
      <c r="F118" s="513"/>
      <c r="G118" s="513"/>
      <c r="H118" s="513"/>
      <c r="I118" s="809"/>
      <c r="J118" s="513"/>
      <c r="K118" s="1137"/>
      <c r="L118" s="854"/>
      <c r="M118" s="2121"/>
    </row>
    <row r="119" spans="1:13" s="640" customFormat="1" ht="15" customHeight="1">
      <c r="A119" s="1930"/>
      <c r="B119" s="1932"/>
      <c r="C119" s="676" t="s">
        <v>28</v>
      </c>
      <c r="D119" s="677"/>
      <c r="E119" s="528">
        <f>SUM(E120,E122,E123)</f>
        <v>0</v>
      </c>
      <c r="F119" s="528">
        <f>SUM(F120,F122,F123)</f>
        <v>0</v>
      </c>
      <c r="G119" s="528"/>
      <c r="H119" s="528">
        <f>SUM(H120,H122,H123)</f>
        <v>0</v>
      </c>
      <c r="I119" s="808"/>
      <c r="J119" s="528">
        <f>SUM(J120,J122,J123)</f>
        <v>0</v>
      </c>
      <c r="K119" s="1136">
        <f>SUM(K120,K122,K123)</f>
        <v>0</v>
      </c>
      <c r="L119" s="854"/>
      <c r="M119" s="2121"/>
    </row>
    <row r="120" spans="1:13" s="640" customFormat="1" ht="15" customHeight="1">
      <c r="A120" s="1930"/>
      <c r="B120" s="1932"/>
      <c r="C120" s="668" t="s">
        <v>29</v>
      </c>
      <c r="D120" s="669"/>
      <c r="E120" s="513"/>
      <c r="F120" s="513"/>
      <c r="G120" s="513"/>
      <c r="H120" s="513"/>
      <c r="I120" s="808"/>
      <c r="J120" s="513"/>
      <c r="K120" s="1137"/>
      <c r="L120" s="854"/>
      <c r="M120" s="2121"/>
    </row>
    <row r="121" spans="1:13" s="640" customFormat="1" ht="22.5">
      <c r="A121" s="1930"/>
      <c r="B121" s="1932"/>
      <c r="C121" s="672" t="s">
        <v>30</v>
      </c>
      <c r="D121" s="673"/>
      <c r="E121" s="513"/>
      <c r="F121" s="513"/>
      <c r="G121" s="513"/>
      <c r="H121" s="513"/>
      <c r="I121" s="808"/>
      <c r="J121" s="513"/>
      <c r="K121" s="1137"/>
      <c r="L121" s="854"/>
      <c r="M121" s="2121"/>
    </row>
    <row r="122" spans="1:13" s="640" customFormat="1" ht="15" customHeight="1">
      <c r="A122" s="1930"/>
      <c r="B122" s="1932"/>
      <c r="C122" s="668" t="s">
        <v>31</v>
      </c>
      <c r="D122" s="669"/>
      <c r="E122" s="513"/>
      <c r="F122" s="513"/>
      <c r="G122" s="513"/>
      <c r="H122" s="513"/>
      <c r="I122" s="808"/>
      <c r="J122" s="513"/>
      <c r="K122" s="1137"/>
      <c r="L122" s="854"/>
      <c r="M122" s="2121"/>
    </row>
    <row r="123" spans="1:13" s="640" customFormat="1" ht="15" customHeight="1" thickBot="1">
      <c r="A123" s="1931"/>
      <c r="B123" s="1933"/>
      <c r="C123" s="679" t="s">
        <v>32</v>
      </c>
      <c r="D123" s="680"/>
      <c r="E123" s="683"/>
      <c r="F123" s="683"/>
      <c r="G123" s="683"/>
      <c r="H123" s="683"/>
      <c r="I123" s="1153"/>
      <c r="J123" s="683"/>
      <c r="K123" s="627"/>
      <c r="L123" s="854"/>
      <c r="M123" s="2123"/>
    </row>
    <row r="124" spans="1:13" s="289" customFormat="1" ht="12.75" customHeight="1">
      <c r="A124" s="1154"/>
      <c r="B124" s="2112" t="s">
        <v>16</v>
      </c>
      <c r="C124" s="945" t="s">
        <v>17</v>
      </c>
      <c r="D124" s="1155"/>
      <c r="E124" s="1156">
        <f>SUM(E125,E166)</f>
        <v>7113533</v>
      </c>
      <c r="F124" s="1156">
        <f>SUM(F125,F166)</f>
        <v>8087021</v>
      </c>
      <c r="G124" s="1156"/>
      <c r="H124" s="1156">
        <f>SUM(H125,H166)</f>
        <v>8884619</v>
      </c>
      <c r="I124" s="1157">
        <f>H124/E124</f>
        <v>1.2489741735927844</v>
      </c>
      <c r="J124" s="1156">
        <f>SUM(J125,J166)</f>
        <v>0</v>
      </c>
      <c r="K124" s="1158">
        <f>SUM(K125,K166)</f>
        <v>8884619</v>
      </c>
      <c r="L124" s="850">
        <f t="shared" si="9"/>
        <v>1.2489741735927844</v>
      </c>
      <c r="M124" s="2113" t="s">
        <v>568</v>
      </c>
    </row>
    <row r="125" spans="1:13" s="257" customFormat="1" ht="15" customHeight="1">
      <c r="A125" s="1159"/>
      <c r="B125" s="1944"/>
      <c r="C125" s="664" t="s">
        <v>18</v>
      </c>
      <c r="D125" s="1160"/>
      <c r="E125" s="528">
        <f>SUM(E126,E134,E135,E136,E164,E165)</f>
        <v>5848802</v>
      </c>
      <c r="F125" s="528">
        <f>SUM(F126,F134,F135,F136,F164,F165)</f>
        <v>7696888</v>
      </c>
      <c r="G125" s="528"/>
      <c r="H125" s="528">
        <f>SUM(H126,H134,H135,H136,H164,H165)</f>
        <v>7999307</v>
      </c>
      <c r="I125" s="1161">
        <f>H125/E125</f>
        <v>1.3676829887556461</v>
      </c>
      <c r="J125" s="528">
        <f>SUM(J126,J134,J135,J136,J164,J165)</f>
        <v>0</v>
      </c>
      <c r="K125" s="1136">
        <f>SUM(K126,K134,K135,K136,K164,K165)</f>
        <v>7999307</v>
      </c>
      <c r="L125" s="854">
        <f t="shared" si="9"/>
        <v>1.3676829887556461</v>
      </c>
      <c r="M125" s="2114"/>
    </row>
    <row r="126" spans="1:13" s="257" customFormat="1" ht="15" customHeight="1">
      <c r="A126" s="1159"/>
      <c r="B126" s="1944"/>
      <c r="C126" s="668" t="s">
        <v>19</v>
      </c>
      <c r="D126" s="1162"/>
      <c r="E126" s="1163">
        <f>SUM(E127,E128)</f>
        <v>3830089</v>
      </c>
      <c r="F126" s="1163">
        <f>SUM(F127,F128)</f>
        <v>3630489</v>
      </c>
      <c r="G126" s="1163"/>
      <c r="H126" s="1163">
        <f>SUM(H127,H128)</f>
        <v>4656090</v>
      </c>
      <c r="I126" s="1164">
        <f>H126/E126</f>
        <v>1.2156610459965813</v>
      </c>
      <c r="J126" s="1163">
        <f>SUM(J127,J128)</f>
        <v>0</v>
      </c>
      <c r="K126" s="1165">
        <f>SUM(K127,K128)</f>
        <v>4656090</v>
      </c>
      <c r="L126" s="858">
        <f t="shared" si="9"/>
        <v>1.2156610459965813</v>
      </c>
      <c r="M126" s="2114"/>
    </row>
    <row r="127" spans="1:13" s="257" customFormat="1" ht="20.100000000000001" customHeight="1">
      <c r="A127" s="1159"/>
      <c r="B127" s="1944"/>
      <c r="C127" s="404" t="s">
        <v>20</v>
      </c>
      <c r="D127" s="1162">
        <v>4170</v>
      </c>
      <c r="E127" s="1163">
        <v>84000</v>
      </c>
      <c r="F127" s="1163">
        <v>54000</v>
      </c>
      <c r="G127" s="1163"/>
      <c r="H127" s="1163">
        <v>216200</v>
      </c>
      <c r="I127" s="1164">
        <f>H127/E127</f>
        <v>2.573809523809524</v>
      </c>
      <c r="J127" s="513"/>
      <c r="K127" s="1137">
        <f>J127+H127</f>
        <v>216200</v>
      </c>
      <c r="L127" s="858">
        <f t="shared" si="9"/>
        <v>2.573809523809524</v>
      </c>
      <c r="M127" s="2114"/>
    </row>
    <row r="128" spans="1:13" s="257" customFormat="1" ht="20.100000000000001" customHeight="1">
      <c r="A128" s="1159"/>
      <c r="B128" s="1944"/>
      <c r="C128" s="1934" t="s">
        <v>21</v>
      </c>
      <c r="D128" s="1162" t="s">
        <v>22</v>
      </c>
      <c r="E128" s="1163">
        <f>SUM(E129:E133)</f>
        <v>3746089</v>
      </c>
      <c r="F128" s="1163">
        <f>SUM(F129:F133)</f>
        <v>3576489</v>
      </c>
      <c r="G128" s="1163"/>
      <c r="H128" s="1163">
        <f>SUM(H129:H133)</f>
        <v>4439890</v>
      </c>
      <c r="I128" s="1164">
        <f t="shared" ref="I128:I133" si="16">H128/E128</f>
        <v>1.1852067583017916</v>
      </c>
      <c r="J128" s="513">
        <f>SUM(J129:J133)</f>
        <v>0</v>
      </c>
      <c r="K128" s="1137">
        <f>SUM(K129:K133)</f>
        <v>4439890</v>
      </c>
      <c r="L128" s="858">
        <f t="shared" si="9"/>
        <v>1.1852067583017916</v>
      </c>
      <c r="M128" s="2114"/>
    </row>
    <row r="129" spans="1:13" s="257" customFormat="1" ht="20.100000000000001" customHeight="1">
      <c r="A129" s="1159"/>
      <c r="B129" s="1944"/>
      <c r="C129" s="1935"/>
      <c r="D129" s="1166">
        <v>4210</v>
      </c>
      <c r="E129" s="1167">
        <v>65000</v>
      </c>
      <c r="F129" s="1167">
        <v>50000</v>
      </c>
      <c r="G129" s="1167"/>
      <c r="H129" s="1167">
        <v>85000</v>
      </c>
      <c r="I129" s="1164">
        <f t="shared" si="16"/>
        <v>1.3076923076923077</v>
      </c>
      <c r="J129" s="502"/>
      <c r="K129" s="1139">
        <f t="shared" ref="K129:K133" si="17">H129+J129</f>
        <v>85000</v>
      </c>
      <c r="L129" s="858">
        <f t="shared" si="9"/>
        <v>1.3076923076923077</v>
      </c>
      <c r="M129" s="2114"/>
    </row>
    <row r="130" spans="1:13" s="257" customFormat="1" ht="20.100000000000001" customHeight="1">
      <c r="A130" s="1159"/>
      <c r="B130" s="1944"/>
      <c r="C130" s="1935"/>
      <c r="D130" s="1166">
        <v>4300</v>
      </c>
      <c r="E130" s="1167">
        <v>3246339</v>
      </c>
      <c r="F130" s="1167">
        <f>3732078-445339</f>
        <v>3286739</v>
      </c>
      <c r="G130" s="1167"/>
      <c r="H130" s="1167">
        <v>3788040</v>
      </c>
      <c r="I130" s="1164">
        <f t="shared" si="16"/>
        <v>1.166865197996882</v>
      </c>
      <c r="J130" s="502"/>
      <c r="K130" s="1139">
        <f t="shared" si="17"/>
        <v>3788040</v>
      </c>
      <c r="L130" s="858">
        <f t="shared" si="9"/>
        <v>1.166865197996882</v>
      </c>
      <c r="M130" s="2114"/>
    </row>
    <row r="131" spans="1:13" s="257" customFormat="1" ht="20.100000000000001" customHeight="1">
      <c r="A131" s="1159"/>
      <c r="B131" s="1944"/>
      <c r="C131" s="1935"/>
      <c r="D131" s="1166">
        <v>4390</v>
      </c>
      <c r="E131" s="1167">
        <v>404750</v>
      </c>
      <c r="F131" s="1167">
        <v>209750</v>
      </c>
      <c r="G131" s="1167"/>
      <c r="H131" s="1167">
        <v>541850</v>
      </c>
      <c r="I131" s="1164">
        <f t="shared" si="16"/>
        <v>1.3387276096355776</v>
      </c>
      <c r="J131" s="502"/>
      <c r="K131" s="1139">
        <f t="shared" si="17"/>
        <v>541850</v>
      </c>
      <c r="L131" s="858">
        <f t="shared" si="9"/>
        <v>1.3387276096355776</v>
      </c>
      <c r="M131" s="2114"/>
    </row>
    <row r="132" spans="1:13" s="257" customFormat="1" ht="20.100000000000001" customHeight="1">
      <c r="A132" s="1159"/>
      <c r="B132" s="1944"/>
      <c r="C132" s="1935"/>
      <c r="D132" s="1166">
        <v>4420</v>
      </c>
      <c r="E132" s="1167">
        <v>0</v>
      </c>
      <c r="F132" s="1167">
        <v>0</v>
      </c>
      <c r="G132" s="1167"/>
      <c r="H132" s="1167">
        <v>25000</v>
      </c>
      <c r="I132" s="1164"/>
      <c r="J132" s="502"/>
      <c r="K132" s="1139">
        <f t="shared" si="17"/>
        <v>25000</v>
      </c>
      <c r="L132" s="858"/>
      <c r="M132" s="2114"/>
    </row>
    <row r="133" spans="1:13" s="257" customFormat="1" ht="20.100000000000001" customHeight="1">
      <c r="A133" s="1159"/>
      <c r="B133" s="1944"/>
      <c r="C133" s="1935"/>
      <c r="D133" s="1166">
        <v>4700</v>
      </c>
      <c r="E133" s="1167">
        <v>30000</v>
      </c>
      <c r="F133" s="1167">
        <v>30000</v>
      </c>
      <c r="G133" s="1167"/>
      <c r="H133" s="1167">
        <v>0</v>
      </c>
      <c r="I133" s="1164">
        <f t="shared" si="16"/>
        <v>0</v>
      </c>
      <c r="J133" s="502"/>
      <c r="K133" s="1139">
        <f t="shared" si="17"/>
        <v>0</v>
      </c>
      <c r="L133" s="858">
        <f t="shared" si="9"/>
        <v>0</v>
      </c>
      <c r="M133" s="2114"/>
    </row>
    <row r="134" spans="1:13" s="257" customFormat="1" ht="15" customHeight="1">
      <c r="A134" s="1159"/>
      <c r="B134" s="1944"/>
      <c r="C134" s="668" t="s">
        <v>23</v>
      </c>
      <c r="D134" s="1162"/>
      <c r="E134" s="1163"/>
      <c r="F134" s="1163"/>
      <c r="G134" s="1163"/>
      <c r="H134" s="513"/>
      <c r="I134" s="1164"/>
      <c r="J134" s="513"/>
      <c r="K134" s="1139"/>
      <c r="L134" s="858"/>
      <c r="M134" s="2114"/>
    </row>
    <row r="135" spans="1:13" s="257" customFormat="1" ht="15" customHeight="1">
      <c r="A135" s="1159"/>
      <c r="B135" s="1944"/>
      <c r="C135" s="668" t="s">
        <v>24</v>
      </c>
      <c r="D135" s="1162"/>
      <c r="E135" s="1163"/>
      <c r="F135" s="1163"/>
      <c r="G135" s="1163"/>
      <c r="H135" s="513"/>
      <c r="I135" s="1164"/>
      <c r="J135" s="513"/>
      <c r="K135" s="1139"/>
      <c r="L135" s="858"/>
      <c r="M135" s="2114"/>
    </row>
    <row r="136" spans="1:13" s="257" customFormat="1" ht="18" customHeight="1">
      <c r="A136" s="1159"/>
      <c r="B136" s="1944"/>
      <c r="C136" s="1934" t="s">
        <v>90</v>
      </c>
      <c r="D136" s="1168" t="s">
        <v>22</v>
      </c>
      <c r="E136" s="1169">
        <f>SUM(E137:E163)</f>
        <v>2018713</v>
      </c>
      <c r="F136" s="1169">
        <f>SUM(F137:F163)</f>
        <v>4066399</v>
      </c>
      <c r="G136" s="1169">
        <f>SUM(G137:G163)</f>
        <v>0</v>
      </c>
      <c r="H136" s="1169">
        <f>SUM(H137:H163)</f>
        <v>3343217</v>
      </c>
      <c r="I136" s="1164">
        <f>H136/E136</f>
        <v>1.6561130779858255</v>
      </c>
      <c r="J136" s="1169">
        <f>SUM(J137:J163)</f>
        <v>0</v>
      </c>
      <c r="K136" s="1170">
        <f>SUM(K137:K163)</f>
        <v>3343217</v>
      </c>
      <c r="L136" s="858">
        <f t="shared" ref="L136:L183" si="18">K136/E136</f>
        <v>1.6561130779858255</v>
      </c>
      <c r="M136" s="2114"/>
    </row>
    <row r="137" spans="1:13" s="257" customFormat="1" ht="18" customHeight="1">
      <c r="A137" s="1159"/>
      <c r="B137" s="1944"/>
      <c r="C137" s="1935"/>
      <c r="D137" s="1171">
        <v>2007</v>
      </c>
      <c r="E137" s="1172">
        <v>501117</v>
      </c>
      <c r="F137" s="1172">
        <v>432440</v>
      </c>
      <c r="G137" s="1172"/>
      <c r="H137" s="1172">
        <v>290967</v>
      </c>
      <c r="I137" s="1164">
        <f t="shared" ref="I137:I180" si="19">H137/E137</f>
        <v>0.58063685726087921</v>
      </c>
      <c r="J137" s="502"/>
      <c r="K137" s="1173">
        <f>J137+H137</f>
        <v>290967</v>
      </c>
      <c r="L137" s="858">
        <f t="shared" si="18"/>
        <v>0.58063685726087921</v>
      </c>
      <c r="M137" s="2114"/>
    </row>
    <row r="138" spans="1:13" s="257" customFormat="1" ht="18" customHeight="1">
      <c r="A138" s="1159"/>
      <c r="B138" s="1944"/>
      <c r="C138" s="1935"/>
      <c r="D138" s="1171">
        <v>2009</v>
      </c>
      <c r="E138" s="1172">
        <v>30658</v>
      </c>
      <c r="F138" s="1172">
        <v>27181</v>
      </c>
      <c r="G138" s="1172"/>
      <c r="H138" s="1172">
        <v>17618</v>
      </c>
      <c r="I138" s="1164">
        <f t="shared" si="19"/>
        <v>0.57466240459260221</v>
      </c>
      <c r="J138" s="502"/>
      <c r="K138" s="1173">
        <f t="shared" ref="K138:K163" si="20">J138+H138</f>
        <v>17618</v>
      </c>
      <c r="L138" s="858">
        <f t="shared" si="18"/>
        <v>0.57466240459260221</v>
      </c>
      <c r="M138" s="2114"/>
    </row>
    <row r="139" spans="1:13" s="257" customFormat="1" ht="18" customHeight="1">
      <c r="A139" s="1159"/>
      <c r="B139" s="1944"/>
      <c r="C139" s="1935"/>
      <c r="D139" s="1171">
        <v>2057</v>
      </c>
      <c r="E139" s="1172">
        <v>298291</v>
      </c>
      <c r="F139" s="1172">
        <v>345819</v>
      </c>
      <c r="G139" s="1172"/>
      <c r="H139" s="1172">
        <v>2484113</v>
      </c>
      <c r="I139" s="1164">
        <f t="shared" si="19"/>
        <v>8.3278174668360769</v>
      </c>
      <c r="J139" s="502"/>
      <c r="K139" s="1173">
        <f t="shared" si="20"/>
        <v>2484113</v>
      </c>
      <c r="L139" s="858">
        <f t="shared" si="18"/>
        <v>8.3278174668360769</v>
      </c>
      <c r="M139" s="2114"/>
    </row>
    <row r="140" spans="1:13" s="257" customFormat="1" ht="18" customHeight="1">
      <c r="A140" s="1159"/>
      <c r="B140" s="1944"/>
      <c r="C140" s="1935"/>
      <c r="D140" s="1171">
        <v>2059</v>
      </c>
      <c r="E140" s="1172">
        <v>18064</v>
      </c>
      <c r="F140" s="1172">
        <v>20942</v>
      </c>
      <c r="G140" s="1172"/>
      <c r="H140" s="1172">
        <v>150432</v>
      </c>
      <c r="I140" s="1164">
        <f t="shared" si="19"/>
        <v>8.3277236492471207</v>
      </c>
      <c r="J140" s="502"/>
      <c r="K140" s="1173">
        <f t="shared" si="20"/>
        <v>150432</v>
      </c>
      <c r="L140" s="858">
        <f t="shared" si="18"/>
        <v>8.3277236492471207</v>
      </c>
      <c r="M140" s="2114"/>
    </row>
    <row r="141" spans="1:13" s="257" customFormat="1" ht="18" customHeight="1">
      <c r="A141" s="1159"/>
      <c r="B141" s="1944"/>
      <c r="C141" s="1935"/>
      <c r="D141" s="1171">
        <v>4017</v>
      </c>
      <c r="E141" s="1172">
        <v>143500</v>
      </c>
      <c r="F141" s="1172">
        <v>256237</v>
      </c>
      <c r="G141" s="1172"/>
      <c r="H141" s="1172">
        <v>18991</v>
      </c>
      <c r="I141" s="1164">
        <f t="shared" si="19"/>
        <v>0.13234146341463415</v>
      </c>
      <c r="J141" s="502"/>
      <c r="K141" s="1173">
        <f t="shared" si="20"/>
        <v>18991</v>
      </c>
      <c r="L141" s="858">
        <f t="shared" si="18"/>
        <v>0.13234146341463415</v>
      </c>
      <c r="M141" s="2114"/>
    </row>
    <row r="142" spans="1:13" s="257" customFormat="1" ht="18" customHeight="1">
      <c r="A142" s="1159"/>
      <c r="B142" s="1944"/>
      <c r="C142" s="1935"/>
      <c r="D142" s="1171">
        <v>4018</v>
      </c>
      <c r="E142" s="502">
        <v>1832</v>
      </c>
      <c r="F142" s="502">
        <v>4279</v>
      </c>
      <c r="G142" s="1172"/>
      <c r="H142" s="502">
        <v>0</v>
      </c>
      <c r="I142" s="1164">
        <f t="shared" si="19"/>
        <v>0</v>
      </c>
      <c r="J142" s="502"/>
      <c r="K142" s="1173">
        <f t="shared" si="20"/>
        <v>0</v>
      </c>
      <c r="L142" s="858">
        <f t="shared" si="18"/>
        <v>0</v>
      </c>
      <c r="M142" s="2114"/>
    </row>
    <row r="143" spans="1:13" s="257" customFormat="1" ht="18" customHeight="1">
      <c r="A143" s="1159"/>
      <c r="B143" s="1944"/>
      <c r="C143" s="1935"/>
      <c r="D143" s="1171">
        <v>4019</v>
      </c>
      <c r="E143" s="502">
        <v>23121</v>
      </c>
      <c r="F143" s="502">
        <v>41324</v>
      </c>
      <c r="G143" s="1172"/>
      <c r="H143" s="502">
        <v>1151</v>
      </c>
      <c r="I143" s="1164">
        <f t="shared" si="19"/>
        <v>4.9781583841529344E-2</v>
      </c>
      <c r="J143" s="502"/>
      <c r="K143" s="1173">
        <f t="shared" si="20"/>
        <v>1151</v>
      </c>
      <c r="L143" s="858">
        <f t="shared" si="18"/>
        <v>4.9781583841529344E-2</v>
      </c>
      <c r="M143" s="2114"/>
    </row>
    <row r="144" spans="1:13" s="257" customFormat="1" ht="18" customHeight="1">
      <c r="A144" s="1159"/>
      <c r="B144" s="1944"/>
      <c r="C144" s="1935"/>
      <c r="D144" s="1171">
        <v>4117</v>
      </c>
      <c r="E144" s="502">
        <v>24803</v>
      </c>
      <c r="F144" s="502">
        <v>44551</v>
      </c>
      <c r="G144" s="1172"/>
      <c r="H144" s="502">
        <v>3265</v>
      </c>
      <c r="I144" s="1164">
        <f t="shared" si="19"/>
        <v>0.13163730193928153</v>
      </c>
      <c r="J144" s="502"/>
      <c r="K144" s="1173">
        <f t="shared" si="20"/>
        <v>3265</v>
      </c>
      <c r="L144" s="858">
        <f t="shared" si="18"/>
        <v>0.13163730193928153</v>
      </c>
      <c r="M144" s="2114"/>
    </row>
    <row r="145" spans="1:13" s="257" customFormat="1" ht="18" customHeight="1">
      <c r="A145" s="1159"/>
      <c r="B145" s="1944"/>
      <c r="C145" s="1935"/>
      <c r="D145" s="1171">
        <v>4118</v>
      </c>
      <c r="E145" s="502">
        <v>316</v>
      </c>
      <c r="F145" s="502">
        <v>737</v>
      </c>
      <c r="G145" s="1172"/>
      <c r="H145" s="502">
        <v>0</v>
      </c>
      <c r="I145" s="1164">
        <f t="shared" si="19"/>
        <v>0</v>
      </c>
      <c r="J145" s="502"/>
      <c r="K145" s="1173">
        <f t="shared" si="20"/>
        <v>0</v>
      </c>
      <c r="L145" s="858">
        <f t="shared" si="18"/>
        <v>0</v>
      </c>
      <c r="M145" s="2114"/>
    </row>
    <row r="146" spans="1:13" s="257" customFormat="1" ht="18" customHeight="1">
      <c r="A146" s="1159"/>
      <c r="B146" s="1944"/>
      <c r="C146" s="1935"/>
      <c r="D146" s="1171">
        <v>4119</v>
      </c>
      <c r="E146" s="502">
        <v>3989</v>
      </c>
      <c r="F146" s="502">
        <v>7219</v>
      </c>
      <c r="G146" s="1172"/>
      <c r="H146" s="502">
        <v>198</v>
      </c>
      <c r="I146" s="1164">
        <f t="shared" si="19"/>
        <v>4.9636500376034093E-2</v>
      </c>
      <c r="J146" s="502"/>
      <c r="K146" s="1173">
        <f t="shared" si="20"/>
        <v>198</v>
      </c>
      <c r="L146" s="858">
        <f t="shared" si="18"/>
        <v>4.9636500376034093E-2</v>
      </c>
      <c r="M146" s="2114"/>
    </row>
    <row r="147" spans="1:13" s="257" customFormat="1" ht="18" customHeight="1">
      <c r="A147" s="1159"/>
      <c r="B147" s="1944"/>
      <c r="C147" s="1935"/>
      <c r="D147" s="1171">
        <v>4127</v>
      </c>
      <c r="E147" s="502">
        <v>3460</v>
      </c>
      <c r="F147" s="502">
        <v>6161</v>
      </c>
      <c r="G147" s="1172"/>
      <c r="H147" s="502">
        <v>466</v>
      </c>
      <c r="I147" s="1164">
        <f t="shared" si="19"/>
        <v>0.13468208092485548</v>
      </c>
      <c r="J147" s="502"/>
      <c r="K147" s="1173">
        <f t="shared" si="20"/>
        <v>466</v>
      </c>
      <c r="L147" s="858">
        <f t="shared" si="18"/>
        <v>0.13468208092485548</v>
      </c>
      <c r="M147" s="2114"/>
    </row>
    <row r="148" spans="1:13" s="257" customFormat="1" ht="18" customHeight="1">
      <c r="A148" s="1159"/>
      <c r="B148" s="1944"/>
      <c r="C148" s="1935"/>
      <c r="D148" s="1171">
        <v>4128</v>
      </c>
      <c r="E148" s="502">
        <v>45</v>
      </c>
      <c r="F148" s="502">
        <v>106</v>
      </c>
      <c r="G148" s="1172"/>
      <c r="H148" s="502">
        <v>0</v>
      </c>
      <c r="I148" s="1164">
        <f t="shared" si="19"/>
        <v>0</v>
      </c>
      <c r="J148" s="502"/>
      <c r="K148" s="1173">
        <f t="shared" si="20"/>
        <v>0</v>
      </c>
      <c r="L148" s="858">
        <f t="shared" si="18"/>
        <v>0</v>
      </c>
      <c r="M148" s="2114"/>
    </row>
    <row r="149" spans="1:13" s="257" customFormat="1" ht="18" customHeight="1">
      <c r="A149" s="1159"/>
      <c r="B149" s="1944"/>
      <c r="C149" s="1935"/>
      <c r="D149" s="1171">
        <v>4129</v>
      </c>
      <c r="E149" s="502">
        <v>554</v>
      </c>
      <c r="F149" s="502">
        <v>993</v>
      </c>
      <c r="G149" s="1172"/>
      <c r="H149" s="502">
        <v>29</v>
      </c>
      <c r="I149" s="1164">
        <f t="shared" si="19"/>
        <v>5.2346570397111915E-2</v>
      </c>
      <c r="J149" s="502"/>
      <c r="K149" s="1173">
        <f t="shared" si="20"/>
        <v>29</v>
      </c>
      <c r="L149" s="858">
        <f t="shared" si="18"/>
        <v>5.2346570397111915E-2</v>
      </c>
      <c r="M149" s="2114"/>
    </row>
    <row r="150" spans="1:13" s="257" customFormat="1" ht="18" customHeight="1">
      <c r="A150" s="1159"/>
      <c r="B150" s="1944"/>
      <c r="C150" s="1935"/>
      <c r="D150" s="1171">
        <v>4217</v>
      </c>
      <c r="E150" s="502">
        <v>122618</v>
      </c>
      <c r="F150" s="502">
        <v>247550</v>
      </c>
      <c r="G150" s="1172"/>
      <c r="H150" s="502">
        <v>258485</v>
      </c>
      <c r="I150" s="1164">
        <f t="shared" si="19"/>
        <v>2.1080510202417262</v>
      </c>
      <c r="J150" s="502"/>
      <c r="K150" s="1173">
        <f t="shared" si="20"/>
        <v>258485</v>
      </c>
      <c r="L150" s="858">
        <f t="shared" si="18"/>
        <v>2.1080510202417262</v>
      </c>
      <c r="M150" s="2114"/>
    </row>
    <row r="151" spans="1:13" s="257" customFormat="1" ht="18" customHeight="1">
      <c r="A151" s="1159"/>
      <c r="B151" s="1944"/>
      <c r="C151" s="1935"/>
      <c r="D151" s="1171">
        <v>4219</v>
      </c>
      <c r="E151" s="502">
        <v>18577</v>
      </c>
      <c r="F151" s="502">
        <v>39991</v>
      </c>
      <c r="G151" s="1172"/>
      <c r="H151" s="502">
        <v>47502</v>
      </c>
      <c r="I151" s="1164">
        <f t="shared" si="19"/>
        <v>2.5570328901329602</v>
      </c>
      <c r="J151" s="502"/>
      <c r="K151" s="1173">
        <f t="shared" si="20"/>
        <v>47502</v>
      </c>
      <c r="L151" s="858">
        <f t="shared" si="18"/>
        <v>2.5570328901329602</v>
      </c>
      <c r="M151" s="2114"/>
    </row>
    <row r="152" spans="1:13" s="257" customFormat="1" ht="18" customHeight="1">
      <c r="A152" s="1159"/>
      <c r="B152" s="1944"/>
      <c r="C152" s="1935"/>
      <c r="D152" s="1171">
        <v>4300</v>
      </c>
      <c r="E152" s="502">
        <v>0</v>
      </c>
      <c r="F152" s="502">
        <v>445339</v>
      </c>
      <c r="G152" s="1172"/>
      <c r="H152" s="502">
        <v>0</v>
      </c>
      <c r="I152" s="1164"/>
      <c r="J152" s="502"/>
      <c r="K152" s="1173">
        <f t="shared" si="20"/>
        <v>0</v>
      </c>
      <c r="L152" s="858"/>
      <c r="M152" s="2114"/>
    </row>
    <row r="153" spans="1:13" s="257" customFormat="1" ht="18" customHeight="1">
      <c r="A153" s="1159"/>
      <c r="B153" s="1944"/>
      <c r="C153" s="1935"/>
      <c r="D153" s="1171">
        <v>4307</v>
      </c>
      <c r="E153" s="502">
        <v>753296</v>
      </c>
      <c r="F153" s="502">
        <v>1654682</v>
      </c>
      <c r="G153" s="1172"/>
      <c r="H153" s="502">
        <v>65060</v>
      </c>
      <c r="I153" s="1164">
        <f t="shared" si="19"/>
        <v>8.6367111998470719E-2</v>
      </c>
      <c r="J153" s="502"/>
      <c r="K153" s="1173">
        <f t="shared" si="20"/>
        <v>65060</v>
      </c>
      <c r="L153" s="858">
        <f t="shared" si="18"/>
        <v>8.6367111998470719E-2</v>
      </c>
      <c r="M153" s="2114"/>
    </row>
    <row r="154" spans="1:13" s="257" customFormat="1" ht="18" customHeight="1">
      <c r="A154" s="1159"/>
      <c r="B154" s="1944"/>
      <c r="C154" s="1935"/>
      <c r="D154" s="1171">
        <v>4309</v>
      </c>
      <c r="E154" s="502">
        <v>62439</v>
      </c>
      <c r="F154" s="502">
        <v>151354</v>
      </c>
      <c r="G154" s="1172"/>
      <c r="H154" s="502">
        <v>3940</v>
      </c>
      <c r="I154" s="1164">
        <f t="shared" si="19"/>
        <v>6.3101587149057475E-2</v>
      </c>
      <c r="J154" s="502"/>
      <c r="K154" s="1173">
        <f t="shared" si="20"/>
        <v>3940</v>
      </c>
      <c r="L154" s="858">
        <f t="shared" si="18"/>
        <v>6.3101587149057475E-2</v>
      </c>
      <c r="M154" s="2114"/>
    </row>
    <row r="155" spans="1:13" s="257" customFormat="1" ht="18" customHeight="1">
      <c r="A155" s="1159"/>
      <c r="B155" s="1944"/>
      <c r="C155" s="1935"/>
      <c r="D155" s="1171">
        <v>4417</v>
      </c>
      <c r="E155" s="502">
        <v>10212</v>
      </c>
      <c r="F155" s="502">
        <v>11061</v>
      </c>
      <c r="G155" s="1172"/>
      <c r="H155" s="502">
        <v>942</v>
      </c>
      <c r="I155" s="1164">
        <f t="shared" si="19"/>
        <v>9.2244418331374853E-2</v>
      </c>
      <c r="J155" s="502"/>
      <c r="K155" s="1173">
        <f t="shared" si="20"/>
        <v>942</v>
      </c>
      <c r="L155" s="858">
        <f t="shared" si="18"/>
        <v>9.2244418331374853E-2</v>
      </c>
      <c r="M155" s="2114"/>
    </row>
    <row r="156" spans="1:13" s="257" customFormat="1" ht="18" customHeight="1">
      <c r="A156" s="1159"/>
      <c r="B156" s="1944"/>
      <c r="C156" s="1935"/>
      <c r="D156" s="1171">
        <v>4419</v>
      </c>
      <c r="E156" s="502">
        <v>1802</v>
      </c>
      <c r="F156" s="502">
        <v>1853</v>
      </c>
      <c r="G156" s="1172"/>
      <c r="H156" s="502">
        <v>58</v>
      </c>
      <c r="I156" s="1164">
        <f t="shared" si="19"/>
        <v>3.2186459489456157E-2</v>
      </c>
      <c r="J156" s="502"/>
      <c r="K156" s="1173">
        <f t="shared" si="20"/>
        <v>58</v>
      </c>
      <c r="L156" s="858">
        <f t="shared" si="18"/>
        <v>3.2186459489456157E-2</v>
      </c>
      <c r="M156" s="2114"/>
    </row>
    <row r="157" spans="1:13" s="257" customFormat="1" ht="16.5" customHeight="1">
      <c r="A157" s="1159"/>
      <c r="B157" s="1944"/>
      <c r="C157" s="1935"/>
      <c r="D157" s="1171">
        <v>4570</v>
      </c>
      <c r="E157" s="502">
        <v>0</v>
      </c>
      <c r="F157" s="502">
        <v>1507</v>
      </c>
      <c r="G157" s="1172"/>
      <c r="H157" s="502">
        <v>0</v>
      </c>
      <c r="I157" s="1164"/>
      <c r="J157" s="502"/>
      <c r="K157" s="1173">
        <f t="shared" si="20"/>
        <v>0</v>
      </c>
      <c r="L157" s="858"/>
      <c r="M157" s="2114"/>
    </row>
    <row r="158" spans="1:13" s="257" customFormat="1" ht="15.75" customHeight="1">
      <c r="A158" s="1159"/>
      <c r="B158" s="1944"/>
      <c r="C158" s="1935"/>
      <c r="D158" s="1171">
        <v>4707</v>
      </c>
      <c r="E158" s="502">
        <v>0</v>
      </c>
      <c r="F158" s="502">
        <v>21681</v>
      </c>
      <c r="G158" s="1172"/>
      <c r="H158" s="502">
        <v>0</v>
      </c>
      <c r="I158" s="1164"/>
      <c r="J158" s="502"/>
      <c r="K158" s="1173">
        <f t="shared" si="20"/>
        <v>0</v>
      </c>
      <c r="L158" s="858"/>
      <c r="M158" s="2114"/>
    </row>
    <row r="159" spans="1:13" s="257" customFormat="1" ht="15.75" customHeight="1">
      <c r="A159" s="1159"/>
      <c r="B159" s="1944"/>
      <c r="C159" s="1935"/>
      <c r="D159" s="1171">
        <v>4709</v>
      </c>
      <c r="E159" s="502">
        <v>0</v>
      </c>
      <c r="F159" s="502">
        <v>3332</v>
      </c>
      <c r="G159" s="1172"/>
      <c r="H159" s="502">
        <v>0</v>
      </c>
      <c r="I159" s="1164"/>
      <c r="J159" s="502"/>
      <c r="K159" s="1173">
        <f t="shared" si="20"/>
        <v>0</v>
      </c>
      <c r="L159" s="858"/>
      <c r="M159" s="2114"/>
    </row>
    <row r="160" spans="1:13" s="257" customFormat="1" ht="13.5" customHeight="1">
      <c r="A160" s="1159"/>
      <c r="B160" s="1944"/>
      <c r="C160" s="1935"/>
      <c r="D160" s="1171">
        <v>4718</v>
      </c>
      <c r="E160" s="502">
        <v>14</v>
      </c>
      <c r="F160" s="502">
        <v>44</v>
      </c>
      <c r="G160" s="1172"/>
      <c r="H160" s="502">
        <v>0</v>
      </c>
      <c r="I160" s="1164">
        <f t="shared" si="19"/>
        <v>0</v>
      </c>
      <c r="J160" s="502"/>
      <c r="K160" s="1173">
        <f t="shared" si="20"/>
        <v>0</v>
      </c>
      <c r="L160" s="858">
        <f t="shared" si="18"/>
        <v>0</v>
      </c>
      <c r="M160" s="2114"/>
    </row>
    <row r="161" spans="1:13" s="257" customFormat="1" ht="15.75" customHeight="1">
      <c r="A161" s="1159"/>
      <c r="B161" s="1944"/>
      <c r="C161" s="1935"/>
      <c r="D161" s="1171">
        <v>4719</v>
      </c>
      <c r="E161" s="502">
        <v>5</v>
      </c>
      <c r="F161" s="502">
        <v>16</v>
      </c>
      <c r="G161" s="1172"/>
      <c r="H161" s="502">
        <v>0</v>
      </c>
      <c r="I161" s="1164">
        <f t="shared" si="19"/>
        <v>0</v>
      </c>
      <c r="J161" s="502"/>
      <c r="K161" s="1173">
        <f t="shared" si="20"/>
        <v>0</v>
      </c>
      <c r="L161" s="858">
        <f t="shared" si="18"/>
        <v>0</v>
      </c>
      <c r="M161" s="2114"/>
    </row>
    <row r="162" spans="1:13" s="257" customFormat="1" ht="15" customHeight="1">
      <c r="A162" s="1159"/>
      <c r="B162" s="1944"/>
      <c r="C162" s="1935"/>
      <c r="D162" s="1171">
        <v>2957</v>
      </c>
      <c r="E162" s="502">
        <v>0</v>
      </c>
      <c r="F162" s="502">
        <v>282870</v>
      </c>
      <c r="G162" s="1172"/>
      <c r="H162" s="502">
        <v>0</v>
      </c>
      <c r="I162" s="1164"/>
      <c r="J162" s="502"/>
      <c r="K162" s="1173">
        <f t="shared" si="20"/>
        <v>0</v>
      </c>
      <c r="L162" s="858"/>
      <c r="M162" s="2114"/>
    </row>
    <row r="163" spans="1:13" s="257" customFormat="1" ht="15.75" customHeight="1" thickBot="1">
      <c r="A163" s="1174"/>
      <c r="B163" s="1945"/>
      <c r="C163" s="2116"/>
      <c r="D163" s="1175">
        <v>2959</v>
      </c>
      <c r="E163" s="1176">
        <v>0</v>
      </c>
      <c r="F163" s="1176">
        <v>17130</v>
      </c>
      <c r="G163" s="1177"/>
      <c r="H163" s="1176">
        <v>0</v>
      </c>
      <c r="I163" s="1178"/>
      <c r="J163" s="1176"/>
      <c r="K163" s="1179">
        <f t="shared" si="20"/>
        <v>0</v>
      </c>
      <c r="L163" s="858"/>
      <c r="M163" s="2115"/>
    </row>
    <row r="164" spans="1:13" s="289" customFormat="1" ht="15" customHeight="1">
      <c r="A164" s="1154"/>
      <c r="B164" s="2112" t="s">
        <v>16</v>
      </c>
      <c r="C164" s="1180" t="s">
        <v>26</v>
      </c>
      <c r="D164" s="1181"/>
      <c r="E164" s="1182"/>
      <c r="F164" s="1182"/>
      <c r="G164" s="1182"/>
      <c r="H164" s="1183"/>
      <c r="I164" s="1184"/>
      <c r="J164" s="1183"/>
      <c r="K164" s="1185"/>
      <c r="L164" s="858"/>
      <c r="M164" s="2113" t="s">
        <v>569</v>
      </c>
    </row>
    <row r="165" spans="1:13" s="257" customFormat="1" ht="15" customHeight="1">
      <c r="A165" s="1159"/>
      <c r="B165" s="1944"/>
      <c r="C165" s="668" t="s">
        <v>27</v>
      </c>
      <c r="D165" s="1162"/>
      <c r="E165" s="1163"/>
      <c r="F165" s="1163"/>
      <c r="G165" s="1163"/>
      <c r="H165" s="513"/>
      <c r="I165" s="1164"/>
      <c r="J165" s="513"/>
      <c r="K165" s="1139"/>
      <c r="L165" s="858"/>
      <c r="M165" s="2114"/>
    </row>
    <row r="166" spans="1:13" s="289" customFormat="1" ht="15" customHeight="1">
      <c r="A166" s="1159"/>
      <c r="B166" s="1944"/>
      <c r="C166" s="676" t="s">
        <v>28</v>
      </c>
      <c r="D166" s="1160"/>
      <c r="E166" s="1187">
        <f>SUM(E182,E181,E167)</f>
        <v>1264731</v>
      </c>
      <c r="F166" s="1187">
        <f>SUM(F182,F181,F167)</f>
        <v>390133</v>
      </c>
      <c r="G166" s="1187"/>
      <c r="H166" s="1187">
        <f>SUM(H182,H181,H167)</f>
        <v>885312</v>
      </c>
      <c r="I166" s="1161">
        <f t="shared" si="19"/>
        <v>0.70000023720459137</v>
      </c>
      <c r="J166" s="1187">
        <f>SUM(J182,J181,J167)</f>
        <v>0</v>
      </c>
      <c r="K166" s="1188">
        <f>SUM(K182,K181,K167)</f>
        <v>885312</v>
      </c>
      <c r="L166" s="854">
        <f t="shared" si="18"/>
        <v>0.70000023720459137</v>
      </c>
      <c r="M166" s="2114"/>
    </row>
    <row r="167" spans="1:13" s="289" customFormat="1" ht="20.100000000000001" customHeight="1">
      <c r="A167" s="1159"/>
      <c r="B167" s="1944"/>
      <c r="C167" s="1938" t="s">
        <v>29</v>
      </c>
      <c r="D167" s="1162" t="s">
        <v>22</v>
      </c>
      <c r="E167" s="1163">
        <f>SUM(E168:E173)</f>
        <v>1264731</v>
      </c>
      <c r="F167" s="1163">
        <f>SUM(F168:F173)</f>
        <v>390133</v>
      </c>
      <c r="G167" s="1163">
        <f>SUM(G168:G173)</f>
        <v>0</v>
      </c>
      <c r="H167" s="1163">
        <f>SUM(H168:H173)</f>
        <v>885312</v>
      </c>
      <c r="I167" s="1164">
        <f t="shared" si="19"/>
        <v>0.70000023720459137</v>
      </c>
      <c r="J167" s="1163">
        <f>SUM(J168:J173)</f>
        <v>0</v>
      </c>
      <c r="K167" s="1165">
        <f>SUM(K168:K173)</f>
        <v>885312</v>
      </c>
      <c r="L167" s="858">
        <f t="shared" si="18"/>
        <v>0.70000023720459137</v>
      </c>
      <c r="M167" s="2114"/>
    </row>
    <row r="168" spans="1:13" s="289" customFormat="1" ht="20.100000000000001" customHeight="1">
      <c r="A168" s="1159"/>
      <c r="B168" s="1944"/>
      <c r="C168" s="1939"/>
      <c r="D168" s="1162">
        <v>6057</v>
      </c>
      <c r="E168" s="1167">
        <v>79501</v>
      </c>
      <c r="F168" s="1167">
        <v>25113</v>
      </c>
      <c r="G168" s="1167"/>
      <c r="H168" s="1167">
        <v>55651</v>
      </c>
      <c r="I168" s="1316">
        <f t="shared" si="19"/>
        <v>0.70000377353743981</v>
      </c>
      <c r="J168" s="502"/>
      <c r="K168" s="1173">
        <f>J168+H168</f>
        <v>55651</v>
      </c>
      <c r="L168" s="858">
        <f t="shared" si="18"/>
        <v>0.70000377353743981</v>
      </c>
      <c r="M168" s="2114"/>
    </row>
    <row r="169" spans="1:13" s="289" customFormat="1" ht="20.100000000000001" customHeight="1">
      <c r="A169" s="1159"/>
      <c r="B169" s="1944"/>
      <c r="C169" s="1939"/>
      <c r="D169" s="1162">
        <v>6059</v>
      </c>
      <c r="E169" s="1167">
        <v>4815</v>
      </c>
      <c r="F169" s="1167">
        <v>1521</v>
      </c>
      <c r="G169" s="1167"/>
      <c r="H169" s="1167">
        <v>3371</v>
      </c>
      <c r="I169" s="1316">
        <f t="shared" si="19"/>
        <v>0.70010384215991694</v>
      </c>
      <c r="J169" s="502"/>
      <c r="K169" s="1173">
        <f t="shared" ref="K169:K180" si="21">J169+H169</f>
        <v>3371</v>
      </c>
      <c r="L169" s="858">
        <f t="shared" si="18"/>
        <v>0.70010384215991694</v>
      </c>
      <c r="M169" s="2114"/>
    </row>
    <row r="170" spans="1:13" s="289" customFormat="1" ht="20.100000000000001" customHeight="1">
      <c r="A170" s="1159"/>
      <c r="B170" s="1944"/>
      <c r="C170" s="1939"/>
      <c r="D170" s="1162">
        <v>6207</v>
      </c>
      <c r="E170" s="1167">
        <v>79501</v>
      </c>
      <c r="F170" s="1167">
        <v>32689</v>
      </c>
      <c r="G170" s="1167"/>
      <c r="H170" s="1167">
        <v>55651</v>
      </c>
      <c r="I170" s="1316">
        <f t="shared" si="19"/>
        <v>0.70000377353743981</v>
      </c>
      <c r="J170" s="502"/>
      <c r="K170" s="1173">
        <f t="shared" si="21"/>
        <v>55651</v>
      </c>
      <c r="L170" s="858">
        <f t="shared" si="18"/>
        <v>0.70000377353743981</v>
      </c>
      <c r="M170" s="2114"/>
    </row>
    <row r="171" spans="1:13" s="289" customFormat="1" ht="20.100000000000001" customHeight="1">
      <c r="A171" s="1159"/>
      <c r="B171" s="1944"/>
      <c r="C171" s="1939"/>
      <c r="D171" s="1162">
        <v>6209</v>
      </c>
      <c r="E171" s="1167">
        <v>4815</v>
      </c>
      <c r="F171" s="1167">
        <v>1979</v>
      </c>
      <c r="G171" s="1167"/>
      <c r="H171" s="1167">
        <v>3371</v>
      </c>
      <c r="I171" s="1316">
        <f t="shared" si="19"/>
        <v>0.70010384215991694</v>
      </c>
      <c r="J171" s="502"/>
      <c r="K171" s="1173">
        <f t="shared" si="21"/>
        <v>3371</v>
      </c>
      <c r="L171" s="858">
        <f t="shared" si="18"/>
        <v>0.70010384215991694</v>
      </c>
      <c r="M171" s="2114"/>
    </row>
    <row r="172" spans="1:13" s="289" customFormat="1" ht="20.100000000000001" customHeight="1">
      <c r="A172" s="1159"/>
      <c r="B172" s="1944"/>
      <c r="C172" s="1939"/>
      <c r="D172" s="1162">
        <v>6257</v>
      </c>
      <c r="E172" s="1167">
        <v>1033512</v>
      </c>
      <c r="F172" s="1167">
        <v>310054</v>
      </c>
      <c r="G172" s="1167"/>
      <c r="H172" s="1167">
        <v>723458</v>
      </c>
      <c r="I172" s="1316">
        <f t="shared" si="19"/>
        <v>0.69999961297014457</v>
      </c>
      <c r="J172" s="502"/>
      <c r="K172" s="1173">
        <f t="shared" si="21"/>
        <v>723458</v>
      </c>
      <c r="L172" s="858">
        <f t="shared" si="18"/>
        <v>0.69999961297014457</v>
      </c>
      <c r="M172" s="2114"/>
    </row>
    <row r="173" spans="1:13" s="289" customFormat="1" ht="20.100000000000001" customHeight="1">
      <c r="A173" s="1159"/>
      <c r="B173" s="1944"/>
      <c r="C173" s="2117"/>
      <c r="D173" s="1162">
        <v>6259</v>
      </c>
      <c r="E173" s="1167">
        <v>62587</v>
      </c>
      <c r="F173" s="1167">
        <v>18777</v>
      </c>
      <c r="G173" s="1167"/>
      <c r="H173" s="1167">
        <v>43810</v>
      </c>
      <c r="I173" s="1316">
        <f t="shared" si="19"/>
        <v>0.69998562001693643</v>
      </c>
      <c r="J173" s="502"/>
      <c r="K173" s="1173">
        <f t="shared" si="21"/>
        <v>43810</v>
      </c>
      <c r="L173" s="858">
        <f t="shared" si="18"/>
        <v>0.69998562001693643</v>
      </c>
      <c r="M173" s="2114"/>
    </row>
    <row r="174" spans="1:13" s="289" customFormat="1" ht="20.100000000000001" customHeight="1">
      <c r="A174" s="1159"/>
      <c r="B174" s="1944"/>
      <c r="C174" s="1934" t="s">
        <v>109</v>
      </c>
      <c r="D174" s="1162" t="s">
        <v>22</v>
      </c>
      <c r="E174" s="1163">
        <f>SUM(E175:E180)</f>
        <v>1264731</v>
      </c>
      <c r="F174" s="1163">
        <f>SUM(F175:F180)</f>
        <v>390133</v>
      </c>
      <c r="G174" s="1163">
        <f>SUM(G175:G180)</f>
        <v>0</v>
      </c>
      <c r="H174" s="1163">
        <f>SUM(H175:H180)</f>
        <v>885312</v>
      </c>
      <c r="I174" s="1164">
        <f t="shared" si="19"/>
        <v>0.70000023720459137</v>
      </c>
      <c r="J174" s="1163">
        <f>SUM(J175:J180)</f>
        <v>0</v>
      </c>
      <c r="K174" s="1165">
        <f>SUM(K175:K180)</f>
        <v>885312</v>
      </c>
      <c r="L174" s="858">
        <f t="shared" si="18"/>
        <v>0.70000023720459137</v>
      </c>
      <c r="M174" s="2114"/>
    </row>
    <row r="175" spans="1:13" s="289" customFormat="1" ht="20.100000000000001" customHeight="1">
      <c r="A175" s="1159"/>
      <c r="B175" s="1944"/>
      <c r="C175" s="1935"/>
      <c r="D175" s="1162">
        <v>6057</v>
      </c>
      <c r="E175" s="1167">
        <v>79501</v>
      </c>
      <c r="F175" s="1167">
        <v>25113</v>
      </c>
      <c r="G175" s="1167"/>
      <c r="H175" s="1167">
        <v>55651</v>
      </c>
      <c r="I175" s="1316">
        <f t="shared" si="19"/>
        <v>0.70000377353743981</v>
      </c>
      <c r="J175" s="502"/>
      <c r="K175" s="1173">
        <f t="shared" si="21"/>
        <v>55651</v>
      </c>
      <c r="L175" s="858">
        <f t="shared" si="18"/>
        <v>0.70000377353743981</v>
      </c>
      <c r="M175" s="2114"/>
    </row>
    <row r="176" spans="1:13" s="289" customFormat="1" ht="20.100000000000001" customHeight="1">
      <c r="A176" s="1159"/>
      <c r="B176" s="1944"/>
      <c r="C176" s="1935"/>
      <c r="D176" s="1162">
        <v>6059</v>
      </c>
      <c r="E176" s="1167">
        <v>4815</v>
      </c>
      <c r="F176" s="1167">
        <v>1521</v>
      </c>
      <c r="G176" s="1167"/>
      <c r="H176" s="1167">
        <v>3371</v>
      </c>
      <c r="I176" s="1316">
        <f t="shared" si="19"/>
        <v>0.70010384215991694</v>
      </c>
      <c r="J176" s="502"/>
      <c r="K176" s="1173">
        <f t="shared" si="21"/>
        <v>3371</v>
      </c>
      <c r="L176" s="858">
        <f t="shared" si="18"/>
        <v>0.70010384215991694</v>
      </c>
      <c r="M176" s="2114"/>
    </row>
    <row r="177" spans="1:13" s="289" customFormat="1" ht="20.100000000000001" customHeight="1">
      <c r="A177" s="1159"/>
      <c r="B177" s="1944"/>
      <c r="C177" s="1935"/>
      <c r="D177" s="1162">
        <v>6207</v>
      </c>
      <c r="E177" s="1167">
        <v>79501</v>
      </c>
      <c r="F177" s="1167">
        <v>32689</v>
      </c>
      <c r="G177" s="1167"/>
      <c r="H177" s="1167">
        <v>55651</v>
      </c>
      <c r="I177" s="1316">
        <f t="shared" si="19"/>
        <v>0.70000377353743981</v>
      </c>
      <c r="J177" s="502"/>
      <c r="K177" s="1173">
        <f t="shared" si="21"/>
        <v>55651</v>
      </c>
      <c r="L177" s="858">
        <f t="shared" si="18"/>
        <v>0.70000377353743981</v>
      </c>
      <c r="M177" s="2114"/>
    </row>
    <row r="178" spans="1:13" s="289" customFormat="1" ht="20.100000000000001" customHeight="1">
      <c r="A178" s="1159"/>
      <c r="B178" s="1944"/>
      <c r="C178" s="1935"/>
      <c r="D178" s="1162">
        <v>6209</v>
      </c>
      <c r="E178" s="1167">
        <v>4815</v>
      </c>
      <c r="F178" s="1167">
        <v>1979</v>
      </c>
      <c r="G178" s="1167"/>
      <c r="H178" s="1167">
        <v>3371</v>
      </c>
      <c r="I178" s="1316">
        <f t="shared" si="19"/>
        <v>0.70010384215991694</v>
      </c>
      <c r="J178" s="502"/>
      <c r="K178" s="1173">
        <f t="shared" si="21"/>
        <v>3371</v>
      </c>
      <c r="L178" s="858">
        <f t="shared" si="18"/>
        <v>0.70010384215991694</v>
      </c>
      <c r="M178" s="2114"/>
    </row>
    <row r="179" spans="1:13" s="289" customFormat="1" ht="20.100000000000001" customHeight="1">
      <c r="A179" s="1159"/>
      <c r="B179" s="1944"/>
      <c r="C179" s="1935"/>
      <c r="D179" s="1162">
        <v>6257</v>
      </c>
      <c r="E179" s="1167">
        <v>1033512</v>
      </c>
      <c r="F179" s="1167">
        <v>310054</v>
      </c>
      <c r="G179" s="1167"/>
      <c r="H179" s="1167">
        <v>723458</v>
      </c>
      <c r="I179" s="1316">
        <f t="shared" si="19"/>
        <v>0.69999961297014457</v>
      </c>
      <c r="J179" s="502"/>
      <c r="K179" s="1173">
        <f t="shared" si="21"/>
        <v>723458</v>
      </c>
      <c r="L179" s="858">
        <f t="shared" si="18"/>
        <v>0.69999961297014457</v>
      </c>
      <c r="M179" s="2114"/>
    </row>
    <row r="180" spans="1:13" s="257" customFormat="1" ht="20.100000000000001" customHeight="1">
      <c r="A180" s="1159"/>
      <c r="B180" s="1944"/>
      <c r="C180" s="2118"/>
      <c r="D180" s="1162">
        <v>6259</v>
      </c>
      <c r="E180" s="1167">
        <v>62587</v>
      </c>
      <c r="F180" s="1167">
        <v>18777</v>
      </c>
      <c r="G180" s="1172"/>
      <c r="H180" s="1167">
        <v>43810</v>
      </c>
      <c r="I180" s="1316">
        <f t="shared" si="19"/>
        <v>0.69998562001693643</v>
      </c>
      <c r="J180" s="502"/>
      <c r="K180" s="1173">
        <f t="shared" si="21"/>
        <v>43810</v>
      </c>
      <c r="L180" s="858">
        <f t="shared" si="18"/>
        <v>0.69998562001693643</v>
      </c>
      <c r="M180" s="2114"/>
    </row>
    <row r="181" spans="1:13" s="257" customFormat="1">
      <c r="A181" s="1159"/>
      <c r="B181" s="1944"/>
      <c r="C181" s="668" t="s">
        <v>31</v>
      </c>
      <c r="D181" s="1162"/>
      <c r="E181" s="1167"/>
      <c r="F181" s="1163"/>
      <c r="G181" s="1163"/>
      <c r="H181" s="513"/>
      <c r="I181" s="1164"/>
      <c r="J181" s="513"/>
      <c r="K181" s="1170"/>
      <c r="L181" s="858"/>
      <c r="M181" s="2114"/>
    </row>
    <row r="182" spans="1:13" s="257" customFormat="1" ht="13.5" thickBot="1">
      <c r="A182" s="1159"/>
      <c r="B182" s="1945"/>
      <c r="C182" s="169" t="s">
        <v>32</v>
      </c>
      <c r="D182" s="202"/>
      <c r="E182" s="203"/>
      <c r="F182" s="203"/>
      <c r="G182" s="203"/>
      <c r="H182" s="172"/>
      <c r="I182" s="778"/>
      <c r="J182" s="172"/>
      <c r="K182" s="1189"/>
      <c r="L182" s="1190"/>
      <c r="M182" s="2115"/>
    </row>
    <row r="183" spans="1:13" s="1196" customFormat="1" ht="20.100000000000001" customHeight="1" thickBot="1">
      <c r="A183" s="2109" t="s">
        <v>33</v>
      </c>
      <c r="B183" s="2110"/>
      <c r="C183" s="2111"/>
      <c r="D183" s="793"/>
      <c r="E183" s="1191">
        <f>SUM(E5,E57,E84)</f>
        <v>12520706</v>
      </c>
      <c r="F183" s="1191">
        <f>SUM(F5,F57,F84)</f>
        <v>12628857</v>
      </c>
      <c r="G183" s="1191">
        <f>SUM(G5,G57,G84)</f>
        <v>0</v>
      </c>
      <c r="H183" s="1192">
        <f>SUM(H5,H57,H84)</f>
        <v>10238030</v>
      </c>
      <c r="I183" s="1193">
        <f t="shared" ref="I183" si="22">H183/E183</f>
        <v>0.81768791632037363</v>
      </c>
      <c r="J183" s="209">
        <f>SUM(J5,J57,J84)</f>
        <v>0</v>
      </c>
      <c r="K183" s="1191">
        <f>SUM(K5,K57,K84)</f>
        <v>10238030</v>
      </c>
      <c r="L183" s="1194">
        <f t="shared" si="18"/>
        <v>0.81768791632037363</v>
      </c>
      <c r="M183" s="1195"/>
    </row>
  </sheetData>
  <mergeCells count="31">
    <mergeCell ref="A1:M1"/>
    <mergeCell ref="B4:C4"/>
    <mergeCell ref="A6:A41"/>
    <mergeCell ref="B6:B41"/>
    <mergeCell ref="M6:M41"/>
    <mergeCell ref="C9:C15"/>
    <mergeCell ref="C16:C31"/>
    <mergeCell ref="A42:A56"/>
    <mergeCell ref="B42:B56"/>
    <mergeCell ref="M42:M56"/>
    <mergeCell ref="A58:A83"/>
    <mergeCell ref="B58:B83"/>
    <mergeCell ref="M58:M83"/>
    <mergeCell ref="C65:C76"/>
    <mergeCell ref="A85:A105"/>
    <mergeCell ref="B85:B105"/>
    <mergeCell ref="M85:M105"/>
    <mergeCell ref="C92:C98"/>
    <mergeCell ref="A106:A123"/>
    <mergeCell ref="B106:B123"/>
    <mergeCell ref="M106:M123"/>
    <mergeCell ref="C110:C113"/>
    <mergeCell ref="A183:C183"/>
    <mergeCell ref="B124:B163"/>
    <mergeCell ref="M124:M163"/>
    <mergeCell ref="C128:C133"/>
    <mergeCell ref="C136:C163"/>
    <mergeCell ref="M164:M182"/>
    <mergeCell ref="C167:C173"/>
    <mergeCell ref="C174:C180"/>
    <mergeCell ref="B164:B182"/>
  </mergeCells>
  <printOptions horizontalCentered="1"/>
  <pageMargins left="0.19685039370078741" right="0.19685039370078741" top="0.59055118110236227" bottom="0.59055118110236227" header="0.51181102362204722" footer="0.43307086614173229"/>
  <pageSetup paperSize="9" scale="80" orientation="landscape" horizontalDpi="4294967295" verticalDpi="4294967295" r:id="rId1"/>
  <headerFooter alignWithMargins="0"/>
  <rowBreaks count="2" manualBreakCount="2">
    <brk id="105" max="12" man="1"/>
    <brk id="16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FF"/>
  </sheetPr>
  <dimension ref="A1:P398"/>
  <sheetViews>
    <sheetView view="pageBreakPreview" zoomScaleSheetLayoutView="100" workbookViewId="0">
      <pane ySplit="4" topLeftCell="A378" activePane="bottomLeft" state="frozen"/>
      <selection activeCell="L62" sqref="L62"/>
      <selection pane="bottomLeft" activeCell="R149" sqref="R149"/>
    </sheetView>
  </sheetViews>
  <sheetFormatPr defaultRowHeight="12.75"/>
  <cols>
    <col min="1" max="1" width="4.5703125" style="257" bestFit="1" customWidth="1"/>
    <col min="2" max="2" width="7.42578125" style="257" bestFit="1" customWidth="1"/>
    <col min="3" max="3" width="41.85546875" style="257" customWidth="1"/>
    <col min="4" max="4" width="5.28515625" style="1197" bestFit="1" customWidth="1"/>
    <col min="5" max="5" width="12.140625" style="257" customWidth="1"/>
    <col min="6" max="6" width="11.7109375" style="257" customWidth="1"/>
    <col min="7" max="8" width="11.7109375" style="257" hidden="1" customWidth="1"/>
    <col min="9" max="9" width="8.42578125" style="1197" hidden="1" customWidth="1"/>
    <col min="10" max="10" width="12.140625" style="257" hidden="1" customWidth="1"/>
    <col min="11" max="11" width="12.140625" style="257" customWidth="1"/>
    <col min="12" max="12" width="7.42578125" style="1199" hidden="1" customWidth="1"/>
    <col min="13" max="13" width="75.140625" style="257" customWidth="1"/>
    <col min="14" max="16" width="9.140625" style="257"/>
    <col min="17" max="240" width="9.140625" style="178"/>
    <col min="241" max="241" width="4.28515625" style="178" bestFit="1" customWidth="1"/>
    <col min="242" max="242" width="6.85546875" style="178" bestFit="1" customWidth="1"/>
    <col min="243" max="243" width="11" style="178" customWidth="1"/>
    <col min="244" max="244" width="11.140625" style="178" bestFit="1" customWidth="1"/>
    <col min="245" max="245" width="10.85546875" style="178" customWidth="1"/>
    <col min="246" max="246" width="11.5703125" style="178" customWidth="1"/>
    <col min="247" max="247" width="11.140625" style="178" bestFit="1" customWidth="1"/>
    <col min="248" max="248" width="11" style="178" customWidth="1"/>
    <col min="249" max="249" width="10.42578125" style="178" customWidth="1"/>
    <col min="250" max="250" width="11.28515625" style="178" customWidth="1"/>
    <col min="251" max="252" width="9.140625" style="178" bestFit="1" customWidth="1"/>
    <col min="253" max="254" width="11.140625" style="178" bestFit="1" customWidth="1"/>
    <col min="255" max="255" width="11.5703125" style="178" bestFit="1" customWidth="1"/>
    <col min="256" max="256" width="9.140625" style="178" bestFit="1" customWidth="1"/>
    <col min="257" max="257" width="10.28515625" style="178" customWidth="1"/>
    <col min="258" max="496" width="9.140625" style="178"/>
    <col min="497" max="497" width="4.28515625" style="178" bestFit="1" customWidth="1"/>
    <col min="498" max="498" width="6.85546875" style="178" bestFit="1" customWidth="1"/>
    <col min="499" max="499" width="11" style="178" customWidth="1"/>
    <col min="500" max="500" width="11.140625" style="178" bestFit="1" customWidth="1"/>
    <col min="501" max="501" width="10.85546875" style="178" customWidth="1"/>
    <col min="502" max="502" width="11.5703125" style="178" customWidth="1"/>
    <col min="503" max="503" width="11.140625" style="178" bestFit="1" customWidth="1"/>
    <col min="504" max="504" width="11" style="178" customWidth="1"/>
    <col min="505" max="505" width="10.42578125" style="178" customWidth="1"/>
    <col min="506" max="506" width="11.28515625" style="178" customWidth="1"/>
    <col min="507" max="508" width="9.140625" style="178" bestFit="1" customWidth="1"/>
    <col min="509" max="510" width="11.140625" style="178" bestFit="1" customWidth="1"/>
    <col min="511" max="511" width="11.5703125" style="178" bestFit="1" customWidth="1"/>
    <col min="512" max="512" width="9.140625" style="178" bestFit="1" customWidth="1"/>
    <col min="513" max="513" width="10.28515625" style="178" customWidth="1"/>
    <col min="514" max="752" width="9.140625" style="178"/>
    <col min="753" max="753" width="4.28515625" style="178" bestFit="1" customWidth="1"/>
    <col min="754" max="754" width="6.85546875" style="178" bestFit="1" customWidth="1"/>
    <col min="755" max="755" width="11" style="178" customWidth="1"/>
    <col min="756" max="756" width="11.140625" style="178" bestFit="1" customWidth="1"/>
    <col min="757" max="757" width="10.85546875" style="178" customWidth="1"/>
    <col min="758" max="758" width="11.5703125" style="178" customWidth="1"/>
    <col min="759" max="759" width="11.140625" style="178" bestFit="1" customWidth="1"/>
    <col min="760" max="760" width="11" style="178" customWidth="1"/>
    <col min="761" max="761" width="10.42578125" style="178" customWidth="1"/>
    <col min="762" max="762" width="11.28515625" style="178" customWidth="1"/>
    <col min="763" max="764" width="9.140625" style="178" bestFit="1" customWidth="1"/>
    <col min="765" max="766" width="11.140625" style="178" bestFit="1" customWidth="1"/>
    <col min="767" max="767" width="11.5703125" style="178" bestFit="1" customWidth="1"/>
    <col min="768" max="768" width="9.140625" style="178" bestFit="1" customWidth="1"/>
    <col min="769" max="769" width="10.28515625" style="178" customWidth="1"/>
    <col min="770" max="1008" width="9.140625" style="178"/>
    <col min="1009" max="1009" width="4.28515625" style="178" bestFit="1" customWidth="1"/>
    <col min="1010" max="1010" width="6.85546875" style="178" bestFit="1" customWidth="1"/>
    <col min="1011" max="1011" width="11" style="178" customWidth="1"/>
    <col min="1012" max="1012" width="11.140625" style="178" bestFit="1" customWidth="1"/>
    <col min="1013" max="1013" width="10.85546875" style="178" customWidth="1"/>
    <col min="1014" max="1014" width="11.5703125" style="178" customWidth="1"/>
    <col min="1015" max="1015" width="11.140625" style="178" bestFit="1" customWidth="1"/>
    <col min="1016" max="1016" width="11" style="178" customWidth="1"/>
    <col min="1017" max="1017" width="10.42578125" style="178" customWidth="1"/>
    <col min="1018" max="1018" width="11.28515625" style="178" customWidth="1"/>
    <col min="1019" max="1020" width="9.140625" style="178" bestFit="1" customWidth="1"/>
    <col min="1021" max="1022" width="11.140625" style="178" bestFit="1" customWidth="1"/>
    <col min="1023" max="1023" width="11.5703125" style="178" bestFit="1" customWidth="1"/>
    <col min="1024" max="1024" width="9.140625" style="178" bestFit="1" customWidth="1"/>
    <col min="1025" max="1025" width="10.28515625" style="178" customWidth="1"/>
    <col min="1026" max="1264" width="9.140625" style="178"/>
    <col min="1265" max="1265" width="4.28515625" style="178" bestFit="1" customWidth="1"/>
    <col min="1266" max="1266" width="6.85546875" style="178" bestFit="1" customWidth="1"/>
    <col min="1267" max="1267" width="11" style="178" customWidth="1"/>
    <col min="1268" max="1268" width="11.140625" style="178" bestFit="1" customWidth="1"/>
    <col min="1269" max="1269" width="10.85546875" style="178" customWidth="1"/>
    <col min="1270" max="1270" width="11.5703125" style="178" customWidth="1"/>
    <col min="1271" max="1271" width="11.140625" style="178" bestFit="1" customWidth="1"/>
    <col min="1272" max="1272" width="11" style="178" customWidth="1"/>
    <col min="1273" max="1273" width="10.42578125" style="178" customWidth="1"/>
    <col min="1274" max="1274" width="11.28515625" style="178" customWidth="1"/>
    <col min="1275" max="1276" width="9.140625" style="178" bestFit="1" customWidth="1"/>
    <col min="1277" max="1278" width="11.140625" style="178" bestFit="1" customWidth="1"/>
    <col min="1279" max="1279" width="11.5703125" style="178" bestFit="1" customWidth="1"/>
    <col min="1280" max="1280" width="9.140625" style="178" bestFit="1" customWidth="1"/>
    <col min="1281" max="1281" width="10.28515625" style="178" customWidth="1"/>
    <col min="1282" max="1520" width="9.140625" style="178"/>
    <col min="1521" max="1521" width="4.28515625" style="178" bestFit="1" customWidth="1"/>
    <col min="1522" max="1522" width="6.85546875" style="178" bestFit="1" customWidth="1"/>
    <col min="1523" max="1523" width="11" style="178" customWidth="1"/>
    <col min="1524" max="1524" width="11.140625" style="178" bestFit="1" customWidth="1"/>
    <col min="1525" max="1525" width="10.85546875" style="178" customWidth="1"/>
    <col min="1526" max="1526" width="11.5703125" style="178" customWidth="1"/>
    <col min="1527" max="1527" width="11.140625" style="178" bestFit="1" customWidth="1"/>
    <col min="1528" max="1528" width="11" style="178" customWidth="1"/>
    <col min="1529" max="1529" width="10.42578125" style="178" customWidth="1"/>
    <col min="1530" max="1530" width="11.28515625" style="178" customWidth="1"/>
    <col min="1531" max="1532" width="9.140625" style="178" bestFit="1" customWidth="1"/>
    <col min="1533" max="1534" width="11.140625" style="178" bestFit="1" customWidth="1"/>
    <col min="1535" max="1535" width="11.5703125" style="178" bestFit="1" customWidth="1"/>
    <col min="1536" max="1536" width="9.140625" style="178" bestFit="1" customWidth="1"/>
    <col min="1537" max="1537" width="10.28515625" style="178" customWidth="1"/>
    <col min="1538" max="1776" width="9.140625" style="178"/>
    <col min="1777" max="1777" width="4.28515625" style="178" bestFit="1" customWidth="1"/>
    <col min="1778" max="1778" width="6.85546875" style="178" bestFit="1" customWidth="1"/>
    <col min="1779" max="1779" width="11" style="178" customWidth="1"/>
    <col min="1780" max="1780" width="11.140625" style="178" bestFit="1" customWidth="1"/>
    <col min="1781" max="1781" width="10.85546875" style="178" customWidth="1"/>
    <col min="1782" max="1782" width="11.5703125" style="178" customWidth="1"/>
    <col min="1783" max="1783" width="11.140625" style="178" bestFit="1" customWidth="1"/>
    <col min="1784" max="1784" width="11" style="178" customWidth="1"/>
    <col min="1785" max="1785" width="10.42578125" style="178" customWidth="1"/>
    <col min="1786" max="1786" width="11.28515625" style="178" customWidth="1"/>
    <col min="1787" max="1788" width="9.140625" style="178" bestFit="1" customWidth="1"/>
    <col min="1789" max="1790" width="11.140625" style="178" bestFit="1" customWidth="1"/>
    <col min="1791" max="1791" width="11.5703125" style="178" bestFit="1" customWidth="1"/>
    <col min="1792" max="1792" width="9.140625" style="178" bestFit="1" customWidth="1"/>
    <col min="1793" max="1793" width="10.28515625" style="178" customWidth="1"/>
    <col min="1794" max="2032" width="9.140625" style="178"/>
    <col min="2033" max="2033" width="4.28515625" style="178" bestFit="1" customWidth="1"/>
    <col min="2034" max="2034" width="6.85546875" style="178" bestFit="1" customWidth="1"/>
    <col min="2035" max="2035" width="11" style="178" customWidth="1"/>
    <col min="2036" max="2036" width="11.140625" style="178" bestFit="1" customWidth="1"/>
    <col min="2037" max="2037" width="10.85546875" style="178" customWidth="1"/>
    <col min="2038" max="2038" width="11.5703125" style="178" customWidth="1"/>
    <col min="2039" max="2039" width="11.140625" style="178" bestFit="1" customWidth="1"/>
    <col min="2040" max="2040" width="11" style="178" customWidth="1"/>
    <col min="2041" max="2041" width="10.42578125" style="178" customWidth="1"/>
    <col min="2042" max="2042" width="11.28515625" style="178" customWidth="1"/>
    <col min="2043" max="2044" width="9.140625" style="178" bestFit="1" customWidth="1"/>
    <col min="2045" max="2046" width="11.140625" style="178" bestFit="1" customWidth="1"/>
    <col min="2047" max="2047" width="11.5703125" style="178" bestFit="1" customWidth="1"/>
    <col min="2048" max="2048" width="9.140625" style="178" bestFit="1" customWidth="1"/>
    <col min="2049" max="2049" width="10.28515625" style="178" customWidth="1"/>
    <col min="2050" max="2288" width="9.140625" style="178"/>
    <col min="2289" max="2289" width="4.28515625" style="178" bestFit="1" customWidth="1"/>
    <col min="2290" max="2290" width="6.85546875" style="178" bestFit="1" customWidth="1"/>
    <col min="2291" max="2291" width="11" style="178" customWidth="1"/>
    <col min="2292" max="2292" width="11.140625" style="178" bestFit="1" customWidth="1"/>
    <col min="2293" max="2293" width="10.85546875" style="178" customWidth="1"/>
    <col min="2294" max="2294" width="11.5703125" style="178" customWidth="1"/>
    <col min="2295" max="2295" width="11.140625" style="178" bestFit="1" customWidth="1"/>
    <col min="2296" max="2296" width="11" style="178" customWidth="1"/>
    <col min="2297" max="2297" width="10.42578125" style="178" customWidth="1"/>
    <col min="2298" max="2298" width="11.28515625" style="178" customWidth="1"/>
    <col min="2299" max="2300" width="9.140625" style="178" bestFit="1" customWidth="1"/>
    <col min="2301" max="2302" width="11.140625" style="178" bestFit="1" customWidth="1"/>
    <col min="2303" max="2303" width="11.5703125" style="178" bestFit="1" customWidth="1"/>
    <col min="2304" max="2304" width="9.140625" style="178" bestFit="1" customWidth="1"/>
    <col min="2305" max="2305" width="10.28515625" style="178" customWidth="1"/>
    <col min="2306" max="2544" width="9.140625" style="178"/>
    <col min="2545" max="2545" width="4.28515625" style="178" bestFit="1" customWidth="1"/>
    <col min="2546" max="2546" width="6.85546875" style="178" bestFit="1" customWidth="1"/>
    <col min="2547" max="2547" width="11" style="178" customWidth="1"/>
    <col min="2548" max="2548" width="11.140625" style="178" bestFit="1" customWidth="1"/>
    <col min="2549" max="2549" width="10.85546875" style="178" customWidth="1"/>
    <col min="2550" max="2550" width="11.5703125" style="178" customWidth="1"/>
    <col min="2551" max="2551" width="11.140625" style="178" bestFit="1" customWidth="1"/>
    <col min="2552" max="2552" width="11" style="178" customWidth="1"/>
    <col min="2553" max="2553" width="10.42578125" style="178" customWidth="1"/>
    <col min="2554" max="2554" width="11.28515625" style="178" customWidth="1"/>
    <col min="2555" max="2556" width="9.140625" style="178" bestFit="1" customWidth="1"/>
    <col min="2557" max="2558" width="11.140625" style="178" bestFit="1" customWidth="1"/>
    <col min="2559" max="2559" width="11.5703125" style="178" bestFit="1" customWidth="1"/>
    <col min="2560" max="2560" width="9.140625" style="178" bestFit="1" customWidth="1"/>
    <col min="2561" max="2561" width="10.28515625" style="178" customWidth="1"/>
    <col min="2562" max="2800" width="9.140625" style="178"/>
    <col min="2801" max="2801" width="4.28515625" style="178" bestFit="1" customWidth="1"/>
    <col min="2802" max="2802" width="6.85546875" style="178" bestFit="1" customWidth="1"/>
    <col min="2803" max="2803" width="11" style="178" customWidth="1"/>
    <col min="2804" max="2804" width="11.140625" style="178" bestFit="1" customWidth="1"/>
    <col min="2805" max="2805" width="10.85546875" style="178" customWidth="1"/>
    <col min="2806" max="2806" width="11.5703125" style="178" customWidth="1"/>
    <col min="2807" max="2807" width="11.140625" style="178" bestFit="1" customWidth="1"/>
    <col min="2808" max="2808" width="11" style="178" customWidth="1"/>
    <col min="2809" max="2809" width="10.42578125" style="178" customWidth="1"/>
    <col min="2810" max="2810" width="11.28515625" style="178" customWidth="1"/>
    <col min="2811" max="2812" width="9.140625" style="178" bestFit="1" customWidth="1"/>
    <col min="2813" max="2814" width="11.140625" style="178" bestFit="1" customWidth="1"/>
    <col min="2815" max="2815" width="11.5703125" style="178" bestFit="1" customWidth="1"/>
    <col min="2816" max="2816" width="9.140625" style="178" bestFit="1" customWidth="1"/>
    <col min="2817" max="2817" width="10.28515625" style="178" customWidth="1"/>
    <col min="2818" max="3056" width="9.140625" style="178"/>
    <col min="3057" max="3057" width="4.28515625" style="178" bestFit="1" customWidth="1"/>
    <col min="3058" max="3058" width="6.85546875" style="178" bestFit="1" customWidth="1"/>
    <col min="3059" max="3059" width="11" style="178" customWidth="1"/>
    <col min="3060" max="3060" width="11.140625" style="178" bestFit="1" customWidth="1"/>
    <col min="3061" max="3061" width="10.85546875" style="178" customWidth="1"/>
    <col min="3062" max="3062" width="11.5703125" style="178" customWidth="1"/>
    <col min="3063" max="3063" width="11.140625" style="178" bestFit="1" customWidth="1"/>
    <col min="3064" max="3064" width="11" style="178" customWidth="1"/>
    <col min="3065" max="3065" width="10.42578125" style="178" customWidth="1"/>
    <col min="3066" max="3066" width="11.28515625" style="178" customWidth="1"/>
    <col min="3067" max="3068" width="9.140625" style="178" bestFit="1" customWidth="1"/>
    <col min="3069" max="3070" width="11.140625" style="178" bestFit="1" customWidth="1"/>
    <col min="3071" max="3071" width="11.5703125" style="178" bestFit="1" customWidth="1"/>
    <col min="3072" max="3072" width="9.140625" style="178" bestFit="1" customWidth="1"/>
    <col min="3073" max="3073" width="10.28515625" style="178" customWidth="1"/>
    <col min="3074" max="3312" width="9.140625" style="178"/>
    <col min="3313" max="3313" width="4.28515625" style="178" bestFit="1" customWidth="1"/>
    <col min="3314" max="3314" width="6.85546875" style="178" bestFit="1" customWidth="1"/>
    <col min="3315" max="3315" width="11" style="178" customWidth="1"/>
    <col min="3316" max="3316" width="11.140625" style="178" bestFit="1" customWidth="1"/>
    <col min="3317" max="3317" width="10.85546875" style="178" customWidth="1"/>
    <col min="3318" max="3318" width="11.5703125" style="178" customWidth="1"/>
    <col min="3319" max="3319" width="11.140625" style="178" bestFit="1" customWidth="1"/>
    <col min="3320" max="3320" width="11" style="178" customWidth="1"/>
    <col min="3321" max="3321" width="10.42578125" style="178" customWidth="1"/>
    <col min="3322" max="3322" width="11.28515625" style="178" customWidth="1"/>
    <col min="3323" max="3324" width="9.140625" style="178" bestFit="1" customWidth="1"/>
    <col min="3325" max="3326" width="11.140625" style="178" bestFit="1" customWidth="1"/>
    <col min="3327" max="3327" width="11.5703125" style="178" bestFit="1" customWidth="1"/>
    <col min="3328" max="3328" width="9.140625" style="178" bestFit="1" customWidth="1"/>
    <col min="3329" max="3329" width="10.28515625" style="178" customWidth="1"/>
    <col min="3330" max="3568" width="9.140625" style="178"/>
    <col min="3569" max="3569" width="4.28515625" style="178" bestFit="1" customWidth="1"/>
    <col min="3570" max="3570" width="6.85546875" style="178" bestFit="1" customWidth="1"/>
    <col min="3571" max="3571" width="11" style="178" customWidth="1"/>
    <col min="3572" max="3572" width="11.140625" style="178" bestFit="1" customWidth="1"/>
    <col min="3573" max="3573" width="10.85546875" style="178" customWidth="1"/>
    <col min="3574" max="3574" width="11.5703125" style="178" customWidth="1"/>
    <col min="3575" max="3575" width="11.140625" style="178" bestFit="1" customWidth="1"/>
    <col min="3576" max="3576" width="11" style="178" customWidth="1"/>
    <col min="3577" max="3577" width="10.42578125" style="178" customWidth="1"/>
    <col min="3578" max="3578" width="11.28515625" style="178" customWidth="1"/>
    <col min="3579" max="3580" width="9.140625" style="178" bestFit="1" customWidth="1"/>
    <col min="3581" max="3582" width="11.140625" style="178" bestFit="1" customWidth="1"/>
    <col min="3583" max="3583" width="11.5703125" style="178" bestFit="1" customWidth="1"/>
    <col min="3584" max="3584" width="9.140625" style="178" bestFit="1" customWidth="1"/>
    <col min="3585" max="3585" width="10.28515625" style="178" customWidth="1"/>
    <col min="3586" max="3824" width="9.140625" style="178"/>
    <col min="3825" max="3825" width="4.28515625" style="178" bestFit="1" customWidth="1"/>
    <col min="3826" max="3826" width="6.85546875" style="178" bestFit="1" customWidth="1"/>
    <col min="3827" max="3827" width="11" style="178" customWidth="1"/>
    <col min="3828" max="3828" width="11.140625" style="178" bestFit="1" customWidth="1"/>
    <col min="3829" max="3829" width="10.85546875" style="178" customWidth="1"/>
    <col min="3830" max="3830" width="11.5703125" style="178" customWidth="1"/>
    <col min="3831" max="3831" width="11.140625" style="178" bestFit="1" customWidth="1"/>
    <col min="3832" max="3832" width="11" style="178" customWidth="1"/>
    <col min="3833" max="3833" width="10.42578125" style="178" customWidth="1"/>
    <col min="3834" max="3834" width="11.28515625" style="178" customWidth="1"/>
    <col min="3835" max="3836" width="9.140625" style="178" bestFit="1" customWidth="1"/>
    <col min="3837" max="3838" width="11.140625" style="178" bestFit="1" customWidth="1"/>
    <col min="3839" max="3839" width="11.5703125" style="178" bestFit="1" customWidth="1"/>
    <col min="3840" max="3840" width="9.140625" style="178" bestFit="1" customWidth="1"/>
    <col min="3841" max="3841" width="10.28515625" style="178" customWidth="1"/>
    <col min="3842" max="4080" width="9.140625" style="178"/>
    <col min="4081" max="4081" width="4.28515625" style="178" bestFit="1" customWidth="1"/>
    <col min="4082" max="4082" width="6.85546875" style="178" bestFit="1" customWidth="1"/>
    <col min="4083" max="4083" width="11" style="178" customWidth="1"/>
    <col min="4084" max="4084" width="11.140625" style="178" bestFit="1" customWidth="1"/>
    <col min="4085" max="4085" width="10.85546875" style="178" customWidth="1"/>
    <col min="4086" max="4086" width="11.5703125" style="178" customWidth="1"/>
    <col min="4087" max="4087" width="11.140625" style="178" bestFit="1" customWidth="1"/>
    <col min="4088" max="4088" width="11" style="178" customWidth="1"/>
    <col min="4089" max="4089" width="10.42578125" style="178" customWidth="1"/>
    <col min="4090" max="4090" width="11.28515625" style="178" customWidth="1"/>
    <col min="4091" max="4092" width="9.140625" style="178" bestFit="1" customWidth="1"/>
    <col min="4093" max="4094" width="11.140625" style="178" bestFit="1" customWidth="1"/>
    <col min="4095" max="4095" width="11.5703125" style="178" bestFit="1" customWidth="1"/>
    <col min="4096" max="4096" width="9.140625" style="178" bestFit="1" customWidth="1"/>
    <col min="4097" max="4097" width="10.28515625" style="178" customWidth="1"/>
    <col min="4098" max="4336" width="9.140625" style="178"/>
    <col min="4337" max="4337" width="4.28515625" style="178" bestFit="1" customWidth="1"/>
    <col min="4338" max="4338" width="6.85546875" style="178" bestFit="1" customWidth="1"/>
    <col min="4339" max="4339" width="11" style="178" customWidth="1"/>
    <col min="4340" max="4340" width="11.140625" style="178" bestFit="1" customWidth="1"/>
    <col min="4341" max="4341" width="10.85546875" style="178" customWidth="1"/>
    <col min="4342" max="4342" width="11.5703125" style="178" customWidth="1"/>
    <col min="4343" max="4343" width="11.140625" style="178" bestFit="1" customWidth="1"/>
    <col min="4344" max="4344" width="11" style="178" customWidth="1"/>
    <col min="4345" max="4345" width="10.42578125" style="178" customWidth="1"/>
    <col min="4346" max="4346" width="11.28515625" style="178" customWidth="1"/>
    <col min="4347" max="4348" width="9.140625" style="178" bestFit="1" customWidth="1"/>
    <col min="4349" max="4350" width="11.140625" style="178" bestFit="1" customWidth="1"/>
    <col min="4351" max="4351" width="11.5703125" style="178" bestFit="1" customWidth="1"/>
    <col min="4352" max="4352" width="9.140625" style="178" bestFit="1" customWidth="1"/>
    <col min="4353" max="4353" width="10.28515625" style="178" customWidth="1"/>
    <col min="4354" max="4592" width="9.140625" style="178"/>
    <col min="4593" max="4593" width="4.28515625" style="178" bestFit="1" customWidth="1"/>
    <col min="4594" max="4594" width="6.85546875" style="178" bestFit="1" customWidth="1"/>
    <col min="4595" max="4595" width="11" style="178" customWidth="1"/>
    <col min="4596" max="4596" width="11.140625" style="178" bestFit="1" customWidth="1"/>
    <col min="4597" max="4597" width="10.85546875" style="178" customWidth="1"/>
    <col min="4598" max="4598" width="11.5703125" style="178" customWidth="1"/>
    <col min="4599" max="4599" width="11.140625" style="178" bestFit="1" customWidth="1"/>
    <col min="4600" max="4600" width="11" style="178" customWidth="1"/>
    <col min="4601" max="4601" width="10.42578125" style="178" customWidth="1"/>
    <col min="4602" max="4602" width="11.28515625" style="178" customWidth="1"/>
    <col min="4603" max="4604" width="9.140625" style="178" bestFit="1" customWidth="1"/>
    <col min="4605" max="4606" width="11.140625" style="178" bestFit="1" customWidth="1"/>
    <col min="4607" max="4607" width="11.5703125" style="178" bestFit="1" customWidth="1"/>
    <col min="4608" max="4608" width="9.140625" style="178" bestFit="1" customWidth="1"/>
    <col min="4609" max="4609" width="10.28515625" style="178" customWidth="1"/>
    <col min="4610" max="4848" width="9.140625" style="178"/>
    <col min="4849" max="4849" width="4.28515625" style="178" bestFit="1" customWidth="1"/>
    <col min="4850" max="4850" width="6.85546875" style="178" bestFit="1" customWidth="1"/>
    <col min="4851" max="4851" width="11" style="178" customWidth="1"/>
    <col min="4852" max="4852" width="11.140625" style="178" bestFit="1" customWidth="1"/>
    <col min="4853" max="4853" width="10.85546875" style="178" customWidth="1"/>
    <col min="4854" max="4854" width="11.5703125" style="178" customWidth="1"/>
    <col min="4855" max="4855" width="11.140625" style="178" bestFit="1" customWidth="1"/>
    <col min="4856" max="4856" width="11" style="178" customWidth="1"/>
    <col min="4857" max="4857" width="10.42578125" style="178" customWidth="1"/>
    <col min="4858" max="4858" width="11.28515625" style="178" customWidth="1"/>
    <col min="4859" max="4860" width="9.140625" style="178" bestFit="1" customWidth="1"/>
    <col min="4861" max="4862" width="11.140625" style="178" bestFit="1" customWidth="1"/>
    <col min="4863" max="4863" width="11.5703125" style="178" bestFit="1" customWidth="1"/>
    <col min="4864" max="4864" width="9.140625" style="178" bestFit="1" customWidth="1"/>
    <col min="4865" max="4865" width="10.28515625" style="178" customWidth="1"/>
    <col min="4866" max="5104" width="9.140625" style="178"/>
    <col min="5105" max="5105" width="4.28515625" style="178" bestFit="1" customWidth="1"/>
    <col min="5106" max="5106" width="6.85546875" style="178" bestFit="1" customWidth="1"/>
    <col min="5107" max="5107" width="11" style="178" customWidth="1"/>
    <col min="5108" max="5108" width="11.140625" style="178" bestFit="1" customWidth="1"/>
    <col min="5109" max="5109" width="10.85546875" style="178" customWidth="1"/>
    <col min="5110" max="5110" width="11.5703125" style="178" customWidth="1"/>
    <col min="5111" max="5111" width="11.140625" style="178" bestFit="1" customWidth="1"/>
    <col min="5112" max="5112" width="11" style="178" customWidth="1"/>
    <col min="5113" max="5113" width="10.42578125" style="178" customWidth="1"/>
    <col min="5114" max="5114" width="11.28515625" style="178" customWidth="1"/>
    <col min="5115" max="5116" width="9.140625" style="178" bestFit="1" customWidth="1"/>
    <col min="5117" max="5118" width="11.140625" style="178" bestFit="1" customWidth="1"/>
    <col min="5119" max="5119" width="11.5703125" style="178" bestFit="1" customWidth="1"/>
    <col min="5120" max="5120" width="9.140625" style="178" bestFit="1" customWidth="1"/>
    <col min="5121" max="5121" width="10.28515625" style="178" customWidth="1"/>
    <col min="5122" max="5360" width="9.140625" style="178"/>
    <col min="5361" max="5361" width="4.28515625" style="178" bestFit="1" customWidth="1"/>
    <col min="5362" max="5362" width="6.85546875" style="178" bestFit="1" customWidth="1"/>
    <col min="5363" max="5363" width="11" style="178" customWidth="1"/>
    <col min="5364" max="5364" width="11.140625" style="178" bestFit="1" customWidth="1"/>
    <col min="5365" max="5365" width="10.85546875" style="178" customWidth="1"/>
    <col min="5366" max="5366" width="11.5703125" style="178" customWidth="1"/>
    <col min="5367" max="5367" width="11.140625" style="178" bestFit="1" customWidth="1"/>
    <col min="5368" max="5368" width="11" style="178" customWidth="1"/>
    <col min="5369" max="5369" width="10.42578125" style="178" customWidth="1"/>
    <col min="5370" max="5370" width="11.28515625" style="178" customWidth="1"/>
    <col min="5371" max="5372" width="9.140625" style="178" bestFit="1" customWidth="1"/>
    <col min="5373" max="5374" width="11.140625" style="178" bestFit="1" customWidth="1"/>
    <col min="5375" max="5375" width="11.5703125" style="178" bestFit="1" customWidth="1"/>
    <col min="5376" max="5376" width="9.140625" style="178" bestFit="1" customWidth="1"/>
    <col min="5377" max="5377" width="10.28515625" style="178" customWidth="1"/>
    <col min="5378" max="5616" width="9.140625" style="178"/>
    <col min="5617" max="5617" width="4.28515625" style="178" bestFit="1" customWidth="1"/>
    <col min="5618" max="5618" width="6.85546875" style="178" bestFit="1" customWidth="1"/>
    <col min="5619" max="5619" width="11" style="178" customWidth="1"/>
    <col min="5620" max="5620" width="11.140625" style="178" bestFit="1" customWidth="1"/>
    <col min="5621" max="5621" width="10.85546875" style="178" customWidth="1"/>
    <col min="5622" max="5622" width="11.5703125" style="178" customWidth="1"/>
    <col min="5623" max="5623" width="11.140625" style="178" bestFit="1" customWidth="1"/>
    <col min="5624" max="5624" width="11" style="178" customWidth="1"/>
    <col min="5625" max="5625" width="10.42578125" style="178" customWidth="1"/>
    <col min="5626" max="5626" width="11.28515625" style="178" customWidth="1"/>
    <col min="5627" max="5628" width="9.140625" style="178" bestFit="1" customWidth="1"/>
    <col min="5629" max="5630" width="11.140625" style="178" bestFit="1" customWidth="1"/>
    <col min="5631" max="5631" width="11.5703125" style="178" bestFit="1" customWidth="1"/>
    <col min="5632" max="5632" width="9.140625" style="178" bestFit="1" customWidth="1"/>
    <col min="5633" max="5633" width="10.28515625" style="178" customWidth="1"/>
    <col min="5634" max="5872" width="9.140625" style="178"/>
    <col min="5873" max="5873" width="4.28515625" style="178" bestFit="1" customWidth="1"/>
    <col min="5874" max="5874" width="6.85546875" style="178" bestFit="1" customWidth="1"/>
    <col min="5875" max="5875" width="11" style="178" customWidth="1"/>
    <col min="5876" max="5876" width="11.140625" style="178" bestFit="1" customWidth="1"/>
    <col min="5877" max="5877" width="10.85546875" style="178" customWidth="1"/>
    <col min="5878" max="5878" width="11.5703125" style="178" customWidth="1"/>
    <col min="5879" max="5879" width="11.140625" style="178" bestFit="1" customWidth="1"/>
    <col min="5880" max="5880" width="11" style="178" customWidth="1"/>
    <col min="5881" max="5881" width="10.42578125" style="178" customWidth="1"/>
    <col min="5882" max="5882" width="11.28515625" style="178" customWidth="1"/>
    <col min="5883" max="5884" width="9.140625" style="178" bestFit="1" customWidth="1"/>
    <col min="5885" max="5886" width="11.140625" style="178" bestFit="1" customWidth="1"/>
    <col min="5887" max="5887" width="11.5703125" style="178" bestFit="1" customWidth="1"/>
    <col min="5888" max="5888" width="9.140625" style="178" bestFit="1" customWidth="1"/>
    <col min="5889" max="5889" width="10.28515625" style="178" customWidth="1"/>
    <col min="5890" max="6128" width="9.140625" style="178"/>
    <col min="6129" max="6129" width="4.28515625" style="178" bestFit="1" customWidth="1"/>
    <col min="6130" max="6130" width="6.85546875" style="178" bestFit="1" customWidth="1"/>
    <col min="6131" max="6131" width="11" style="178" customWidth="1"/>
    <col min="6132" max="6132" width="11.140625" style="178" bestFit="1" customWidth="1"/>
    <col min="6133" max="6133" width="10.85546875" style="178" customWidth="1"/>
    <col min="6134" max="6134" width="11.5703125" style="178" customWidth="1"/>
    <col min="6135" max="6135" width="11.140625" style="178" bestFit="1" customWidth="1"/>
    <col min="6136" max="6136" width="11" style="178" customWidth="1"/>
    <col min="6137" max="6137" width="10.42578125" style="178" customWidth="1"/>
    <col min="6138" max="6138" width="11.28515625" style="178" customWidth="1"/>
    <col min="6139" max="6140" width="9.140625" style="178" bestFit="1" customWidth="1"/>
    <col min="6141" max="6142" width="11.140625" style="178" bestFit="1" customWidth="1"/>
    <col min="6143" max="6143" width="11.5703125" style="178" bestFit="1" customWidth="1"/>
    <col min="6144" max="6144" width="9.140625" style="178" bestFit="1" customWidth="1"/>
    <col min="6145" max="6145" width="10.28515625" style="178" customWidth="1"/>
    <col min="6146" max="6384" width="9.140625" style="178"/>
    <col min="6385" max="6385" width="4.28515625" style="178" bestFit="1" customWidth="1"/>
    <col min="6386" max="6386" width="6.85546875" style="178" bestFit="1" customWidth="1"/>
    <col min="6387" max="6387" width="11" style="178" customWidth="1"/>
    <col min="6388" max="6388" width="11.140625" style="178" bestFit="1" customWidth="1"/>
    <col min="6389" max="6389" width="10.85546875" style="178" customWidth="1"/>
    <col min="6390" max="6390" width="11.5703125" style="178" customWidth="1"/>
    <col min="6391" max="6391" width="11.140625" style="178" bestFit="1" customWidth="1"/>
    <col min="6392" max="6392" width="11" style="178" customWidth="1"/>
    <col min="6393" max="6393" width="10.42578125" style="178" customWidth="1"/>
    <col min="6394" max="6394" width="11.28515625" style="178" customWidth="1"/>
    <col min="6395" max="6396" width="9.140625" style="178" bestFit="1" customWidth="1"/>
    <col min="6397" max="6398" width="11.140625" style="178" bestFit="1" customWidth="1"/>
    <col min="6399" max="6399" width="11.5703125" style="178" bestFit="1" customWidth="1"/>
    <col min="6400" max="6400" width="9.140625" style="178" bestFit="1" customWidth="1"/>
    <col min="6401" max="6401" width="10.28515625" style="178" customWidth="1"/>
    <col min="6402" max="6640" width="9.140625" style="178"/>
    <col min="6641" max="6641" width="4.28515625" style="178" bestFit="1" customWidth="1"/>
    <col min="6642" max="6642" width="6.85546875" style="178" bestFit="1" customWidth="1"/>
    <col min="6643" max="6643" width="11" style="178" customWidth="1"/>
    <col min="6644" max="6644" width="11.140625" style="178" bestFit="1" customWidth="1"/>
    <col min="6645" max="6645" width="10.85546875" style="178" customWidth="1"/>
    <col min="6646" max="6646" width="11.5703125" style="178" customWidth="1"/>
    <col min="6647" max="6647" width="11.140625" style="178" bestFit="1" customWidth="1"/>
    <col min="6648" max="6648" width="11" style="178" customWidth="1"/>
    <col min="6649" max="6649" width="10.42578125" style="178" customWidth="1"/>
    <col min="6650" max="6650" width="11.28515625" style="178" customWidth="1"/>
    <col min="6651" max="6652" width="9.140625" style="178" bestFit="1" customWidth="1"/>
    <col min="6653" max="6654" width="11.140625" style="178" bestFit="1" customWidth="1"/>
    <col min="6655" max="6655" width="11.5703125" style="178" bestFit="1" customWidth="1"/>
    <col min="6656" max="6656" width="9.140625" style="178" bestFit="1" customWidth="1"/>
    <col min="6657" max="6657" width="10.28515625" style="178" customWidth="1"/>
    <col min="6658" max="6896" width="9.140625" style="178"/>
    <col min="6897" max="6897" width="4.28515625" style="178" bestFit="1" customWidth="1"/>
    <col min="6898" max="6898" width="6.85546875" style="178" bestFit="1" customWidth="1"/>
    <col min="6899" max="6899" width="11" style="178" customWidth="1"/>
    <col min="6900" max="6900" width="11.140625" style="178" bestFit="1" customWidth="1"/>
    <col min="6901" max="6901" width="10.85546875" style="178" customWidth="1"/>
    <col min="6902" max="6902" width="11.5703125" style="178" customWidth="1"/>
    <col min="6903" max="6903" width="11.140625" style="178" bestFit="1" customWidth="1"/>
    <col min="6904" max="6904" width="11" style="178" customWidth="1"/>
    <col min="6905" max="6905" width="10.42578125" style="178" customWidth="1"/>
    <col min="6906" max="6906" width="11.28515625" style="178" customWidth="1"/>
    <col min="6907" max="6908" width="9.140625" style="178" bestFit="1" customWidth="1"/>
    <col min="6909" max="6910" width="11.140625" style="178" bestFit="1" customWidth="1"/>
    <col min="6911" max="6911" width="11.5703125" style="178" bestFit="1" customWidth="1"/>
    <col min="6912" max="6912" width="9.140625" style="178" bestFit="1" customWidth="1"/>
    <col min="6913" max="6913" width="10.28515625" style="178" customWidth="1"/>
    <col min="6914" max="7152" width="9.140625" style="178"/>
    <col min="7153" max="7153" width="4.28515625" style="178" bestFit="1" customWidth="1"/>
    <col min="7154" max="7154" width="6.85546875" style="178" bestFit="1" customWidth="1"/>
    <col min="7155" max="7155" width="11" style="178" customWidth="1"/>
    <col min="7156" max="7156" width="11.140625" style="178" bestFit="1" customWidth="1"/>
    <col min="7157" max="7157" width="10.85546875" style="178" customWidth="1"/>
    <col min="7158" max="7158" width="11.5703125" style="178" customWidth="1"/>
    <col min="7159" max="7159" width="11.140625" style="178" bestFit="1" customWidth="1"/>
    <col min="7160" max="7160" width="11" style="178" customWidth="1"/>
    <col min="7161" max="7161" width="10.42578125" style="178" customWidth="1"/>
    <col min="7162" max="7162" width="11.28515625" style="178" customWidth="1"/>
    <col min="7163" max="7164" width="9.140625" style="178" bestFit="1" customWidth="1"/>
    <col min="7165" max="7166" width="11.140625" style="178" bestFit="1" customWidth="1"/>
    <col min="7167" max="7167" width="11.5703125" style="178" bestFit="1" customWidth="1"/>
    <col min="7168" max="7168" width="9.140625" style="178" bestFit="1" customWidth="1"/>
    <col min="7169" max="7169" width="10.28515625" style="178" customWidth="1"/>
    <col min="7170" max="7408" width="9.140625" style="178"/>
    <col min="7409" max="7409" width="4.28515625" style="178" bestFit="1" customWidth="1"/>
    <col min="7410" max="7410" width="6.85546875" style="178" bestFit="1" customWidth="1"/>
    <col min="7411" max="7411" width="11" style="178" customWidth="1"/>
    <col min="7412" max="7412" width="11.140625" style="178" bestFit="1" customWidth="1"/>
    <col min="7413" max="7413" width="10.85546875" style="178" customWidth="1"/>
    <col min="7414" max="7414" width="11.5703125" style="178" customWidth="1"/>
    <col min="7415" max="7415" width="11.140625" style="178" bestFit="1" customWidth="1"/>
    <col min="7416" max="7416" width="11" style="178" customWidth="1"/>
    <col min="7417" max="7417" width="10.42578125" style="178" customWidth="1"/>
    <col min="7418" max="7418" width="11.28515625" style="178" customWidth="1"/>
    <col min="7419" max="7420" width="9.140625" style="178" bestFit="1" customWidth="1"/>
    <col min="7421" max="7422" width="11.140625" style="178" bestFit="1" customWidth="1"/>
    <col min="7423" max="7423" width="11.5703125" style="178" bestFit="1" customWidth="1"/>
    <col min="7424" max="7424" width="9.140625" style="178" bestFit="1" customWidth="1"/>
    <col min="7425" max="7425" width="10.28515625" style="178" customWidth="1"/>
    <col min="7426" max="7664" width="9.140625" style="178"/>
    <col min="7665" max="7665" width="4.28515625" style="178" bestFit="1" customWidth="1"/>
    <col min="7666" max="7666" width="6.85546875" style="178" bestFit="1" customWidth="1"/>
    <col min="7667" max="7667" width="11" style="178" customWidth="1"/>
    <col min="7668" max="7668" width="11.140625" style="178" bestFit="1" customWidth="1"/>
    <col min="7669" max="7669" width="10.85546875" style="178" customWidth="1"/>
    <col min="7670" max="7670" width="11.5703125" style="178" customWidth="1"/>
    <col min="7671" max="7671" width="11.140625" style="178" bestFit="1" customWidth="1"/>
    <col min="7672" max="7672" width="11" style="178" customWidth="1"/>
    <col min="7673" max="7673" width="10.42578125" style="178" customWidth="1"/>
    <col min="7674" max="7674" width="11.28515625" style="178" customWidth="1"/>
    <col min="7675" max="7676" width="9.140625" style="178" bestFit="1" customWidth="1"/>
    <col min="7677" max="7678" width="11.140625" style="178" bestFit="1" customWidth="1"/>
    <col min="7679" max="7679" width="11.5703125" style="178" bestFit="1" customWidth="1"/>
    <col min="7680" max="7680" width="9.140625" style="178" bestFit="1" customWidth="1"/>
    <col min="7681" max="7681" width="10.28515625" style="178" customWidth="1"/>
    <col min="7682" max="7920" width="9.140625" style="178"/>
    <col min="7921" max="7921" width="4.28515625" style="178" bestFit="1" customWidth="1"/>
    <col min="7922" max="7922" width="6.85546875" style="178" bestFit="1" customWidth="1"/>
    <col min="7923" max="7923" width="11" style="178" customWidth="1"/>
    <col min="7924" max="7924" width="11.140625" style="178" bestFit="1" customWidth="1"/>
    <col min="7925" max="7925" width="10.85546875" style="178" customWidth="1"/>
    <col min="7926" max="7926" width="11.5703125" style="178" customWidth="1"/>
    <col min="7927" max="7927" width="11.140625" style="178" bestFit="1" customWidth="1"/>
    <col min="7928" max="7928" width="11" style="178" customWidth="1"/>
    <col min="7929" max="7929" width="10.42578125" style="178" customWidth="1"/>
    <col min="7930" max="7930" width="11.28515625" style="178" customWidth="1"/>
    <col min="7931" max="7932" width="9.140625" style="178" bestFit="1" customWidth="1"/>
    <col min="7933" max="7934" width="11.140625" style="178" bestFit="1" customWidth="1"/>
    <col min="7935" max="7935" width="11.5703125" style="178" bestFit="1" customWidth="1"/>
    <col min="7936" max="7936" width="9.140625" style="178" bestFit="1" customWidth="1"/>
    <col min="7937" max="7937" width="10.28515625" style="178" customWidth="1"/>
    <col min="7938" max="8176" width="9.140625" style="178"/>
    <col min="8177" max="8177" width="4.28515625" style="178" bestFit="1" customWidth="1"/>
    <col min="8178" max="8178" width="6.85546875" style="178" bestFit="1" customWidth="1"/>
    <col min="8179" max="8179" width="11" style="178" customWidth="1"/>
    <col min="8180" max="8180" width="11.140625" style="178" bestFit="1" customWidth="1"/>
    <col min="8181" max="8181" width="10.85546875" style="178" customWidth="1"/>
    <col min="8182" max="8182" width="11.5703125" style="178" customWidth="1"/>
    <col min="8183" max="8183" width="11.140625" style="178" bestFit="1" customWidth="1"/>
    <col min="8184" max="8184" width="11" style="178" customWidth="1"/>
    <col min="8185" max="8185" width="10.42578125" style="178" customWidth="1"/>
    <col min="8186" max="8186" width="11.28515625" style="178" customWidth="1"/>
    <col min="8187" max="8188" width="9.140625" style="178" bestFit="1" customWidth="1"/>
    <col min="8189" max="8190" width="11.140625" style="178" bestFit="1" customWidth="1"/>
    <col min="8191" max="8191" width="11.5703125" style="178" bestFit="1" customWidth="1"/>
    <col min="8192" max="8192" width="9.140625" style="178" bestFit="1" customWidth="1"/>
    <col min="8193" max="8193" width="10.28515625" style="178" customWidth="1"/>
    <col min="8194" max="8432" width="9.140625" style="178"/>
    <col min="8433" max="8433" width="4.28515625" style="178" bestFit="1" customWidth="1"/>
    <col min="8434" max="8434" width="6.85546875" style="178" bestFit="1" customWidth="1"/>
    <col min="8435" max="8435" width="11" style="178" customWidth="1"/>
    <col min="8436" max="8436" width="11.140625" style="178" bestFit="1" customWidth="1"/>
    <col min="8437" max="8437" width="10.85546875" style="178" customWidth="1"/>
    <col min="8438" max="8438" width="11.5703125" style="178" customWidth="1"/>
    <col min="8439" max="8439" width="11.140625" style="178" bestFit="1" customWidth="1"/>
    <col min="8440" max="8440" width="11" style="178" customWidth="1"/>
    <col min="8441" max="8441" width="10.42578125" style="178" customWidth="1"/>
    <col min="8442" max="8442" width="11.28515625" style="178" customWidth="1"/>
    <col min="8443" max="8444" width="9.140625" style="178" bestFit="1" customWidth="1"/>
    <col min="8445" max="8446" width="11.140625" style="178" bestFit="1" customWidth="1"/>
    <col min="8447" max="8447" width="11.5703125" style="178" bestFit="1" customWidth="1"/>
    <col min="8448" max="8448" width="9.140625" style="178" bestFit="1" customWidth="1"/>
    <col min="8449" max="8449" width="10.28515625" style="178" customWidth="1"/>
    <col min="8450" max="8688" width="9.140625" style="178"/>
    <col min="8689" max="8689" width="4.28515625" style="178" bestFit="1" customWidth="1"/>
    <col min="8690" max="8690" width="6.85546875" style="178" bestFit="1" customWidth="1"/>
    <col min="8691" max="8691" width="11" style="178" customWidth="1"/>
    <col min="8692" max="8692" width="11.140625" style="178" bestFit="1" customWidth="1"/>
    <col min="8693" max="8693" width="10.85546875" style="178" customWidth="1"/>
    <col min="8694" max="8694" width="11.5703125" style="178" customWidth="1"/>
    <col min="8695" max="8695" width="11.140625" style="178" bestFit="1" customWidth="1"/>
    <col min="8696" max="8696" width="11" style="178" customWidth="1"/>
    <col min="8697" max="8697" width="10.42578125" style="178" customWidth="1"/>
    <col min="8698" max="8698" width="11.28515625" style="178" customWidth="1"/>
    <col min="8699" max="8700" width="9.140625" style="178" bestFit="1" customWidth="1"/>
    <col min="8701" max="8702" width="11.140625" style="178" bestFit="1" customWidth="1"/>
    <col min="8703" max="8703" width="11.5703125" style="178" bestFit="1" customWidth="1"/>
    <col min="8704" max="8704" width="9.140625" style="178" bestFit="1" customWidth="1"/>
    <col min="8705" max="8705" width="10.28515625" style="178" customWidth="1"/>
    <col min="8706" max="8944" width="9.140625" style="178"/>
    <col min="8945" max="8945" width="4.28515625" style="178" bestFit="1" customWidth="1"/>
    <col min="8946" max="8946" width="6.85546875" style="178" bestFit="1" customWidth="1"/>
    <col min="8947" max="8947" width="11" style="178" customWidth="1"/>
    <col min="8948" max="8948" width="11.140625" style="178" bestFit="1" customWidth="1"/>
    <col min="8949" max="8949" width="10.85546875" style="178" customWidth="1"/>
    <col min="8950" max="8950" width="11.5703125" style="178" customWidth="1"/>
    <col min="8951" max="8951" width="11.140625" style="178" bestFit="1" customWidth="1"/>
    <col min="8952" max="8952" width="11" style="178" customWidth="1"/>
    <col min="8953" max="8953" width="10.42578125" style="178" customWidth="1"/>
    <col min="8954" max="8954" width="11.28515625" style="178" customWidth="1"/>
    <col min="8955" max="8956" width="9.140625" style="178" bestFit="1" customWidth="1"/>
    <col min="8957" max="8958" width="11.140625" style="178" bestFit="1" customWidth="1"/>
    <col min="8959" max="8959" width="11.5703125" style="178" bestFit="1" customWidth="1"/>
    <col min="8960" max="8960" width="9.140625" style="178" bestFit="1" customWidth="1"/>
    <col min="8961" max="8961" width="10.28515625" style="178" customWidth="1"/>
    <col min="8962" max="9200" width="9.140625" style="178"/>
    <col min="9201" max="9201" width="4.28515625" style="178" bestFit="1" customWidth="1"/>
    <col min="9202" max="9202" width="6.85546875" style="178" bestFit="1" customWidth="1"/>
    <col min="9203" max="9203" width="11" style="178" customWidth="1"/>
    <col min="9204" max="9204" width="11.140625" style="178" bestFit="1" customWidth="1"/>
    <col min="9205" max="9205" width="10.85546875" style="178" customWidth="1"/>
    <col min="9206" max="9206" width="11.5703125" style="178" customWidth="1"/>
    <col min="9207" max="9207" width="11.140625" style="178" bestFit="1" customWidth="1"/>
    <col min="9208" max="9208" width="11" style="178" customWidth="1"/>
    <col min="9209" max="9209" width="10.42578125" style="178" customWidth="1"/>
    <col min="9210" max="9210" width="11.28515625" style="178" customWidth="1"/>
    <col min="9211" max="9212" width="9.140625" style="178" bestFit="1" customWidth="1"/>
    <col min="9213" max="9214" width="11.140625" style="178" bestFit="1" customWidth="1"/>
    <col min="9215" max="9215" width="11.5703125" style="178" bestFit="1" customWidth="1"/>
    <col min="9216" max="9216" width="9.140625" style="178" bestFit="1" customWidth="1"/>
    <col min="9217" max="9217" width="10.28515625" style="178" customWidth="1"/>
    <col min="9218" max="9456" width="9.140625" style="178"/>
    <col min="9457" max="9457" width="4.28515625" style="178" bestFit="1" customWidth="1"/>
    <col min="9458" max="9458" width="6.85546875" style="178" bestFit="1" customWidth="1"/>
    <col min="9459" max="9459" width="11" style="178" customWidth="1"/>
    <col min="9460" max="9460" width="11.140625" style="178" bestFit="1" customWidth="1"/>
    <col min="9461" max="9461" width="10.85546875" style="178" customWidth="1"/>
    <col min="9462" max="9462" width="11.5703125" style="178" customWidth="1"/>
    <col min="9463" max="9463" width="11.140625" style="178" bestFit="1" customWidth="1"/>
    <col min="9464" max="9464" width="11" style="178" customWidth="1"/>
    <col min="9465" max="9465" width="10.42578125" style="178" customWidth="1"/>
    <col min="9466" max="9466" width="11.28515625" style="178" customWidth="1"/>
    <col min="9467" max="9468" width="9.140625" style="178" bestFit="1" customWidth="1"/>
    <col min="9469" max="9470" width="11.140625" style="178" bestFit="1" customWidth="1"/>
    <col min="9471" max="9471" width="11.5703125" style="178" bestFit="1" customWidth="1"/>
    <col min="9472" max="9472" width="9.140625" style="178" bestFit="1" customWidth="1"/>
    <col min="9473" max="9473" width="10.28515625" style="178" customWidth="1"/>
    <col min="9474" max="9712" width="9.140625" style="178"/>
    <col min="9713" max="9713" width="4.28515625" style="178" bestFit="1" customWidth="1"/>
    <col min="9714" max="9714" width="6.85546875" style="178" bestFit="1" customWidth="1"/>
    <col min="9715" max="9715" width="11" style="178" customWidth="1"/>
    <col min="9716" max="9716" width="11.140625" style="178" bestFit="1" customWidth="1"/>
    <col min="9717" max="9717" width="10.85546875" style="178" customWidth="1"/>
    <col min="9718" max="9718" width="11.5703125" style="178" customWidth="1"/>
    <col min="9719" max="9719" width="11.140625" style="178" bestFit="1" customWidth="1"/>
    <col min="9720" max="9720" width="11" style="178" customWidth="1"/>
    <col min="9721" max="9721" width="10.42578125" style="178" customWidth="1"/>
    <col min="9722" max="9722" width="11.28515625" style="178" customWidth="1"/>
    <col min="9723" max="9724" width="9.140625" style="178" bestFit="1" customWidth="1"/>
    <col min="9725" max="9726" width="11.140625" style="178" bestFit="1" customWidth="1"/>
    <col min="9727" max="9727" width="11.5703125" style="178" bestFit="1" customWidth="1"/>
    <col min="9728" max="9728" width="9.140625" style="178" bestFit="1" customWidth="1"/>
    <col min="9729" max="9729" width="10.28515625" style="178" customWidth="1"/>
    <col min="9730" max="9968" width="9.140625" style="178"/>
    <col min="9969" max="9969" width="4.28515625" style="178" bestFit="1" customWidth="1"/>
    <col min="9970" max="9970" width="6.85546875" style="178" bestFit="1" customWidth="1"/>
    <col min="9971" max="9971" width="11" style="178" customWidth="1"/>
    <col min="9972" max="9972" width="11.140625" style="178" bestFit="1" customWidth="1"/>
    <col min="9973" max="9973" width="10.85546875" style="178" customWidth="1"/>
    <col min="9974" max="9974" width="11.5703125" style="178" customWidth="1"/>
    <col min="9975" max="9975" width="11.140625" style="178" bestFit="1" customWidth="1"/>
    <col min="9976" max="9976" width="11" style="178" customWidth="1"/>
    <col min="9977" max="9977" width="10.42578125" style="178" customWidth="1"/>
    <col min="9978" max="9978" width="11.28515625" style="178" customWidth="1"/>
    <col min="9979" max="9980" width="9.140625" style="178" bestFit="1" customWidth="1"/>
    <col min="9981" max="9982" width="11.140625" style="178" bestFit="1" customWidth="1"/>
    <col min="9983" max="9983" width="11.5703125" style="178" bestFit="1" customWidth="1"/>
    <col min="9984" max="9984" width="9.140625" style="178" bestFit="1" customWidth="1"/>
    <col min="9985" max="9985" width="10.28515625" style="178" customWidth="1"/>
    <col min="9986" max="10224" width="9.140625" style="178"/>
    <col min="10225" max="10225" width="4.28515625" style="178" bestFit="1" customWidth="1"/>
    <col min="10226" max="10226" width="6.85546875" style="178" bestFit="1" customWidth="1"/>
    <col min="10227" max="10227" width="11" style="178" customWidth="1"/>
    <col min="10228" max="10228" width="11.140625" style="178" bestFit="1" customWidth="1"/>
    <col min="10229" max="10229" width="10.85546875" style="178" customWidth="1"/>
    <col min="10230" max="10230" width="11.5703125" style="178" customWidth="1"/>
    <col min="10231" max="10231" width="11.140625" style="178" bestFit="1" customWidth="1"/>
    <col min="10232" max="10232" width="11" style="178" customWidth="1"/>
    <col min="10233" max="10233" width="10.42578125" style="178" customWidth="1"/>
    <col min="10234" max="10234" width="11.28515625" style="178" customWidth="1"/>
    <col min="10235" max="10236" width="9.140625" style="178" bestFit="1" customWidth="1"/>
    <col min="10237" max="10238" width="11.140625" style="178" bestFit="1" customWidth="1"/>
    <col min="10239" max="10239" width="11.5703125" style="178" bestFit="1" customWidth="1"/>
    <col min="10240" max="10240" width="9.140625" style="178" bestFit="1" customWidth="1"/>
    <col min="10241" max="10241" width="10.28515625" style="178" customWidth="1"/>
    <col min="10242" max="10480" width="9.140625" style="178"/>
    <col min="10481" max="10481" width="4.28515625" style="178" bestFit="1" customWidth="1"/>
    <col min="10482" max="10482" width="6.85546875" style="178" bestFit="1" customWidth="1"/>
    <col min="10483" max="10483" width="11" style="178" customWidth="1"/>
    <col min="10484" max="10484" width="11.140625" style="178" bestFit="1" customWidth="1"/>
    <col min="10485" max="10485" width="10.85546875" style="178" customWidth="1"/>
    <col min="10486" max="10486" width="11.5703125" style="178" customWidth="1"/>
    <col min="10487" max="10487" width="11.140625" style="178" bestFit="1" customWidth="1"/>
    <col min="10488" max="10488" width="11" style="178" customWidth="1"/>
    <col min="10489" max="10489" width="10.42578125" style="178" customWidth="1"/>
    <col min="10490" max="10490" width="11.28515625" style="178" customWidth="1"/>
    <col min="10491" max="10492" width="9.140625" style="178" bestFit="1" customWidth="1"/>
    <col min="10493" max="10494" width="11.140625" style="178" bestFit="1" customWidth="1"/>
    <col min="10495" max="10495" width="11.5703125" style="178" bestFit="1" customWidth="1"/>
    <col min="10496" max="10496" width="9.140625" style="178" bestFit="1" customWidth="1"/>
    <col min="10497" max="10497" width="10.28515625" style="178" customWidth="1"/>
    <col min="10498" max="10736" width="9.140625" style="178"/>
    <col min="10737" max="10737" width="4.28515625" style="178" bestFit="1" customWidth="1"/>
    <col min="10738" max="10738" width="6.85546875" style="178" bestFit="1" customWidth="1"/>
    <col min="10739" max="10739" width="11" style="178" customWidth="1"/>
    <col min="10740" max="10740" width="11.140625" style="178" bestFit="1" customWidth="1"/>
    <col min="10741" max="10741" width="10.85546875" style="178" customWidth="1"/>
    <col min="10742" max="10742" width="11.5703125" style="178" customWidth="1"/>
    <col min="10743" max="10743" width="11.140625" style="178" bestFit="1" customWidth="1"/>
    <col min="10744" max="10744" width="11" style="178" customWidth="1"/>
    <col min="10745" max="10745" width="10.42578125" style="178" customWidth="1"/>
    <col min="10746" max="10746" width="11.28515625" style="178" customWidth="1"/>
    <col min="10747" max="10748" width="9.140625" style="178" bestFit="1" customWidth="1"/>
    <col min="10749" max="10750" width="11.140625" style="178" bestFit="1" customWidth="1"/>
    <col min="10751" max="10751" width="11.5703125" style="178" bestFit="1" customWidth="1"/>
    <col min="10752" max="10752" width="9.140625" style="178" bestFit="1" customWidth="1"/>
    <col min="10753" max="10753" width="10.28515625" style="178" customWidth="1"/>
    <col min="10754" max="10992" width="9.140625" style="178"/>
    <col min="10993" max="10993" width="4.28515625" style="178" bestFit="1" customWidth="1"/>
    <col min="10994" max="10994" width="6.85546875" style="178" bestFit="1" customWidth="1"/>
    <col min="10995" max="10995" width="11" style="178" customWidth="1"/>
    <col min="10996" max="10996" width="11.140625" style="178" bestFit="1" customWidth="1"/>
    <col min="10997" max="10997" width="10.85546875" style="178" customWidth="1"/>
    <col min="10998" max="10998" width="11.5703125" style="178" customWidth="1"/>
    <col min="10999" max="10999" width="11.140625" style="178" bestFit="1" customWidth="1"/>
    <col min="11000" max="11000" width="11" style="178" customWidth="1"/>
    <col min="11001" max="11001" width="10.42578125" style="178" customWidth="1"/>
    <col min="11002" max="11002" width="11.28515625" style="178" customWidth="1"/>
    <col min="11003" max="11004" width="9.140625" style="178" bestFit="1" customWidth="1"/>
    <col min="11005" max="11006" width="11.140625" style="178" bestFit="1" customWidth="1"/>
    <col min="11007" max="11007" width="11.5703125" style="178" bestFit="1" customWidth="1"/>
    <col min="11008" max="11008" width="9.140625" style="178" bestFit="1" customWidth="1"/>
    <col min="11009" max="11009" width="10.28515625" style="178" customWidth="1"/>
    <col min="11010" max="11248" width="9.140625" style="178"/>
    <col min="11249" max="11249" width="4.28515625" style="178" bestFit="1" customWidth="1"/>
    <col min="11250" max="11250" width="6.85546875" style="178" bestFit="1" customWidth="1"/>
    <col min="11251" max="11251" width="11" style="178" customWidth="1"/>
    <col min="11252" max="11252" width="11.140625" style="178" bestFit="1" customWidth="1"/>
    <col min="11253" max="11253" width="10.85546875" style="178" customWidth="1"/>
    <col min="11254" max="11254" width="11.5703125" style="178" customWidth="1"/>
    <col min="11255" max="11255" width="11.140625" style="178" bestFit="1" customWidth="1"/>
    <col min="11256" max="11256" width="11" style="178" customWidth="1"/>
    <col min="11257" max="11257" width="10.42578125" style="178" customWidth="1"/>
    <col min="11258" max="11258" width="11.28515625" style="178" customWidth="1"/>
    <col min="11259" max="11260" width="9.140625" style="178" bestFit="1" customWidth="1"/>
    <col min="11261" max="11262" width="11.140625" style="178" bestFit="1" customWidth="1"/>
    <col min="11263" max="11263" width="11.5703125" style="178" bestFit="1" customWidth="1"/>
    <col min="11264" max="11264" width="9.140625" style="178" bestFit="1" customWidth="1"/>
    <col min="11265" max="11265" width="10.28515625" style="178" customWidth="1"/>
    <col min="11266" max="11504" width="9.140625" style="178"/>
    <col min="11505" max="11505" width="4.28515625" style="178" bestFit="1" customWidth="1"/>
    <col min="11506" max="11506" width="6.85546875" style="178" bestFit="1" customWidth="1"/>
    <col min="11507" max="11507" width="11" style="178" customWidth="1"/>
    <col min="11508" max="11508" width="11.140625" style="178" bestFit="1" customWidth="1"/>
    <col min="11509" max="11509" width="10.85546875" style="178" customWidth="1"/>
    <col min="11510" max="11510" width="11.5703125" style="178" customWidth="1"/>
    <col min="11511" max="11511" width="11.140625" style="178" bestFit="1" customWidth="1"/>
    <col min="11512" max="11512" width="11" style="178" customWidth="1"/>
    <col min="11513" max="11513" width="10.42578125" style="178" customWidth="1"/>
    <col min="11514" max="11514" width="11.28515625" style="178" customWidth="1"/>
    <col min="11515" max="11516" width="9.140625" style="178" bestFit="1" customWidth="1"/>
    <col min="11517" max="11518" width="11.140625" style="178" bestFit="1" customWidth="1"/>
    <col min="11519" max="11519" width="11.5703125" style="178" bestFit="1" customWidth="1"/>
    <col min="11520" max="11520" width="9.140625" style="178" bestFit="1" customWidth="1"/>
    <col min="11521" max="11521" width="10.28515625" style="178" customWidth="1"/>
    <col min="11522" max="11760" width="9.140625" style="178"/>
    <col min="11761" max="11761" width="4.28515625" style="178" bestFit="1" customWidth="1"/>
    <col min="11762" max="11762" width="6.85546875" style="178" bestFit="1" customWidth="1"/>
    <col min="11763" max="11763" width="11" style="178" customWidth="1"/>
    <col min="11764" max="11764" width="11.140625" style="178" bestFit="1" customWidth="1"/>
    <col min="11765" max="11765" width="10.85546875" style="178" customWidth="1"/>
    <col min="11766" max="11766" width="11.5703125" style="178" customWidth="1"/>
    <col min="11767" max="11767" width="11.140625" style="178" bestFit="1" customWidth="1"/>
    <col min="11768" max="11768" width="11" style="178" customWidth="1"/>
    <col min="11769" max="11769" width="10.42578125" style="178" customWidth="1"/>
    <col min="11770" max="11770" width="11.28515625" style="178" customWidth="1"/>
    <col min="11771" max="11772" width="9.140625" style="178" bestFit="1" customWidth="1"/>
    <col min="11773" max="11774" width="11.140625" style="178" bestFit="1" customWidth="1"/>
    <col min="11775" max="11775" width="11.5703125" style="178" bestFit="1" customWidth="1"/>
    <col min="11776" max="11776" width="9.140625" style="178" bestFit="1" customWidth="1"/>
    <col min="11777" max="11777" width="10.28515625" style="178" customWidth="1"/>
    <col min="11778" max="12016" width="9.140625" style="178"/>
    <col min="12017" max="12017" width="4.28515625" style="178" bestFit="1" customWidth="1"/>
    <col min="12018" max="12018" width="6.85546875" style="178" bestFit="1" customWidth="1"/>
    <col min="12019" max="12019" width="11" style="178" customWidth="1"/>
    <col min="12020" max="12020" width="11.140625" style="178" bestFit="1" customWidth="1"/>
    <col min="12021" max="12021" width="10.85546875" style="178" customWidth="1"/>
    <col min="12022" max="12022" width="11.5703125" style="178" customWidth="1"/>
    <col min="12023" max="12023" width="11.140625" style="178" bestFit="1" customWidth="1"/>
    <col min="12024" max="12024" width="11" style="178" customWidth="1"/>
    <col min="12025" max="12025" width="10.42578125" style="178" customWidth="1"/>
    <col min="12026" max="12026" width="11.28515625" style="178" customWidth="1"/>
    <col min="12027" max="12028" width="9.140625" style="178" bestFit="1" customWidth="1"/>
    <col min="12029" max="12030" width="11.140625" style="178" bestFit="1" customWidth="1"/>
    <col min="12031" max="12031" width="11.5703125" style="178" bestFit="1" customWidth="1"/>
    <col min="12032" max="12032" width="9.140625" style="178" bestFit="1" customWidth="1"/>
    <col min="12033" max="12033" width="10.28515625" style="178" customWidth="1"/>
    <col min="12034" max="12272" width="9.140625" style="178"/>
    <col min="12273" max="12273" width="4.28515625" style="178" bestFit="1" customWidth="1"/>
    <col min="12274" max="12274" width="6.85546875" style="178" bestFit="1" customWidth="1"/>
    <col min="12275" max="12275" width="11" style="178" customWidth="1"/>
    <col min="12276" max="12276" width="11.140625" style="178" bestFit="1" customWidth="1"/>
    <col min="12277" max="12277" width="10.85546875" style="178" customWidth="1"/>
    <col min="12278" max="12278" width="11.5703125" style="178" customWidth="1"/>
    <col min="12279" max="12279" width="11.140625" style="178" bestFit="1" customWidth="1"/>
    <col min="12280" max="12280" width="11" style="178" customWidth="1"/>
    <col min="12281" max="12281" width="10.42578125" style="178" customWidth="1"/>
    <col min="12282" max="12282" width="11.28515625" style="178" customWidth="1"/>
    <col min="12283" max="12284" width="9.140625" style="178" bestFit="1" customWidth="1"/>
    <col min="12285" max="12286" width="11.140625" style="178" bestFit="1" customWidth="1"/>
    <col min="12287" max="12287" width="11.5703125" style="178" bestFit="1" customWidth="1"/>
    <col min="12288" max="12288" width="9.140625" style="178" bestFit="1" customWidth="1"/>
    <col min="12289" max="12289" width="10.28515625" style="178" customWidth="1"/>
    <col min="12290" max="12528" width="9.140625" style="178"/>
    <col min="12529" max="12529" width="4.28515625" style="178" bestFit="1" customWidth="1"/>
    <col min="12530" max="12530" width="6.85546875" style="178" bestFit="1" customWidth="1"/>
    <col min="12531" max="12531" width="11" style="178" customWidth="1"/>
    <col min="12532" max="12532" width="11.140625" style="178" bestFit="1" customWidth="1"/>
    <col min="12533" max="12533" width="10.85546875" style="178" customWidth="1"/>
    <col min="12534" max="12534" width="11.5703125" style="178" customWidth="1"/>
    <col min="12535" max="12535" width="11.140625" style="178" bestFit="1" customWidth="1"/>
    <col min="12536" max="12536" width="11" style="178" customWidth="1"/>
    <col min="12537" max="12537" width="10.42578125" style="178" customWidth="1"/>
    <col min="12538" max="12538" width="11.28515625" style="178" customWidth="1"/>
    <col min="12539" max="12540" width="9.140625" style="178" bestFit="1" customWidth="1"/>
    <col min="12541" max="12542" width="11.140625" style="178" bestFit="1" customWidth="1"/>
    <col min="12543" max="12543" width="11.5703125" style="178" bestFit="1" customWidth="1"/>
    <col min="12544" max="12544" width="9.140625" style="178" bestFit="1" customWidth="1"/>
    <col min="12545" max="12545" width="10.28515625" style="178" customWidth="1"/>
    <col min="12546" max="12784" width="9.140625" style="178"/>
    <col min="12785" max="12785" width="4.28515625" style="178" bestFit="1" customWidth="1"/>
    <col min="12786" max="12786" width="6.85546875" style="178" bestFit="1" customWidth="1"/>
    <col min="12787" max="12787" width="11" style="178" customWidth="1"/>
    <col min="12788" max="12788" width="11.140625" style="178" bestFit="1" customWidth="1"/>
    <col min="12789" max="12789" width="10.85546875" style="178" customWidth="1"/>
    <col min="12790" max="12790" width="11.5703125" style="178" customWidth="1"/>
    <col min="12791" max="12791" width="11.140625" style="178" bestFit="1" customWidth="1"/>
    <col min="12792" max="12792" width="11" style="178" customWidth="1"/>
    <col min="12793" max="12793" width="10.42578125" style="178" customWidth="1"/>
    <col min="12794" max="12794" width="11.28515625" style="178" customWidth="1"/>
    <col min="12795" max="12796" width="9.140625" style="178" bestFit="1" customWidth="1"/>
    <col min="12797" max="12798" width="11.140625" style="178" bestFit="1" customWidth="1"/>
    <col min="12799" max="12799" width="11.5703125" style="178" bestFit="1" customWidth="1"/>
    <col min="12800" max="12800" width="9.140625" style="178" bestFit="1" customWidth="1"/>
    <col min="12801" max="12801" width="10.28515625" style="178" customWidth="1"/>
    <col min="12802" max="13040" width="9.140625" style="178"/>
    <col min="13041" max="13041" width="4.28515625" style="178" bestFit="1" customWidth="1"/>
    <col min="13042" max="13042" width="6.85546875" style="178" bestFit="1" customWidth="1"/>
    <col min="13043" max="13043" width="11" style="178" customWidth="1"/>
    <col min="13044" max="13044" width="11.140625" style="178" bestFit="1" customWidth="1"/>
    <col min="13045" max="13045" width="10.85546875" style="178" customWidth="1"/>
    <col min="13046" max="13046" width="11.5703125" style="178" customWidth="1"/>
    <col min="13047" max="13047" width="11.140625" style="178" bestFit="1" customWidth="1"/>
    <col min="13048" max="13048" width="11" style="178" customWidth="1"/>
    <col min="13049" max="13049" width="10.42578125" style="178" customWidth="1"/>
    <col min="13050" max="13050" width="11.28515625" style="178" customWidth="1"/>
    <col min="13051" max="13052" width="9.140625" style="178" bestFit="1" customWidth="1"/>
    <col min="13053" max="13054" width="11.140625" style="178" bestFit="1" customWidth="1"/>
    <col min="13055" max="13055" width="11.5703125" style="178" bestFit="1" customWidth="1"/>
    <col min="13056" max="13056" width="9.140625" style="178" bestFit="1" customWidth="1"/>
    <col min="13057" max="13057" width="10.28515625" style="178" customWidth="1"/>
    <col min="13058" max="13296" width="9.140625" style="178"/>
    <col min="13297" max="13297" width="4.28515625" style="178" bestFit="1" customWidth="1"/>
    <col min="13298" max="13298" width="6.85546875" style="178" bestFit="1" customWidth="1"/>
    <col min="13299" max="13299" width="11" style="178" customWidth="1"/>
    <col min="13300" max="13300" width="11.140625" style="178" bestFit="1" customWidth="1"/>
    <col min="13301" max="13301" width="10.85546875" style="178" customWidth="1"/>
    <col min="13302" max="13302" width="11.5703125" style="178" customWidth="1"/>
    <col min="13303" max="13303" width="11.140625" style="178" bestFit="1" customWidth="1"/>
    <col min="13304" max="13304" width="11" style="178" customWidth="1"/>
    <col min="13305" max="13305" width="10.42578125" style="178" customWidth="1"/>
    <col min="13306" max="13306" width="11.28515625" style="178" customWidth="1"/>
    <col min="13307" max="13308" width="9.140625" style="178" bestFit="1" customWidth="1"/>
    <col min="13309" max="13310" width="11.140625" style="178" bestFit="1" customWidth="1"/>
    <col min="13311" max="13311" width="11.5703125" style="178" bestFit="1" customWidth="1"/>
    <col min="13312" max="13312" width="9.140625" style="178" bestFit="1" customWidth="1"/>
    <col min="13313" max="13313" width="10.28515625" style="178" customWidth="1"/>
    <col min="13314" max="13552" width="9.140625" style="178"/>
    <col min="13553" max="13553" width="4.28515625" style="178" bestFit="1" customWidth="1"/>
    <col min="13554" max="13554" width="6.85546875" style="178" bestFit="1" customWidth="1"/>
    <col min="13555" max="13555" width="11" style="178" customWidth="1"/>
    <col min="13556" max="13556" width="11.140625" style="178" bestFit="1" customWidth="1"/>
    <col min="13557" max="13557" width="10.85546875" style="178" customWidth="1"/>
    <col min="13558" max="13558" width="11.5703125" style="178" customWidth="1"/>
    <col min="13559" max="13559" width="11.140625" style="178" bestFit="1" customWidth="1"/>
    <col min="13560" max="13560" width="11" style="178" customWidth="1"/>
    <col min="13561" max="13561" width="10.42578125" style="178" customWidth="1"/>
    <col min="13562" max="13562" width="11.28515625" style="178" customWidth="1"/>
    <col min="13563" max="13564" width="9.140625" style="178" bestFit="1" customWidth="1"/>
    <col min="13565" max="13566" width="11.140625" style="178" bestFit="1" customWidth="1"/>
    <col min="13567" max="13567" width="11.5703125" style="178" bestFit="1" customWidth="1"/>
    <col min="13568" max="13568" width="9.140625" style="178" bestFit="1" customWidth="1"/>
    <col min="13569" max="13569" width="10.28515625" style="178" customWidth="1"/>
    <col min="13570" max="13808" width="9.140625" style="178"/>
    <col min="13809" max="13809" width="4.28515625" style="178" bestFit="1" customWidth="1"/>
    <col min="13810" max="13810" width="6.85546875" style="178" bestFit="1" customWidth="1"/>
    <col min="13811" max="13811" width="11" style="178" customWidth="1"/>
    <col min="13812" max="13812" width="11.140625" style="178" bestFit="1" customWidth="1"/>
    <col min="13813" max="13813" width="10.85546875" style="178" customWidth="1"/>
    <col min="13814" max="13814" width="11.5703125" style="178" customWidth="1"/>
    <col min="13815" max="13815" width="11.140625" style="178" bestFit="1" customWidth="1"/>
    <col min="13816" max="13816" width="11" style="178" customWidth="1"/>
    <col min="13817" max="13817" width="10.42578125" style="178" customWidth="1"/>
    <col min="13818" max="13818" width="11.28515625" style="178" customWidth="1"/>
    <col min="13819" max="13820" width="9.140625" style="178" bestFit="1" customWidth="1"/>
    <col min="13821" max="13822" width="11.140625" style="178" bestFit="1" customWidth="1"/>
    <col min="13823" max="13823" width="11.5703125" style="178" bestFit="1" customWidth="1"/>
    <col min="13824" max="13824" width="9.140625" style="178" bestFit="1" customWidth="1"/>
    <col min="13825" max="13825" width="10.28515625" style="178" customWidth="1"/>
    <col min="13826" max="14064" width="9.140625" style="178"/>
    <col min="14065" max="14065" width="4.28515625" style="178" bestFit="1" customWidth="1"/>
    <col min="14066" max="14066" width="6.85546875" style="178" bestFit="1" customWidth="1"/>
    <col min="14067" max="14067" width="11" style="178" customWidth="1"/>
    <col min="14068" max="14068" width="11.140625" style="178" bestFit="1" customWidth="1"/>
    <col min="14069" max="14069" width="10.85546875" style="178" customWidth="1"/>
    <col min="14070" max="14070" width="11.5703125" style="178" customWidth="1"/>
    <col min="14071" max="14071" width="11.140625" style="178" bestFit="1" customWidth="1"/>
    <col min="14072" max="14072" width="11" style="178" customWidth="1"/>
    <col min="14073" max="14073" width="10.42578125" style="178" customWidth="1"/>
    <col min="14074" max="14074" width="11.28515625" style="178" customWidth="1"/>
    <col min="14075" max="14076" width="9.140625" style="178" bestFit="1" customWidth="1"/>
    <col min="14077" max="14078" width="11.140625" style="178" bestFit="1" customWidth="1"/>
    <col min="14079" max="14079" width="11.5703125" style="178" bestFit="1" customWidth="1"/>
    <col min="14080" max="14080" width="9.140625" style="178" bestFit="1" customWidth="1"/>
    <col min="14081" max="14081" width="10.28515625" style="178" customWidth="1"/>
    <col min="14082" max="14320" width="9.140625" style="178"/>
    <col min="14321" max="14321" width="4.28515625" style="178" bestFit="1" customWidth="1"/>
    <col min="14322" max="14322" width="6.85546875" style="178" bestFit="1" customWidth="1"/>
    <col min="14323" max="14323" width="11" style="178" customWidth="1"/>
    <col min="14324" max="14324" width="11.140625" style="178" bestFit="1" customWidth="1"/>
    <col min="14325" max="14325" width="10.85546875" style="178" customWidth="1"/>
    <col min="14326" max="14326" width="11.5703125" style="178" customWidth="1"/>
    <col min="14327" max="14327" width="11.140625" style="178" bestFit="1" customWidth="1"/>
    <col min="14328" max="14328" width="11" style="178" customWidth="1"/>
    <col min="14329" max="14329" width="10.42578125" style="178" customWidth="1"/>
    <col min="14330" max="14330" width="11.28515625" style="178" customWidth="1"/>
    <col min="14331" max="14332" width="9.140625" style="178" bestFit="1" customWidth="1"/>
    <col min="14333" max="14334" width="11.140625" style="178" bestFit="1" customWidth="1"/>
    <col min="14335" max="14335" width="11.5703125" style="178" bestFit="1" customWidth="1"/>
    <col min="14336" max="14336" width="9.140625" style="178" bestFit="1" customWidth="1"/>
    <col min="14337" max="14337" width="10.28515625" style="178" customWidth="1"/>
    <col min="14338" max="14576" width="9.140625" style="178"/>
    <col min="14577" max="14577" width="4.28515625" style="178" bestFit="1" customWidth="1"/>
    <col min="14578" max="14578" width="6.85546875" style="178" bestFit="1" customWidth="1"/>
    <col min="14579" max="14579" width="11" style="178" customWidth="1"/>
    <col min="14580" max="14580" width="11.140625" style="178" bestFit="1" customWidth="1"/>
    <col min="14581" max="14581" width="10.85546875" style="178" customWidth="1"/>
    <col min="14582" max="14582" width="11.5703125" style="178" customWidth="1"/>
    <col min="14583" max="14583" width="11.140625" style="178" bestFit="1" customWidth="1"/>
    <col min="14584" max="14584" width="11" style="178" customWidth="1"/>
    <col min="14585" max="14585" width="10.42578125" style="178" customWidth="1"/>
    <col min="14586" max="14586" width="11.28515625" style="178" customWidth="1"/>
    <col min="14587" max="14588" width="9.140625" style="178" bestFit="1" customWidth="1"/>
    <col min="14589" max="14590" width="11.140625" style="178" bestFit="1" customWidth="1"/>
    <col min="14591" max="14591" width="11.5703125" style="178" bestFit="1" customWidth="1"/>
    <col min="14592" max="14592" width="9.140625" style="178" bestFit="1" customWidth="1"/>
    <col min="14593" max="14593" width="10.28515625" style="178" customWidth="1"/>
    <col min="14594" max="14832" width="9.140625" style="178"/>
    <col min="14833" max="14833" width="4.28515625" style="178" bestFit="1" customWidth="1"/>
    <col min="14834" max="14834" width="6.85546875" style="178" bestFit="1" customWidth="1"/>
    <col min="14835" max="14835" width="11" style="178" customWidth="1"/>
    <col min="14836" max="14836" width="11.140625" style="178" bestFit="1" customWidth="1"/>
    <col min="14837" max="14837" width="10.85546875" style="178" customWidth="1"/>
    <col min="14838" max="14838" width="11.5703125" style="178" customWidth="1"/>
    <col min="14839" max="14839" width="11.140625" style="178" bestFit="1" customWidth="1"/>
    <col min="14840" max="14840" width="11" style="178" customWidth="1"/>
    <col min="14841" max="14841" width="10.42578125" style="178" customWidth="1"/>
    <col min="14842" max="14842" width="11.28515625" style="178" customWidth="1"/>
    <col min="14843" max="14844" width="9.140625" style="178" bestFit="1" customWidth="1"/>
    <col min="14845" max="14846" width="11.140625" style="178" bestFit="1" customWidth="1"/>
    <col min="14847" max="14847" width="11.5703125" style="178" bestFit="1" customWidth="1"/>
    <col min="14848" max="14848" width="9.140625" style="178" bestFit="1" customWidth="1"/>
    <col min="14849" max="14849" width="10.28515625" style="178" customWidth="1"/>
    <col min="14850" max="15088" width="9.140625" style="178"/>
    <col min="15089" max="15089" width="4.28515625" style="178" bestFit="1" customWidth="1"/>
    <col min="15090" max="15090" width="6.85546875" style="178" bestFit="1" customWidth="1"/>
    <col min="15091" max="15091" width="11" style="178" customWidth="1"/>
    <col min="15092" max="15092" width="11.140625" style="178" bestFit="1" customWidth="1"/>
    <col min="15093" max="15093" width="10.85546875" style="178" customWidth="1"/>
    <col min="15094" max="15094" width="11.5703125" style="178" customWidth="1"/>
    <col min="15095" max="15095" width="11.140625" style="178" bestFit="1" customWidth="1"/>
    <col min="15096" max="15096" width="11" style="178" customWidth="1"/>
    <col min="15097" max="15097" width="10.42578125" style="178" customWidth="1"/>
    <col min="15098" max="15098" width="11.28515625" style="178" customWidth="1"/>
    <col min="15099" max="15100" width="9.140625" style="178" bestFit="1" customWidth="1"/>
    <col min="15101" max="15102" width="11.140625" style="178" bestFit="1" customWidth="1"/>
    <col min="15103" max="15103" width="11.5703125" style="178" bestFit="1" customWidth="1"/>
    <col min="15104" max="15104" width="9.140625" style="178" bestFit="1" customWidth="1"/>
    <col min="15105" max="15105" width="10.28515625" style="178" customWidth="1"/>
    <col min="15106" max="15344" width="9.140625" style="178"/>
    <col min="15345" max="15345" width="4.28515625" style="178" bestFit="1" customWidth="1"/>
    <col min="15346" max="15346" width="6.85546875" style="178" bestFit="1" customWidth="1"/>
    <col min="15347" max="15347" width="11" style="178" customWidth="1"/>
    <col min="15348" max="15348" width="11.140625" style="178" bestFit="1" customWidth="1"/>
    <col min="15349" max="15349" width="10.85546875" style="178" customWidth="1"/>
    <col min="15350" max="15350" width="11.5703125" style="178" customWidth="1"/>
    <col min="15351" max="15351" width="11.140625" style="178" bestFit="1" customWidth="1"/>
    <col min="15352" max="15352" width="11" style="178" customWidth="1"/>
    <col min="15353" max="15353" width="10.42578125" style="178" customWidth="1"/>
    <col min="15354" max="15354" width="11.28515625" style="178" customWidth="1"/>
    <col min="15355" max="15356" width="9.140625" style="178" bestFit="1" customWidth="1"/>
    <col min="15357" max="15358" width="11.140625" style="178" bestFit="1" customWidth="1"/>
    <col min="15359" max="15359" width="11.5703125" style="178" bestFit="1" customWidth="1"/>
    <col min="15360" max="15360" width="9.140625" style="178" bestFit="1" customWidth="1"/>
    <col min="15361" max="15361" width="10.28515625" style="178" customWidth="1"/>
    <col min="15362" max="15600" width="9.140625" style="178"/>
    <col min="15601" max="15601" width="4.28515625" style="178" bestFit="1" customWidth="1"/>
    <col min="15602" max="15602" width="6.85546875" style="178" bestFit="1" customWidth="1"/>
    <col min="15603" max="15603" width="11" style="178" customWidth="1"/>
    <col min="15604" max="15604" width="11.140625" style="178" bestFit="1" customWidth="1"/>
    <col min="15605" max="15605" width="10.85546875" style="178" customWidth="1"/>
    <col min="15606" max="15606" width="11.5703125" style="178" customWidth="1"/>
    <col min="15607" max="15607" width="11.140625" style="178" bestFit="1" customWidth="1"/>
    <col min="15608" max="15608" width="11" style="178" customWidth="1"/>
    <col min="15609" max="15609" width="10.42578125" style="178" customWidth="1"/>
    <col min="15610" max="15610" width="11.28515625" style="178" customWidth="1"/>
    <col min="15611" max="15612" width="9.140625" style="178" bestFit="1" customWidth="1"/>
    <col min="15613" max="15614" width="11.140625" style="178" bestFit="1" customWidth="1"/>
    <col min="15615" max="15615" width="11.5703125" style="178" bestFit="1" customWidth="1"/>
    <col min="15616" max="15616" width="9.140625" style="178" bestFit="1" customWidth="1"/>
    <col min="15617" max="15617" width="10.28515625" style="178" customWidth="1"/>
    <col min="15618" max="15856" width="9.140625" style="178"/>
    <col min="15857" max="15857" width="4.28515625" style="178" bestFit="1" customWidth="1"/>
    <col min="15858" max="15858" width="6.85546875" style="178" bestFit="1" customWidth="1"/>
    <col min="15859" max="15859" width="11" style="178" customWidth="1"/>
    <col min="15860" max="15860" width="11.140625" style="178" bestFit="1" customWidth="1"/>
    <col min="15861" max="15861" width="10.85546875" style="178" customWidth="1"/>
    <col min="15862" max="15862" width="11.5703125" style="178" customWidth="1"/>
    <col min="15863" max="15863" width="11.140625" style="178" bestFit="1" customWidth="1"/>
    <col min="15864" max="15864" width="11" style="178" customWidth="1"/>
    <col min="15865" max="15865" width="10.42578125" style="178" customWidth="1"/>
    <col min="15866" max="15866" width="11.28515625" style="178" customWidth="1"/>
    <col min="15867" max="15868" width="9.140625" style="178" bestFit="1" customWidth="1"/>
    <col min="15869" max="15870" width="11.140625" style="178" bestFit="1" customWidth="1"/>
    <col min="15871" max="15871" width="11.5703125" style="178" bestFit="1" customWidth="1"/>
    <col min="15872" max="15872" width="9.140625" style="178" bestFit="1" customWidth="1"/>
    <col min="15873" max="15873" width="10.28515625" style="178" customWidth="1"/>
    <col min="15874" max="16112" width="9.140625" style="178"/>
    <col min="16113" max="16113" width="4.28515625" style="178" bestFit="1" customWidth="1"/>
    <col min="16114" max="16114" width="6.85546875" style="178" bestFit="1" customWidth="1"/>
    <col min="16115" max="16115" width="11" style="178" customWidth="1"/>
    <col min="16116" max="16116" width="11.140625" style="178" bestFit="1" customWidth="1"/>
    <col min="16117" max="16117" width="10.85546875" style="178" customWidth="1"/>
    <col min="16118" max="16118" width="11.5703125" style="178" customWidth="1"/>
    <col min="16119" max="16119" width="11.140625" style="178" bestFit="1" customWidth="1"/>
    <col min="16120" max="16120" width="11" style="178" customWidth="1"/>
    <col min="16121" max="16121" width="10.42578125" style="178" customWidth="1"/>
    <col min="16122" max="16122" width="11.28515625" style="178" customWidth="1"/>
    <col min="16123" max="16124" width="9.140625" style="178" bestFit="1" customWidth="1"/>
    <col min="16125" max="16126" width="11.140625" style="178" bestFit="1" customWidth="1"/>
    <col min="16127" max="16127" width="11.5703125" style="178" bestFit="1" customWidth="1"/>
    <col min="16128" max="16128" width="9.140625" style="178" bestFit="1" customWidth="1"/>
    <col min="16129" max="16129" width="10.28515625" style="178" customWidth="1"/>
    <col min="16130" max="16384" width="9.140625" style="178"/>
  </cols>
  <sheetData>
    <row r="1" spans="1:16" ht="72" customHeight="1">
      <c r="A1" s="1983" t="s">
        <v>570</v>
      </c>
      <c r="B1" s="1984"/>
      <c r="C1" s="1984"/>
      <c r="D1" s="1984"/>
      <c r="E1" s="1984"/>
      <c r="F1" s="1984"/>
      <c r="G1" s="1984"/>
      <c r="H1" s="1984"/>
      <c r="I1" s="1984"/>
      <c r="J1" s="1984"/>
      <c r="K1" s="1984"/>
      <c r="L1" s="1984"/>
      <c r="M1" s="1984"/>
      <c r="N1" s="178"/>
      <c r="O1" s="178"/>
      <c r="P1" s="178"/>
    </row>
    <row r="2" spans="1:16" ht="16.5" customHeight="1" thickBot="1">
      <c r="A2" s="795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1120" t="s">
        <v>0</v>
      </c>
      <c r="N2" s="178"/>
      <c r="O2" s="178"/>
      <c r="P2" s="178"/>
    </row>
    <row r="3" spans="1:16" s="1125" customFormat="1" ht="69" customHeight="1" thickBot="1">
      <c r="A3" s="1121" t="s">
        <v>1</v>
      </c>
      <c r="B3" s="1122" t="s">
        <v>2</v>
      </c>
      <c r="C3" s="1121" t="s">
        <v>3</v>
      </c>
      <c r="D3" s="1123" t="s">
        <v>4</v>
      </c>
      <c r="E3" s="1124" t="s">
        <v>557</v>
      </c>
      <c r="F3" s="1124" t="s">
        <v>153</v>
      </c>
      <c r="G3" s="1124"/>
      <c r="H3" s="1124" t="s">
        <v>180</v>
      </c>
      <c r="I3" s="1124" t="s">
        <v>5</v>
      </c>
      <c r="J3" s="1124" t="s">
        <v>178</v>
      </c>
      <c r="K3" s="1124" t="s">
        <v>558</v>
      </c>
      <c r="L3" s="1124" t="s">
        <v>517</v>
      </c>
      <c r="M3" s="1124" t="s">
        <v>358</v>
      </c>
    </row>
    <row r="4" spans="1:16" s="1132" customFormat="1" ht="10.5" thickBot="1">
      <c r="A4" s="1126" t="s">
        <v>6</v>
      </c>
      <c r="B4" s="2127" t="s">
        <v>7</v>
      </c>
      <c r="C4" s="2127"/>
      <c r="D4" s="1127" t="s">
        <v>8</v>
      </c>
      <c r="E4" s="1128" t="s">
        <v>9</v>
      </c>
      <c r="F4" s="1128" t="s">
        <v>10</v>
      </c>
      <c r="G4" s="1128"/>
      <c r="H4" s="1129" t="s">
        <v>10</v>
      </c>
      <c r="I4" s="1128" t="s">
        <v>12</v>
      </c>
      <c r="J4" s="1128" t="s">
        <v>11</v>
      </c>
      <c r="K4" s="1128" t="s">
        <v>11</v>
      </c>
      <c r="L4" s="1130" t="s">
        <v>202</v>
      </c>
      <c r="M4" s="1131" t="s">
        <v>12</v>
      </c>
    </row>
    <row r="5" spans="1:16" s="1044" customFormat="1" ht="20.100000000000001" customHeight="1">
      <c r="A5" s="392" t="s">
        <v>571</v>
      </c>
      <c r="B5" s="393"/>
      <c r="C5" s="812" t="s">
        <v>572</v>
      </c>
      <c r="D5" s="393"/>
      <c r="E5" s="395">
        <f>SUM(E6)</f>
        <v>2985463</v>
      </c>
      <c r="F5" s="395">
        <f>SUM(F6)</f>
        <v>2779441</v>
      </c>
      <c r="G5" s="395"/>
      <c r="H5" s="395">
        <f>SUM(H6)</f>
        <v>107641</v>
      </c>
      <c r="I5" s="396">
        <f>H5/E5</f>
        <v>3.6055044058492768E-2</v>
      </c>
      <c r="J5" s="395">
        <f>SUM(J6)</f>
        <v>0</v>
      </c>
      <c r="K5" s="1151">
        <f>SUM(K6)</f>
        <v>107641</v>
      </c>
      <c r="L5" s="1318">
        <f>K5/E5</f>
        <v>3.6055044058492768E-2</v>
      </c>
      <c r="M5" s="1200"/>
      <c r="N5" s="285"/>
      <c r="O5" s="285"/>
      <c r="P5" s="285"/>
    </row>
    <row r="6" spans="1:16" s="189" customFormat="1">
      <c r="A6" s="1929"/>
      <c r="B6" s="2128" t="s">
        <v>573</v>
      </c>
      <c r="C6" s="1319" t="s">
        <v>574</v>
      </c>
      <c r="D6" s="1320"/>
      <c r="E6" s="1321">
        <f>SUM(E7,E18)</f>
        <v>2985463</v>
      </c>
      <c r="F6" s="1321">
        <f>SUM(F7,F18)</f>
        <v>2779441</v>
      </c>
      <c r="G6" s="1321"/>
      <c r="H6" s="1321">
        <f>SUM(H7,H18)</f>
        <v>107641</v>
      </c>
      <c r="I6" s="1134">
        <f>H6/E6</f>
        <v>3.6055044058492768E-2</v>
      </c>
      <c r="J6" s="1321">
        <f>SUM(J7,J18)</f>
        <v>0</v>
      </c>
      <c r="K6" s="445">
        <f>SUM(K7,K18)</f>
        <v>107641</v>
      </c>
      <c r="L6" s="1322">
        <f t="shared" ref="L6:L69" si="0">K6/E6</f>
        <v>3.6055044058492768E-2</v>
      </c>
      <c r="M6" s="2120" t="s">
        <v>575</v>
      </c>
      <c r="N6" s="289"/>
      <c r="O6" s="289"/>
      <c r="P6" s="289"/>
    </row>
    <row r="7" spans="1:16" s="189" customFormat="1">
      <c r="A7" s="1930"/>
      <c r="B7" s="2128"/>
      <c r="C7" s="901" t="s">
        <v>18</v>
      </c>
      <c r="D7" s="1323"/>
      <c r="E7" s="903">
        <f>SUM(E8,E11,E14,E15,E16,E17)</f>
        <v>2985463</v>
      </c>
      <c r="F7" s="903">
        <f>SUM(F8,F11,F14,F15,F16,F17)</f>
        <v>2778295</v>
      </c>
      <c r="G7" s="903">
        <f>SUM(G8,G11,G14,G15,G16,G17)</f>
        <v>0</v>
      </c>
      <c r="H7" s="903">
        <f>SUM(H8,H11,H14,H15,H16,H17)</f>
        <v>107641</v>
      </c>
      <c r="I7" s="808">
        <f>H7/E7</f>
        <v>3.6055044058492768E-2</v>
      </c>
      <c r="J7" s="903">
        <f>SUM(J8,J11,J14,J15,J16,J17)</f>
        <v>0</v>
      </c>
      <c r="K7" s="447">
        <f>SUM(K8,K11,K14,K15,K16,K17)</f>
        <v>107641</v>
      </c>
      <c r="L7" s="1324">
        <f t="shared" si="0"/>
        <v>3.6055044058492768E-2</v>
      </c>
      <c r="M7" s="2125"/>
      <c r="N7" s="289"/>
      <c r="O7" s="289"/>
      <c r="P7" s="289"/>
    </row>
    <row r="8" spans="1:16">
      <c r="A8" s="1930"/>
      <c r="B8" s="2128"/>
      <c r="C8" s="904" t="s">
        <v>19</v>
      </c>
      <c r="D8" s="1325"/>
      <c r="E8" s="906"/>
      <c r="F8" s="906"/>
      <c r="G8" s="906"/>
      <c r="H8" s="906">
        <f>SUM(H9:H10)</f>
        <v>0</v>
      </c>
      <c r="I8" s="808"/>
      <c r="J8" s="906">
        <f>SUM(J9:J10)</f>
        <v>0</v>
      </c>
      <c r="K8" s="406"/>
      <c r="L8" s="1326"/>
      <c r="M8" s="2125"/>
    </row>
    <row r="9" spans="1:16">
      <c r="A9" s="1930"/>
      <c r="B9" s="2128"/>
      <c r="C9" s="904" t="s">
        <v>20</v>
      </c>
      <c r="D9" s="1325"/>
      <c r="E9" s="906"/>
      <c r="F9" s="906"/>
      <c r="G9" s="906"/>
      <c r="H9" s="906"/>
      <c r="I9" s="808"/>
      <c r="J9" s="906"/>
      <c r="K9" s="406"/>
      <c r="L9" s="1326"/>
      <c r="M9" s="2125"/>
    </row>
    <row r="10" spans="1:16" ht="14.25" customHeight="1">
      <c r="A10" s="1930"/>
      <c r="B10" s="2128"/>
      <c r="C10" s="910" t="s">
        <v>21</v>
      </c>
      <c r="D10" s="1327"/>
      <c r="E10" s="906"/>
      <c r="F10" s="906"/>
      <c r="G10" s="906"/>
      <c r="H10" s="906"/>
      <c r="I10" s="808"/>
      <c r="J10" s="906"/>
      <c r="K10" s="406"/>
      <c r="L10" s="1326"/>
      <c r="M10" s="2125"/>
    </row>
    <row r="11" spans="1:16">
      <c r="A11" s="1930"/>
      <c r="B11" s="2128"/>
      <c r="C11" s="1938" t="s">
        <v>23</v>
      </c>
      <c r="D11" s="1325" t="s">
        <v>22</v>
      </c>
      <c r="E11" s="906">
        <f>SUM(E12:E13)</f>
        <v>2985463</v>
      </c>
      <c r="F11" s="906">
        <f>SUM(F12:F13)</f>
        <v>2778295</v>
      </c>
      <c r="G11" s="906">
        <f>SUM(G12:G13)</f>
        <v>0</v>
      </c>
      <c r="H11" s="906">
        <f>SUM(H12:H13)</f>
        <v>107641</v>
      </c>
      <c r="I11" s="809">
        <f>H11/E11</f>
        <v>3.6055044058492768E-2</v>
      </c>
      <c r="J11" s="906">
        <f>SUM(J12:J13)</f>
        <v>0</v>
      </c>
      <c r="K11" s="406">
        <f>SUM(K12:K13)</f>
        <v>107641</v>
      </c>
      <c r="L11" s="1326">
        <f t="shared" si="0"/>
        <v>3.6055044058492768E-2</v>
      </c>
      <c r="M11" s="2125"/>
    </row>
    <row r="12" spans="1:16">
      <c r="A12" s="1930"/>
      <c r="B12" s="2128"/>
      <c r="C12" s="1939"/>
      <c r="D12" s="1328">
        <v>2009</v>
      </c>
      <c r="E12" s="1329">
        <v>2985463</v>
      </c>
      <c r="F12" s="1329">
        <v>2766624</v>
      </c>
      <c r="G12" s="1329"/>
      <c r="H12" s="1329">
        <v>107641</v>
      </c>
      <c r="I12" s="809">
        <f>H12/E12</f>
        <v>3.6055044058492768E-2</v>
      </c>
      <c r="J12" s="1329"/>
      <c r="K12" s="471">
        <f t="shared" ref="K12:K13" si="1">H12+J12</f>
        <v>107641</v>
      </c>
      <c r="L12" s="1326">
        <f t="shared" si="0"/>
        <v>3.6055044058492768E-2</v>
      </c>
      <c r="M12" s="2125"/>
    </row>
    <row r="13" spans="1:16">
      <c r="A13" s="1930"/>
      <c r="B13" s="2128"/>
      <c r="C13" s="2117"/>
      <c r="D13" s="1328">
        <v>2959</v>
      </c>
      <c r="E13" s="1329">
        <v>0</v>
      </c>
      <c r="F13" s="1329">
        <v>11671</v>
      </c>
      <c r="G13" s="1329"/>
      <c r="H13" s="1329">
        <v>0</v>
      </c>
      <c r="I13" s="809"/>
      <c r="J13" s="1329"/>
      <c r="K13" s="471">
        <f t="shared" si="1"/>
        <v>0</v>
      </c>
      <c r="L13" s="1326"/>
      <c r="M13" s="2125"/>
    </row>
    <row r="14" spans="1:16">
      <c r="A14" s="1930"/>
      <c r="B14" s="2128"/>
      <c r="C14" s="904" t="s">
        <v>24</v>
      </c>
      <c r="D14" s="1325"/>
      <c r="E14" s="906"/>
      <c r="F14" s="906"/>
      <c r="G14" s="906"/>
      <c r="H14" s="906"/>
      <c r="I14" s="808"/>
      <c r="J14" s="906"/>
      <c r="K14" s="406"/>
      <c r="L14" s="1326"/>
      <c r="M14" s="2125"/>
    </row>
    <row r="15" spans="1:16" ht="20.100000000000001" customHeight="1">
      <c r="A15" s="1930"/>
      <c r="B15" s="2128"/>
      <c r="C15" s="174" t="s">
        <v>25</v>
      </c>
      <c r="D15" s="1325"/>
      <c r="E15" s="906"/>
      <c r="F15" s="906"/>
      <c r="G15" s="906"/>
      <c r="H15" s="906"/>
      <c r="I15" s="808"/>
      <c r="J15" s="906"/>
      <c r="K15" s="406"/>
      <c r="L15" s="1326"/>
      <c r="M15" s="2125"/>
    </row>
    <row r="16" spans="1:16">
      <c r="A16" s="1930"/>
      <c r="B16" s="2128"/>
      <c r="C16" s="904" t="s">
        <v>26</v>
      </c>
      <c r="D16" s="1325"/>
      <c r="E16" s="906"/>
      <c r="F16" s="906"/>
      <c r="G16" s="906"/>
      <c r="H16" s="906"/>
      <c r="I16" s="808"/>
      <c r="J16" s="906"/>
      <c r="K16" s="406"/>
      <c r="L16" s="1326"/>
      <c r="M16" s="2125"/>
    </row>
    <row r="17" spans="1:16">
      <c r="A17" s="1930"/>
      <c r="B17" s="2128"/>
      <c r="C17" s="904" t="s">
        <v>27</v>
      </c>
      <c r="D17" s="1325"/>
      <c r="E17" s="906"/>
      <c r="F17" s="906"/>
      <c r="G17" s="906"/>
      <c r="H17" s="906"/>
      <c r="I17" s="808"/>
      <c r="J17" s="906"/>
      <c r="K17" s="406"/>
      <c r="L17" s="1326"/>
      <c r="M17" s="2125"/>
    </row>
    <row r="18" spans="1:16">
      <c r="A18" s="1930"/>
      <c r="B18" s="2128"/>
      <c r="C18" s="911" t="s">
        <v>28</v>
      </c>
      <c r="D18" s="1330"/>
      <c r="E18" s="903">
        <f>SUM(E19,E21,E22)</f>
        <v>0</v>
      </c>
      <c r="F18" s="903">
        <f>SUM(F19,F21,F22)</f>
        <v>1146</v>
      </c>
      <c r="G18" s="903">
        <f>SUM(G19,G21,G22)</f>
        <v>0</v>
      </c>
      <c r="H18" s="903">
        <f>SUM(H19,H21,H22)</f>
        <v>0</v>
      </c>
      <c r="I18" s="808"/>
      <c r="J18" s="903">
        <f>SUM(J19,J21,J22)</f>
        <v>0</v>
      </c>
      <c r="K18" s="447">
        <f>SUM(K19,K21,K22)</f>
        <v>0</v>
      </c>
      <c r="L18" s="1326"/>
      <c r="M18" s="2125"/>
    </row>
    <row r="19" spans="1:16" s="977" customFormat="1">
      <c r="A19" s="1930"/>
      <c r="B19" s="2128"/>
      <c r="C19" s="404" t="s">
        <v>29</v>
      </c>
      <c r="D19" s="1325">
        <v>6669</v>
      </c>
      <c r="E19" s="906">
        <v>0</v>
      </c>
      <c r="F19" s="906">
        <v>1146</v>
      </c>
      <c r="G19" s="906"/>
      <c r="H19" s="906">
        <v>0</v>
      </c>
      <c r="I19" s="809"/>
      <c r="J19" s="906"/>
      <c r="K19" s="406">
        <f>J19+H19</f>
        <v>0</v>
      </c>
      <c r="L19" s="1326"/>
      <c r="M19" s="2125"/>
      <c r="N19" s="1144"/>
      <c r="O19" s="1144"/>
      <c r="P19" s="1144"/>
    </row>
    <row r="20" spans="1:16" ht="20.100000000000001" customHeight="1">
      <c r="A20" s="1930"/>
      <c r="B20" s="2128"/>
      <c r="C20" s="174" t="s">
        <v>30</v>
      </c>
      <c r="D20" s="1327"/>
      <c r="E20" s="906"/>
      <c r="F20" s="906"/>
      <c r="G20" s="906"/>
      <c r="H20" s="906"/>
      <c r="I20" s="808"/>
      <c r="J20" s="906"/>
      <c r="K20" s="406"/>
      <c r="L20" s="1326"/>
      <c r="M20" s="2125"/>
    </row>
    <row r="21" spans="1:16">
      <c r="A21" s="1930"/>
      <c r="B21" s="2128"/>
      <c r="C21" s="904" t="s">
        <v>31</v>
      </c>
      <c r="D21" s="1325"/>
      <c r="E21" s="906"/>
      <c r="F21" s="906"/>
      <c r="G21" s="906"/>
      <c r="H21" s="906"/>
      <c r="I21" s="808"/>
      <c r="J21" s="906"/>
      <c r="K21" s="406"/>
      <c r="L21" s="1326"/>
      <c r="M21" s="2125"/>
    </row>
    <row r="22" spans="1:16" s="189" customFormat="1">
      <c r="A22" s="2119"/>
      <c r="B22" s="2128"/>
      <c r="C22" s="904" t="s">
        <v>32</v>
      </c>
      <c r="D22" s="1325"/>
      <c r="E22" s="903"/>
      <c r="F22" s="903"/>
      <c r="G22" s="903"/>
      <c r="H22" s="903"/>
      <c r="I22" s="808"/>
      <c r="J22" s="903"/>
      <c r="K22" s="406"/>
      <c r="L22" s="1326"/>
      <c r="M22" s="2126"/>
      <c r="N22" s="289"/>
      <c r="O22" s="289"/>
      <c r="P22" s="289"/>
    </row>
    <row r="23" spans="1:16" s="1044" customFormat="1" ht="20.100000000000001" customHeight="1">
      <c r="A23" s="799" t="s">
        <v>57</v>
      </c>
      <c r="B23" s="764"/>
      <c r="C23" s="1331" t="s">
        <v>58</v>
      </c>
      <c r="D23" s="764"/>
      <c r="E23" s="591">
        <f>SUM(E24)</f>
        <v>0</v>
      </c>
      <c r="F23" s="591">
        <f>SUM(F24)</f>
        <v>83597</v>
      </c>
      <c r="G23" s="591"/>
      <c r="H23" s="591">
        <f>SUM(H24)</f>
        <v>0</v>
      </c>
      <c r="I23" s="1145"/>
      <c r="J23" s="591">
        <f>SUM(J24)</f>
        <v>0</v>
      </c>
      <c r="K23" s="488">
        <f>SUM(K24)</f>
        <v>0</v>
      </c>
      <c r="L23" s="1332"/>
      <c r="M23" s="1201"/>
      <c r="N23" s="285"/>
      <c r="O23" s="285"/>
      <c r="P23" s="285"/>
    </row>
    <row r="24" spans="1:16" s="189" customFormat="1">
      <c r="A24" s="1929"/>
      <c r="B24" s="2128" t="s">
        <v>121</v>
      </c>
      <c r="C24" s="1319" t="s">
        <v>17</v>
      </c>
      <c r="D24" s="1320"/>
      <c r="E24" s="1321">
        <f>SUM(E25,E34)</f>
        <v>0</v>
      </c>
      <c r="F24" s="1321">
        <f>SUM(F25,F34)</f>
        <v>83597</v>
      </c>
      <c r="G24" s="1321"/>
      <c r="H24" s="1321">
        <f>SUM(H25,H34)</f>
        <v>0</v>
      </c>
      <c r="I24" s="1134"/>
      <c r="J24" s="1321">
        <f>SUM(J25,J34)</f>
        <v>0</v>
      </c>
      <c r="K24" s="445">
        <f>SUM(K25,K34)</f>
        <v>0</v>
      </c>
      <c r="L24" s="1333"/>
      <c r="M24" s="2120"/>
      <c r="N24" s="289"/>
      <c r="O24" s="289"/>
      <c r="P24" s="289"/>
    </row>
    <row r="25" spans="1:16" s="189" customFormat="1">
      <c r="A25" s="1930"/>
      <c r="B25" s="2128"/>
      <c r="C25" s="901" t="s">
        <v>18</v>
      </c>
      <c r="D25" s="1323"/>
      <c r="E25" s="903">
        <f>SUM(E26,E29,E30,E31,E32,E33)</f>
        <v>0</v>
      </c>
      <c r="F25" s="903">
        <f>SUM(F26,F29,F30,F31,F32,F33)</f>
        <v>0</v>
      </c>
      <c r="G25" s="903">
        <f>SUM(G26,G29,G30,G31,G32,G33)</f>
        <v>0</v>
      </c>
      <c r="H25" s="903">
        <f>SUM(H26,H29,H30,H31,H32,H33)</f>
        <v>0</v>
      </c>
      <c r="I25" s="808"/>
      <c r="J25" s="903">
        <f>SUM(J26,J29,J30,J31,J32,J33)</f>
        <v>0</v>
      </c>
      <c r="K25" s="447">
        <f>SUM(K26,K29,K30,K31,K32,K33)</f>
        <v>0</v>
      </c>
      <c r="L25" s="1326"/>
      <c r="M25" s="2125"/>
      <c r="N25" s="289"/>
      <c r="O25" s="289"/>
      <c r="P25" s="289"/>
    </row>
    <row r="26" spans="1:16">
      <c r="A26" s="1930"/>
      <c r="B26" s="2128"/>
      <c r="C26" s="904" t="s">
        <v>19</v>
      </c>
      <c r="D26" s="1325"/>
      <c r="E26" s="906"/>
      <c r="F26" s="906"/>
      <c r="G26" s="906"/>
      <c r="H26" s="906">
        <f>SUM(H27:H28)</f>
        <v>0</v>
      </c>
      <c r="I26" s="808"/>
      <c r="J26" s="906">
        <f>SUM(J27:J28)</f>
        <v>0</v>
      </c>
      <c r="K26" s="406"/>
      <c r="L26" s="1326"/>
      <c r="M26" s="2125"/>
    </row>
    <row r="27" spans="1:16">
      <c r="A27" s="1930"/>
      <c r="B27" s="2128"/>
      <c r="C27" s="904" t="s">
        <v>20</v>
      </c>
      <c r="D27" s="1325"/>
      <c r="E27" s="906"/>
      <c r="F27" s="906"/>
      <c r="G27" s="906"/>
      <c r="H27" s="906"/>
      <c r="I27" s="808"/>
      <c r="J27" s="906"/>
      <c r="K27" s="406"/>
      <c r="L27" s="1326"/>
      <c r="M27" s="2125"/>
    </row>
    <row r="28" spans="1:16" ht="15.75" customHeight="1">
      <c r="A28" s="1930"/>
      <c r="B28" s="2128"/>
      <c r="C28" s="910" t="s">
        <v>21</v>
      </c>
      <c r="D28" s="1327"/>
      <c r="E28" s="906"/>
      <c r="F28" s="906"/>
      <c r="G28" s="906"/>
      <c r="H28" s="906"/>
      <c r="I28" s="808"/>
      <c r="J28" s="906"/>
      <c r="K28" s="406"/>
      <c r="L28" s="1326"/>
      <c r="M28" s="2125"/>
    </row>
    <row r="29" spans="1:16">
      <c r="A29" s="1930"/>
      <c r="B29" s="2128"/>
      <c r="C29" s="404" t="s">
        <v>23</v>
      </c>
      <c r="D29" s="1325"/>
      <c r="E29" s="906"/>
      <c r="F29" s="906"/>
      <c r="G29" s="906"/>
      <c r="H29" s="906"/>
      <c r="I29" s="809"/>
      <c r="J29" s="906"/>
      <c r="K29" s="406"/>
      <c r="L29" s="1326"/>
      <c r="M29" s="2125"/>
    </row>
    <row r="30" spans="1:16">
      <c r="A30" s="1930"/>
      <c r="B30" s="2128"/>
      <c r="C30" s="904" t="s">
        <v>24</v>
      </c>
      <c r="D30" s="1325"/>
      <c r="E30" s="906"/>
      <c r="F30" s="906"/>
      <c r="G30" s="906"/>
      <c r="H30" s="906"/>
      <c r="I30" s="808"/>
      <c r="J30" s="906"/>
      <c r="K30" s="406"/>
      <c r="L30" s="1326"/>
      <c r="M30" s="2125"/>
    </row>
    <row r="31" spans="1:16" ht="22.5">
      <c r="A31" s="1930"/>
      <c r="B31" s="2128"/>
      <c r="C31" s="174" t="s">
        <v>25</v>
      </c>
      <c r="D31" s="1325"/>
      <c r="E31" s="906"/>
      <c r="F31" s="906"/>
      <c r="G31" s="906"/>
      <c r="H31" s="906"/>
      <c r="I31" s="808"/>
      <c r="J31" s="906"/>
      <c r="K31" s="406"/>
      <c r="L31" s="1326"/>
      <c r="M31" s="2125"/>
    </row>
    <row r="32" spans="1:16">
      <c r="A32" s="1930"/>
      <c r="B32" s="2128"/>
      <c r="C32" s="904" t="s">
        <v>26</v>
      </c>
      <c r="D32" s="1325"/>
      <c r="E32" s="906"/>
      <c r="F32" s="906"/>
      <c r="G32" s="906"/>
      <c r="H32" s="906"/>
      <c r="I32" s="808"/>
      <c r="J32" s="906"/>
      <c r="K32" s="406"/>
      <c r="L32" s="1326"/>
      <c r="M32" s="2125"/>
    </row>
    <row r="33" spans="1:16">
      <c r="A33" s="1930"/>
      <c r="B33" s="2128"/>
      <c r="C33" s="904" t="s">
        <v>27</v>
      </c>
      <c r="D33" s="1325"/>
      <c r="E33" s="906"/>
      <c r="F33" s="906"/>
      <c r="G33" s="906"/>
      <c r="H33" s="906"/>
      <c r="I33" s="808"/>
      <c r="J33" s="906"/>
      <c r="K33" s="406"/>
      <c r="L33" s="1326"/>
      <c r="M33" s="2125"/>
    </row>
    <row r="34" spans="1:16">
      <c r="A34" s="1930"/>
      <c r="B34" s="2128"/>
      <c r="C34" s="911" t="s">
        <v>28</v>
      </c>
      <c r="D34" s="1330"/>
      <c r="E34" s="903">
        <f>SUM(E35,E37,E38)</f>
        <v>0</v>
      </c>
      <c r="F34" s="903">
        <f>SUM(F35,F37,F38)</f>
        <v>83597</v>
      </c>
      <c r="G34" s="903">
        <f>SUM(G35,G37,G38)</f>
        <v>0</v>
      </c>
      <c r="H34" s="903">
        <f>SUM(H35,H37,H38)</f>
        <v>0</v>
      </c>
      <c r="I34" s="808"/>
      <c r="J34" s="903">
        <f>SUM(J35,J37,J38)</f>
        <v>0</v>
      </c>
      <c r="K34" s="447">
        <f>SUM(K35,K37,K38)</f>
        <v>0</v>
      </c>
      <c r="L34" s="1326"/>
      <c r="M34" s="2125"/>
    </row>
    <row r="35" spans="1:16" s="977" customFormat="1" ht="20.100000000000001" customHeight="1">
      <c r="A35" s="1930"/>
      <c r="B35" s="2128"/>
      <c r="C35" s="404" t="s">
        <v>29</v>
      </c>
      <c r="D35" s="1325">
        <v>6259</v>
      </c>
      <c r="E35" s="906">
        <v>0</v>
      </c>
      <c r="F35" s="906">
        <v>83597</v>
      </c>
      <c r="G35" s="906"/>
      <c r="H35" s="906">
        <v>0</v>
      </c>
      <c r="I35" s="809"/>
      <c r="J35" s="906"/>
      <c r="K35" s="406">
        <f>J35+H35</f>
        <v>0</v>
      </c>
      <c r="L35" s="1326"/>
      <c r="M35" s="2125"/>
      <c r="N35" s="1144"/>
      <c r="O35" s="1144"/>
      <c r="P35" s="1144"/>
    </row>
    <row r="36" spans="1:16" ht="20.100000000000001" customHeight="1">
      <c r="A36" s="1930"/>
      <c r="B36" s="2128"/>
      <c r="C36" s="174" t="s">
        <v>30</v>
      </c>
      <c r="D36" s="1327"/>
      <c r="E36" s="906"/>
      <c r="F36" s="906"/>
      <c r="G36" s="906"/>
      <c r="H36" s="906"/>
      <c r="I36" s="808"/>
      <c r="J36" s="906"/>
      <c r="K36" s="406"/>
      <c r="L36" s="1326"/>
      <c r="M36" s="2125"/>
    </row>
    <row r="37" spans="1:16">
      <c r="A37" s="1930"/>
      <c r="B37" s="2128"/>
      <c r="C37" s="904" t="s">
        <v>31</v>
      </c>
      <c r="D37" s="1325"/>
      <c r="E37" s="906"/>
      <c r="F37" s="906"/>
      <c r="G37" s="906"/>
      <c r="H37" s="906"/>
      <c r="I37" s="808"/>
      <c r="J37" s="906"/>
      <c r="K37" s="406"/>
      <c r="L37" s="1326"/>
      <c r="M37" s="2125"/>
    </row>
    <row r="38" spans="1:16" s="189" customFormat="1" ht="13.5" thickBot="1">
      <c r="A38" s="1931"/>
      <c r="B38" s="1933"/>
      <c r="C38" s="679" t="s">
        <v>32</v>
      </c>
      <c r="D38" s="680"/>
      <c r="E38" s="683"/>
      <c r="F38" s="683"/>
      <c r="G38" s="683"/>
      <c r="H38" s="683"/>
      <c r="I38" s="1153"/>
      <c r="J38" s="683"/>
      <c r="K38" s="627"/>
      <c r="L38" s="1326"/>
      <c r="M38" s="2136"/>
      <c r="N38" s="289"/>
      <c r="O38" s="289"/>
      <c r="P38" s="289"/>
    </row>
    <row r="39" spans="1:16" s="1044" customFormat="1" ht="20.100000000000001" customHeight="1">
      <c r="A39" s="392" t="s">
        <v>60</v>
      </c>
      <c r="B39" s="393"/>
      <c r="C39" s="812" t="s">
        <v>61</v>
      </c>
      <c r="D39" s="393"/>
      <c r="E39" s="395">
        <f>E40+E55</f>
        <v>205036</v>
      </c>
      <c r="F39" s="395">
        <f>F40+F55</f>
        <v>476751</v>
      </c>
      <c r="G39" s="395">
        <f>G40+G55</f>
        <v>0</v>
      </c>
      <c r="H39" s="395">
        <f>H40+H55</f>
        <v>74363</v>
      </c>
      <c r="I39" s="396">
        <f>H39/E39</f>
        <v>0.36268265085155776</v>
      </c>
      <c r="J39" s="395">
        <f>J40+J55</f>
        <v>0</v>
      </c>
      <c r="K39" s="1151">
        <f>K40+K55</f>
        <v>74363</v>
      </c>
      <c r="L39" s="1332">
        <f t="shared" si="0"/>
        <v>0.36268265085155776</v>
      </c>
      <c r="M39" s="1202"/>
      <c r="N39" s="285"/>
      <c r="O39" s="285"/>
      <c r="P39" s="285"/>
    </row>
    <row r="40" spans="1:16" s="189" customFormat="1">
      <c r="A40" s="1929"/>
      <c r="B40" s="2128" t="s">
        <v>62</v>
      </c>
      <c r="C40" s="1319" t="s">
        <v>63</v>
      </c>
      <c r="D40" s="1320"/>
      <c r="E40" s="1321">
        <f>SUM(E41,E50)</f>
        <v>205036</v>
      </c>
      <c r="F40" s="1321">
        <f>SUM(F41,F50)</f>
        <v>476751</v>
      </c>
      <c r="G40" s="1321"/>
      <c r="H40" s="1321">
        <f>SUM(H41,H50)</f>
        <v>74363</v>
      </c>
      <c r="I40" s="1134">
        <f>H40/E40</f>
        <v>0.36268265085155776</v>
      </c>
      <c r="J40" s="1321">
        <f>SUM(J41,J50)</f>
        <v>0</v>
      </c>
      <c r="K40" s="445">
        <f>SUM(K41,K50)</f>
        <v>74363</v>
      </c>
      <c r="L40" s="1333">
        <f t="shared" si="0"/>
        <v>0.36268265085155776</v>
      </c>
      <c r="M40" s="2120" t="s">
        <v>576</v>
      </c>
      <c r="N40" s="289"/>
      <c r="O40" s="289"/>
      <c r="P40" s="289"/>
    </row>
    <row r="41" spans="1:16" s="189" customFormat="1">
      <c r="A41" s="1930"/>
      <c r="B41" s="2128"/>
      <c r="C41" s="901" t="s">
        <v>18</v>
      </c>
      <c r="D41" s="1323"/>
      <c r="E41" s="903">
        <f>SUM(E42,E45,E46,E47,E48,E49)</f>
        <v>0</v>
      </c>
      <c r="F41" s="903">
        <f>SUM(F42,F45,F46,F47,F48,F49)</f>
        <v>0</v>
      </c>
      <c r="G41" s="903">
        <f>SUM(G42,G45,G46,G47,G48,G49)</f>
        <v>0</v>
      </c>
      <c r="H41" s="903">
        <f>SUM(H42,H45,H46,H47,H48,H49)</f>
        <v>0</v>
      </c>
      <c r="I41" s="808"/>
      <c r="J41" s="903">
        <f>SUM(J42,J45,J46,J47,J48,J49)</f>
        <v>0</v>
      </c>
      <c r="K41" s="447">
        <f>SUM(K42,K45,K46,K47,K48,K49)</f>
        <v>0</v>
      </c>
      <c r="L41" s="1326"/>
      <c r="M41" s="2125"/>
      <c r="N41" s="289"/>
      <c r="O41" s="289"/>
      <c r="P41" s="289"/>
    </row>
    <row r="42" spans="1:16" ht="15.75" customHeight="1">
      <c r="A42" s="1930"/>
      <c r="B42" s="2128"/>
      <c r="C42" s="904" t="s">
        <v>19</v>
      </c>
      <c r="D42" s="1325"/>
      <c r="E42" s="906"/>
      <c r="F42" s="906"/>
      <c r="G42" s="906"/>
      <c r="H42" s="906">
        <f>SUM(H43:H44)</f>
        <v>0</v>
      </c>
      <c r="I42" s="808"/>
      <c r="J42" s="906">
        <f>SUM(J43:J44)</f>
        <v>0</v>
      </c>
      <c r="K42" s="406"/>
      <c r="L42" s="1326"/>
      <c r="M42" s="2125"/>
    </row>
    <row r="43" spans="1:16" ht="15" customHeight="1">
      <c r="A43" s="1930"/>
      <c r="B43" s="2128"/>
      <c r="C43" s="904" t="s">
        <v>20</v>
      </c>
      <c r="D43" s="1325"/>
      <c r="E43" s="906"/>
      <c r="F43" s="906"/>
      <c r="G43" s="906"/>
      <c r="H43" s="906"/>
      <c r="I43" s="808"/>
      <c r="J43" s="906"/>
      <c r="K43" s="406"/>
      <c r="L43" s="1326"/>
      <c r="M43" s="2125"/>
    </row>
    <row r="44" spans="1:16" ht="14.25" customHeight="1">
      <c r="A44" s="1930"/>
      <c r="B44" s="2128"/>
      <c r="C44" s="910" t="s">
        <v>21</v>
      </c>
      <c r="D44" s="1327"/>
      <c r="E44" s="906"/>
      <c r="F44" s="906"/>
      <c r="G44" s="906"/>
      <c r="H44" s="906"/>
      <c r="I44" s="808"/>
      <c r="J44" s="906"/>
      <c r="K44" s="406"/>
      <c r="L44" s="1326"/>
      <c r="M44" s="2125"/>
    </row>
    <row r="45" spans="1:16" ht="14.25" customHeight="1">
      <c r="A45" s="1930"/>
      <c r="B45" s="2128"/>
      <c r="C45" s="404" t="s">
        <v>23</v>
      </c>
      <c r="D45" s="1325"/>
      <c r="E45" s="906"/>
      <c r="F45" s="906"/>
      <c r="G45" s="906"/>
      <c r="H45" s="906"/>
      <c r="I45" s="809"/>
      <c r="J45" s="906"/>
      <c r="K45" s="406"/>
      <c r="L45" s="1326"/>
      <c r="M45" s="2125"/>
    </row>
    <row r="46" spans="1:16" ht="13.5" customHeight="1">
      <c r="A46" s="1930"/>
      <c r="B46" s="2128"/>
      <c r="C46" s="904" t="s">
        <v>24</v>
      </c>
      <c r="D46" s="1325"/>
      <c r="E46" s="906"/>
      <c r="F46" s="906"/>
      <c r="G46" s="906"/>
      <c r="H46" s="906"/>
      <c r="I46" s="808"/>
      <c r="J46" s="906"/>
      <c r="K46" s="406"/>
      <c r="L46" s="1326"/>
      <c r="M46" s="2125"/>
    </row>
    <row r="47" spans="1:16" ht="20.100000000000001" customHeight="1">
      <c r="A47" s="1930"/>
      <c r="B47" s="2128"/>
      <c r="C47" s="174" t="s">
        <v>25</v>
      </c>
      <c r="D47" s="1325"/>
      <c r="E47" s="906"/>
      <c r="F47" s="906"/>
      <c r="G47" s="906"/>
      <c r="H47" s="906"/>
      <c r="I47" s="808"/>
      <c r="J47" s="906"/>
      <c r="K47" s="406"/>
      <c r="L47" s="1326"/>
      <c r="M47" s="2125"/>
    </row>
    <row r="48" spans="1:16" ht="17.25" customHeight="1">
      <c r="A48" s="1930"/>
      <c r="B48" s="2128"/>
      <c r="C48" s="904" t="s">
        <v>26</v>
      </c>
      <c r="D48" s="1325"/>
      <c r="E48" s="906"/>
      <c r="F48" s="906"/>
      <c r="G48" s="906"/>
      <c r="H48" s="906"/>
      <c r="I48" s="808"/>
      <c r="J48" s="906"/>
      <c r="K48" s="406"/>
      <c r="L48" s="1326"/>
      <c r="M48" s="2125"/>
    </row>
    <row r="49" spans="1:16" ht="15.75" customHeight="1">
      <c r="A49" s="1930"/>
      <c r="B49" s="2128"/>
      <c r="C49" s="904" t="s">
        <v>27</v>
      </c>
      <c r="D49" s="1325"/>
      <c r="E49" s="906"/>
      <c r="F49" s="906"/>
      <c r="G49" s="906"/>
      <c r="H49" s="906"/>
      <c r="I49" s="808"/>
      <c r="J49" s="906"/>
      <c r="K49" s="406"/>
      <c r="L49" s="1326"/>
      <c r="M49" s="2125"/>
    </row>
    <row r="50" spans="1:16">
      <c r="A50" s="1930"/>
      <c r="B50" s="2128"/>
      <c r="C50" s="911" t="s">
        <v>28</v>
      </c>
      <c r="D50" s="1330"/>
      <c r="E50" s="903">
        <f>SUM(E51,E53,E54)</f>
        <v>205036</v>
      </c>
      <c r="F50" s="903">
        <f>SUM(F51,F53,F54)</f>
        <v>476751</v>
      </c>
      <c r="G50" s="903">
        <f>SUM(G51,G53,G54)</f>
        <v>0</v>
      </c>
      <c r="H50" s="903">
        <f>SUM(H51,H53,H54)</f>
        <v>74363</v>
      </c>
      <c r="I50" s="808">
        <f>H50/E50</f>
        <v>0.36268265085155776</v>
      </c>
      <c r="J50" s="903">
        <f>SUM(J51,J53,J54)</f>
        <v>0</v>
      </c>
      <c r="K50" s="447">
        <f>SUM(K51,K53,K54)</f>
        <v>74363</v>
      </c>
      <c r="L50" s="1326">
        <f t="shared" si="0"/>
        <v>0.36268265085155776</v>
      </c>
      <c r="M50" s="2125"/>
    </row>
    <row r="51" spans="1:16" s="977" customFormat="1" ht="20.100000000000001" customHeight="1">
      <c r="A51" s="1930"/>
      <c r="B51" s="2128"/>
      <c r="C51" s="404" t="s">
        <v>29</v>
      </c>
      <c r="D51" s="1325">
        <v>6259</v>
      </c>
      <c r="E51" s="906">
        <v>205036</v>
      </c>
      <c r="F51" s="906">
        <v>476751</v>
      </c>
      <c r="G51" s="906"/>
      <c r="H51" s="906">
        <v>74363</v>
      </c>
      <c r="I51" s="809">
        <f>H51/E51</f>
        <v>0.36268265085155776</v>
      </c>
      <c r="J51" s="906"/>
      <c r="K51" s="406">
        <f>J51+H51</f>
        <v>74363</v>
      </c>
      <c r="L51" s="1326">
        <f t="shared" si="0"/>
        <v>0.36268265085155776</v>
      </c>
      <c r="M51" s="2125"/>
      <c r="N51" s="1144"/>
      <c r="O51" s="1144"/>
      <c r="P51" s="1144"/>
    </row>
    <row r="52" spans="1:16" ht="20.100000000000001" customHeight="1">
      <c r="A52" s="1930"/>
      <c r="B52" s="2128"/>
      <c r="C52" s="174" t="s">
        <v>30</v>
      </c>
      <c r="D52" s="1327"/>
      <c r="E52" s="906"/>
      <c r="F52" s="906"/>
      <c r="G52" s="906"/>
      <c r="H52" s="906"/>
      <c r="I52" s="808"/>
      <c r="J52" s="906"/>
      <c r="K52" s="406"/>
      <c r="L52" s="1326"/>
      <c r="M52" s="2125"/>
    </row>
    <row r="53" spans="1:16">
      <c r="A53" s="1930"/>
      <c r="B53" s="2128"/>
      <c r="C53" s="904" t="s">
        <v>31</v>
      </c>
      <c r="D53" s="1325"/>
      <c r="E53" s="906"/>
      <c r="F53" s="906"/>
      <c r="G53" s="906"/>
      <c r="H53" s="906"/>
      <c r="I53" s="808"/>
      <c r="J53" s="906"/>
      <c r="K53" s="406"/>
      <c r="L53" s="1326"/>
      <c r="M53" s="2125"/>
    </row>
    <row r="54" spans="1:16" s="189" customFormat="1" ht="15" customHeight="1">
      <c r="A54" s="2119"/>
      <c r="B54" s="2128"/>
      <c r="C54" s="904" t="s">
        <v>32</v>
      </c>
      <c r="D54" s="1325"/>
      <c r="E54" s="903"/>
      <c r="F54" s="903"/>
      <c r="G54" s="903"/>
      <c r="H54" s="903"/>
      <c r="I54" s="808"/>
      <c r="J54" s="903"/>
      <c r="K54" s="406"/>
      <c r="L54" s="1326"/>
      <c r="M54" s="2126"/>
      <c r="N54" s="289"/>
      <c r="O54" s="289"/>
      <c r="P54" s="289"/>
    </row>
    <row r="55" spans="1:16" s="189" customFormat="1" ht="20.100000000000001" hidden="1" customHeight="1">
      <c r="A55" s="2129"/>
      <c r="B55" s="2132" t="s">
        <v>64</v>
      </c>
      <c r="C55" s="1334" t="s">
        <v>17</v>
      </c>
      <c r="D55" s="1335"/>
      <c r="E55" s="1336">
        <f>SUM(E56,E65)</f>
        <v>0</v>
      </c>
      <c r="F55" s="1336">
        <f>SUM(F56,F65)</f>
        <v>0</v>
      </c>
      <c r="G55" s="1336"/>
      <c r="H55" s="1336">
        <f>SUM(H56,H65)</f>
        <v>0</v>
      </c>
      <c r="I55" s="1203" t="e">
        <f>H55/E55</f>
        <v>#DIV/0!</v>
      </c>
      <c r="J55" s="1336">
        <f>SUM(J56,J65)</f>
        <v>0</v>
      </c>
      <c r="K55" s="1337">
        <f>SUM(K56,K65)</f>
        <v>0</v>
      </c>
      <c r="L55" s="1338" t="e">
        <f t="shared" si="0"/>
        <v>#DIV/0!</v>
      </c>
      <c r="M55" s="2133" t="s">
        <v>577</v>
      </c>
      <c r="N55" s="289"/>
      <c r="O55" s="289"/>
      <c r="P55" s="289"/>
    </row>
    <row r="56" spans="1:16" s="189" customFormat="1" ht="15" hidden="1" customHeight="1">
      <c r="A56" s="2130"/>
      <c r="B56" s="2132"/>
      <c r="C56" s="1339" t="s">
        <v>18</v>
      </c>
      <c r="D56" s="1340"/>
      <c r="E56" s="1341">
        <f>SUM(E57,E60,E61,E62,E63,E64)</f>
        <v>0</v>
      </c>
      <c r="F56" s="1341">
        <f>SUM(F57,F60,F61,F62,F63,F64)</f>
        <v>0</v>
      </c>
      <c r="G56" s="1341">
        <f>SUM(G57,G60,G61,G62,G63,G64)</f>
        <v>0</v>
      </c>
      <c r="H56" s="1341">
        <f>SUM(H57,H60,H61,H62,H63,H64)</f>
        <v>0</v>
      </c>
      <c r="I56" s="1204"/>
      <c r="J56" s="1341">
        <f>SUM(J57,J60,J61,J62,J63,J64)</f>
        <v>0</v>
      </c>
      <c r="K56" s="1342">
        <f>SUM(K57,K60,K61,K62,K63,K64)</f>
        <v>0</v>
      </c>
      <c r="L56" s="1338" t="e">
        <f t="shared" si="0"/>
        <v>#DIV/0!</v>
      </c>
      <c r="M56" s="2134"/>
      <c r="N56" s="289"/>
      <c r="O56" s="289"/>
      <c r="P56" s="289"/>
    </row>
    <row r="57" spans="1:16" ht="15" hidden="1" customHeight="1">
      <c r="A57" s="2130"/>
      <c r="B57" s="2132"/>
      <c r="C57" s="1343" t="s">
        <v>19</v>
      </c>
      <c r="D57" s="1344"/>
      <c r="E57" s="1345">
        <f>SUM(E58:E59)</f>
        <v>0</v>
      </c>
      <c r="F57" s="1345">
        <f>SUM(F58:F59)</f>
        <v>0</v>
      </c>
      <c r="G57" s="1345"/>
      <c r="H57" s="1345">
        <f>SUM(H58:H59)</f>
        <v>0</v>
      </c>
      <c r="I57" s="1204"/>
      <c r="J57" s="1345">
        <f>SUM(J58:J59)</f>
        <v>0</v>
      </c>
      <c r="K57" s="1346">
        <f>SUM(K58:K59)</f>
        <v>0</v>
      </c>
      <c r="L57" s="1338" t="e">
        <f t="shared" si="0"/>
        <v>#DIV/0!</v>
      </c>
      <c r="M57" s="2134"/>
    </row>
    <row r="58" spans="1:16" ht="15" hidden="1" customHeight="1">
      <c r="A58" s="2130"/>
      <c r="B58" s="2132"/>
      <c r="C58" s="1343" t="s">
        <v>20</v>
      </c>
      <c r="D58" s="1344"/>
      <c r="E58" s="1345"/>
      <c r="F58" s="1345"/>
      <c r="G58" s="1345"/>
      <c r="H58" s="1345"/>
      <c r="I58" s="1204"/>
      <c r="J58" s="1345"/>
      <c r="K58" s="1346">
        <f>H58+J58</f>
        <v>0</v>
      </c>
      <c r="L58" s="1338" t="e">
        <f t="shared" si="0"/>
        <v>#DIV/0!</v>
      </c>
      <c r="M58" s="2134"/>
    </row>
    <row r="59" spans="1:16" ht="15" hidden="1" customHeight="1">
      <c r="A59" s="2130"/>
      <c r="B59" s="2132"/>
      <c r="C59" s="1347" t="s">
        <v>21</v>
      </c>
      <c r="D59" s="1348"/>
      <c r="E59" s="1345"/>
      <c r="F59" s="1345"/>
      <c r="G59" s="1345"/>
      <c r="H59" s="1345"/>
      <c r="I59" s="1204"/>
      <c r="J59" s="1345"/>
      <c r="K59" s="1346">
        <f>H59+J59</f>
        <v>0</v>
      </c>
      <c r="L59" s="1338" t="e">
        <f t="shared" si="0"/>
        <v>#DIV/0!</v>
      </c>
      <c r="M59" s="2134"/>
    </row>
    <row r="60" spans="1:16" ht="15" hidden="1" customHeight="1">
      <c r="A60" s="2130"/>
      <c r="B60" s="2132"/>
      <c r="C60" s="1205" t="s">
        <v>23</v>
      </c>
      <c r="D60" s="1344"/>
      <c r="E60" s="1345"/>
      <c r="F60" s="1345"/>
      <c r="G60" s="1345"/>
      <c r="H60" s="1345"/>
      <c r="I60" s="1206"/>
      <c r="J60" s="1345"/>
      <c r="K60" s="1346">
        <f>H60+J60</f>
        <v>0</v>
      </c>
      <c r="L60" s="1338" t="e">
        <f t="shared" si="0"/>
        <v>#DIV/0!</v>
      </c>
      <c r="M60" s="2134"/>
    </row>
    <row r="61" spans="1:16" ht="15" hidden="1" customHeight="1">
      <c r="A61" s="2130"/>
      <c r="B61" s="2132"/>
      <c r="C61" s="1343" t="s">
        <v>24</v>
      </c>
      <c r="D61" s="1344"/>
      <c r="E61" s="1345"/>
      <c r="F61" s="1345"/>
      <c r="G61" s="1345"/>
      <c r="H61" s="1345"/>
      <c r="I61" s="1204"/>
      <c r="J61" s="1345"/>
      <c r="K61" s="1346">
        <f t="shared" ref="K61:K64" si="2">H61+J61</f>
        <v>0</v>
      </c>
      <c r="L61" s="1338" t="e">
        <f t="shared" si="0"/>
        <v>#DIV/0!</v>
      </c>
      <c r="M61" s="2134"/>
    </row>
    <row r="62" spans="1:16" ht="22.5" hidden="1">
      <c r="A62" s="2130"/>
      <c r="B62" s="2132"/>
      <c r="C62" s="1207" t="s">
        <v>25</v>
      </c>
      <c r="D62" s="1344"/>
      <c r="E62" s="1345"/>
      <c r="F62" s="1345"/>
      <c r="G62" s="1345"/>
      <c r="H62" s="1345"/>
      <c r="I62" s="1204"/>
      <c r="J62" s="1345"/>
      <c r="K62" s="1346">
        <f t="shared" si="2"/>
        <v>0</v>
      </c>
      <c r="L62" s="1338" t="e">
        <f t="shared" si="0"/>
        <v>#DIV/0!</v>
      </c>
      <c r="M62" s="2134"/>
    </row>
    <row r="63" spans="1:16" ht="15" hidden="1" customHeight="1">
      <c r="A63" s="2130"/>
      <c r="B63" s="2132"/>
      <c r="C63" s="1343" t="s">
        <v>26</v>
      </c>
      <c r="D63" s="1344"/>
      <c r="E63" s="1345"/>
      <c r="F63" s="1345"/>
      <c r="G63" s="1345"/>
      <c r="H63" s="1345"/>
      <c r="I63" s="1204"/>
      <c r="J63" s="1345"/>
      <c r="K63" s="1346">
        <f t="shared" si="2"/>
        <v>0</v>
      </c>
      <c r="L63" s="1338" t="e">
        <f t="shared" si="0"/>
        <v>#DIV/0!</v>
      </c>
      <c r="M63" s="2134"/>
    </row>
    <row r="64" spans="1:16" ht="15" hidden="1" customHeight="1">
      <c r="A64" s="2130"/>
      <c r="B64" s="2132"/>
      <c r="C64" s="1343" t="s">
        <v>27</v>
      </c>
      <c r="D64" s="1344"/>
      <c r="E64" s="1345"/>
      <c r="F64" s="1345"/>
      <c r="G64" s="1345"/>
      <c r="H64" s="1345"/>
      <c r="I64" s="1204"/>
      <c r="J64" s="1345"/>
      <c r="K64" s="1346">
        <f t="shared" si="2"/>
        <v>0</v>
      </c>
      <c r="L64" s="1338" t="e">
        <f t="shared" si="0"/>
        <v>#DIV/0!</v>
      </c>
      <c r="M64" s="2134"/>
    </row>
    <row r="65" spans="1:16" ht="15" hidden="1" customHeight="1">
      <c r="A65" s="2130"/>
      <c r="B65" s="2132"/>
      <c r="C65" s="1349" t="s">
        <v>28</v>
      </c>
      <c r="D65" s="1350"/>
      <c r="E65" s="1341">
        <f>SUM(E66,E68,E69)</f>
        <v>0</v>
      </c>
      <c r="F65" s="1341">
        <f>SUM(F66,F68,F69)</f>
        <v>0</v>
      </c>
      <c r="G65" s="1341">
        <f>SUM(G66,G68,G69)</f>
        <v>0</v>
      </c>
      <c r="H65" s="1341">
        <f>SUM(H66,H68,H69)</f>
        <v>0</v>
      </c>
      <c r="I65" s="1204" t="e">
        <f>H65/E65</f>
        <v>#DIV/0!</v>
      </c>
      <c r="J65" s="1341">
        <f>SUM(J66,J68,J69)</f>
        <v>0</v>
      </c>
      <c r="K65" s="1342">
        <f>SUM(K66,K68,K69)</f>
        <v>0</v>
      </c>
      <c r="L65" s="1338" t="e">
        <f t="shared" si="0"/>
        <v>#DIV/0!</v>
      </c>
      <c r="M65" s="2134"/>
    </row>
    <row r="66" spans="1:16" s="977" customFormat="1" ht="15" hidden="1" customHeight="1">
      <c r="A66" s="2130"/>
      <c r="B66" s="2132"/>
      <c r="C66" s="1205" t="s">
        <v>29</v>
      </c>
      <c r="D66" s="1344">
        <v>6259</v>
      </c>
      <c r="E66" s="1345">
        <v>0</v>
      </c>
      <c r="F66" s="1345">
        <v>0</v>
      </c>
      <c r="G66" s="1345"/>
      <c r="H66" s="1345">
        <v>0</v>
      </c>
      <c r="I66" s="1206" t="e">
        <f>H66/E66</f>
        <v>#DIV/0!</v>
      </c>
      <c r="J66" s="1345"/>
      <c r="K66" s="1346">
        <f>J66+H66</f>
        <v>0</v>
      </c>
      <c r="L66" s="1338" t="e">
        <f t="shared" si="0"/>
        <v>#DIV/0!</v>
      </c>
      <c r="M66" s="2134"/>
      <c r="N66" s="1144"/>
      <c r="O66" s="1144"/>
      <c r="P66" s="1144"/>
    </row>
    <row r="67" spans="1:16" ht="22.5" hidden="1">
      <c r="A67" s="2130"/>
      <c r="B67" s="2132"/>
      <c r="C67" s="1207" t="s">
        <v>30</v>
      </c>
      <c r="D67" s="1348"/>
      <c r="E67" s="1345"/>
      <c r="F67" s="1345"/>
      <c r="G67" s="1345"/>
      <c r="H67" s="1345"/>
      <c r="I67" s="1204"/>
      <c r="J67" s="1345"/>
      <c r="K67" s="1346">
        <f>H67+J67</f>
        <v>0</v>
      </c>
      <c r="L67" s="1338" t="e">
        <f t="shared" si="0"/>
        <v>#DIV/0!</v>
      </c>
      <c r="M67" s="2134"/>
    </row>
    <row r="68" spans="1:16" ht="15" hidden="1" customHeight="1">
      <c r="A68" s="2130"/>
      <c r="B68" s="2132"/>
      <c r="C68" s="1343" t="s">
        <v>31</v>
      </c>
      <c r="D68" s="1344"/>
      <c r="E68" s="1345"/>
      <c r="F68" s="1345"/>
      <c r="G68" s="1345"/>
      <c r="H68" s="1345"/>
      <c r="I68" s="1204"/>
      <c r="J68" s="1345"/>
      <c r="K68" s="1346">
        <f>H68+J68</f>
        <v>0</v>
      </c>
      <c r="L68" s="1338" t="e">
        <f t="shared" si="0"/>
        <v>#DIV/0!</v>
      </c>
      <c r="M68" s="2134"/>
    </row>
    <row r="69" spans="1:16" s="189" customFormat="1" hidden="1">
      <c r="A69" s="2131"/>
      <c r="B69" s="2132"/>
      <c r="C69" s="1343" t="s">
        <v>32</v>
      </c>
      <c r="D69" s="1344"/>
      <c r="E69" s="1341"/>
      <c r="F69" s="1341"/>
      <c r="G69" s="1341"/>
      <c r="H69" s="1341"/>
      <c r="I69" s="1204"/>
      <c r="J69" s="1341"/>
      <c r="K69" s="1346">
        <f>H69+J69</f>
        <v>0</v>
      </c>
      <c r="L69" s="1338" t="e">
        <f t="shared" si="0"/>
        <v>#DIV/0!</v>
      </c>
      <c r="M69" s="2135"/>
      <c r="N69" s="289"/>
      <c r="O69" s="289"/>
      <c r="P69" s="289"/>
    </row>
    <row r="70" spans="1:16" s="1044" customFormat="1" ht="20.100000000000001" customHeight="1">
      <c r="A70" s="799" t="s">
        <v>14</v>
      </c>
      <c r="B70" s="764"/>
      <c r="C70" s="765" t="s">
        <v>15</v>
      </c>
      <c r="D70" s="764"/>
      <c r="E70" s="591">
        <f>E71+E92</f>
        <v>24577323</v>
      </c>
      <c r="F70" s="591">
        <f>F71+F92</f>
        <v>24142173</v>
      </c>
      <c r="G70" s="591">
        <f>G71+G92</f>
        <v>0</v>
      </c>
      <c r="H70" s="591">
        <f>H71+H92</f>
        <v>19264122</v>
      </c>
      <c r="I70" s="1145">
        <f>H70/E70</f>
        <v>0.78381693563615529</v>
      </c>
      <c r="J70" s="591">
        <f>J71+J92</f>
        <v>0</v>
      </c>
      <c r="K70" s="488">
        <f>K71+K92</f>
        <v>19264122</v>
      </c>
      <c r="L70" s="1332">
        <f t="shared" ref="L70:L115" si="3">K70/E70</f>
        <v>0.78381693563615529</v>
      </c>
      <c r="M70" s="1201"/>
      <c r="N70" s="285"/>
      <c r="O70" s="285"/>
      <c r="P70" s="285"/>
    </row>
    <row r="71" spans="1:16" s="189" customFormat="1">
      <c r="A71" s="1929"/>
      <c r="B71" s="2128" t="s">
        <v>114</v>
      </c>
      <c r="C71" s="1319" t="s">
        <v>106</v>
      </c>
      <c r="D71" s="1320"/>
      <c r="E71" s="1321">
        <f>SUM(E72,E87)</f>
        <v>2276750</v>
      </c>
      <c r="F71" s="1321">
        <f>SUM(F72,F87)</f>
        <v>2509755</v>
      </c>
      <c r="G71" s="1321"/>
      <c r="H71" s="1321">
        <f>SUM(H72,H87)</f>
        <v>1748212</v>
      </c>
      <c r="I71" s="1351">
        <f>H71/E71</f>
        <v>0.76785417810475454</v>
      </c>
      <c r="J71" s="1321">
        <f>SUM(J72,J87)</f>
        <v>0</v>
      </c>
      <c r="K71" s="445">
        <f>SUM(K72,K87)</f>
        <v>1748212</v>
      </c>
      <c r="L71" s="1333">
        <f t="shared" si="3"/>
        <v>0.76785417810475454</v>
      </c>
      <c r="M71" s="2120" t="s">
        <v>578</v>
      </c>
      <c r="N71" s="289"/>
      <c r="O71" s="289"/>
      <c r="P71" s="289"/>
    </row>
    <row r="72" spans="1:16" s="189" customFormat="1" ht="15" customHeight="1">
      <c r="A72" s="1930"/>
      <c r="B72" s="2128"/>
      <c r="C72" s="901" t="s">
        <v>18</v>
      </c>
      <c r="D72" s="1323"/>
      <c r="E72" s="903">
        <f>SUM(E73,E76,E77,E78,E85,E86)</f>
        <v>2276750</v>
      </c>
      <c r="F72" s="903">
        <f>SUM(F73,F76,F77,F78,F85,F86)</f>
        <v>2509755</v>
      </c>
      <c r="G72" s="903"/>
      <c r="H72" s="903">
        <f>SUM(H73,H76,H77,H78,H85,H86)</f>
        <v>1748212</v>
      </c>
      <c r="I72" s="808">
        <f>H72/E72</f>
        <v>0.76785417810475454</v>
      </c>
      <c r="J72" s="903">
        <f>SUM(J73,J76,J77,J78,J85,J86)</f>
        <v>0</v>
      </c>
      <c r="K72" s="447">
        <f>SUM(K73,K76,K77,K78,K85,K86)</f>
        <v>1748212</v>
      </c>
      <c r="L72" s="1326">
        <f t="shared" si="3"/>
        <v>0.76785417810475454</v>
      </c>
      <c r="M72" s="2125"/>
      <c r="N72" s="289"/>
      <c r="O72" s="289"/>
      <c r="P72" s="289"/>
    </row>
    <row r="73" spans="1:16" ht="15" customHeight="1">
      <c r="A73" s="1930"/>
      <c r="B73" s="2128"/>
      <c r="C73" s="904" t="s">
        <v>19</v>
      </c>
      <c r="D73" s="1325"/>
      <c r="E73" s="906"/>
      <c r="F73" s="906"/>
      <c r="G73" s="906"/>
      <c r="H73" s="906"/>
      <c r="I73" s="809"/>
      <c r="J73" s="906"/>
      <c r="K73" s="406"/>
      <c r="L73" s="1326"/>
      <c r="M73" s="2125"/>
    </row>
    <row r="74" spans="1:16" ht="15" customHeight="1">
      <c r="A74" s="1930"/>
      <c r="B74" s="2128"/>
      <c r="C74" s="904" t="s">
        <v>20</v>
      </c>
      <c r="D74" s="1325"/>
      <c r="E74" s="906"/>
      <c r="F74" s="906"/>
      <c r="G74" s="906"/>
      <c r="H74" s="906"/>
      <c r="I74" s="809"/>
      <c r="J74" s="906"/>
      <c r="K74" s="406"/>
      <c r="L74" s="1326"/>
      <c r="M74" s="2125"/>
    </row>
    <row r="75" spans="1:16" ht="15" customHeight="1">
      <c r="A75" s="1930"/>
      <c r="B75" s="2128"/>
      <c r="C75" s="910" t="s">
        <v>21</v>
      </c>
      <c r="D75" s="1327"/>
      <c r="E75" s="906"/>
      <c r="F75" s="906"/>
      <c r="G75" s="906"/>
      <c r="H75" s="906"/>
      <c r="I75" s="809"/>
      <c r="J75" s="906"/>
      <c r="K75" s="406"/>
      <c r="L75" s="1326"/>
      <c r="M75" s="2125"/>
    </row>
    <row r="76" spans="1:16" ht="15" customHeight="1">
      <c r="A76" s="1930"/>
      <c r="B76" s="2128"/>
      <c r="C76" s="904" t="s">
        <v>23</v>
      </c>
      <c r="D76" s="1325"/>
      <c r="E76" s="906"/>
      <c r="F76" s="906"/>
      <c r="G76" s="906"/>
      <c r="H76" s="906"/>
      <c r="I76" s="809"/>
      <c r="J76" s="906"/>
      <c r="K76" s="406"/>
      <c r="L76" s="1326"/>
      <c r="M76" s="2125"/>
    </row>
    <row r="77" spans="1:16" ht="15" customHeight="1">
      <c r="A77" s="1930"/>
      <c r="B77" s="2128"/>
      <c r="C77" s="904" t="s">
        <v>24</v>
      </c>
      <c r="D77" s="1325"/>
      <c r="E77" s="906"/>
      <c r="F77" s="906"/>
      <c r="G77" s="906"/>
      <c r="H77" s="906"/>
      <c r="I77" s="809"/>
      <c r="J77" s="906"/>
      <c r="K77" s="406"/>
      <c r="L77" s="1326"/>
      <c r="M77" s="2125"/>
    </row>
    <row r="78" spans="1:16" ht="15" customHeight="1">
      <c r="A78" s="1930"/>
      <c r="B78" s="2128"/>
      <c r="C78" s="1934" t="s">
        <v>25</v>
      </c>
      <c r="D78" s="1325" t="s">
        <v>22</v>
      </c>
      <c r="E78" s="906">
        <f>SUM(E79:E84)</f>
        <v>2276750</v>
      </c>
      <c r="F78" s="906">
        <f>SUM(F79:F84)</f>
        <v>2509755</v>
      </c>
      <c r="G78" s="906">
        <f>SUM(G79:G84)</f>
        <v>0</v>
      </c>
      <c r="H78" s="906">
        <f>SUM(H79:H84)</f>
        <v>1748212</v>
      </c>
      <c r="I78" s="809">
        <f t="shared" ref="I78:I84" si="4">H78/E78</f>
        <v>0.76785417810475454</v>
      </c>
      <c r="J78" s="906">
        <f>SUM(J79:J84)</f>
        <v>0</v>
      </c>
      <c r="K78" s="406">
        <f>SUM(K79:K84)</f>
        <v>1748212</v>
      </c>
      <c r="L78" s="1326">
        <f t="shared" si="3"/>
        <v>0.76785417810475454</v>
      </c>
      <c r="M78" s="2125"/>
    </row>
    <row r="79" spans="1:16" ht="15" customHeight="1">
      <c r="A79" s="1930"/>
      <c r="B79" s="2128"/>
      <c r="C79" s="1935"/>
      <c r="D79" s="1328">
        <v>4178</v>
      </c>
      <c r="E79" s="1329">
        <v>40800</v>
      </c>
      <c r="F79" s="1329">
        <v>68000</v>
      </c>
      <c r="G79" s="1329"/>
      <c r="H79" s="1329">
        <v>17000</v>
      </c>
      <c r="I79" s="809">
        <f t="shared" si="4"/>
        <v>0.41666666666666669</v>
      </c>
      <c r="J79" s="1329"/>
      <c r="K79" s="471">
        <f>J79+H79</f>
        <v>17000</v>
      </c>
      <c r="L79" s="1326">
        <f t="shared" si="3"/>
        <v>0.41666666666666669</v>
      </c>
      <c r="M79" s="2125"/>
    </row>
    <row r="80" spans="1:16" ht="15" customHeight="1">
      <c r="A80" s="1930"/>
      <c r="B80" s="2128"/>
      <c r="C80" s="1935"/>
      <c r="D80" s="1328">
        <v>4179</v>
      </c>
      <c r="E80" s="1329">
        <v>7200</v>
      </c>
      <c r="F80" s="1329">
        <v>12000</v>
      </c>
      <c r="G80" s="1329"/>
      <c r="H80" s="1329">
        <v>3000</v>
      </c>
      <c r="I80" s="809">
        <f t="shared" si="4"/>
        <v>0.41666666666666669</v>
      </c>
      <c r="J80" s="1329"/>
      <c r="K80" s="471">
        <f>J80+H80</f>
        <v>3000</v>
      </c>
      <c r="L80" s="1326">
        <f t="shared" si="3"/>
        <v>0.41666666666666669</v>
      </c>
      <c r="M80" s="2125"/>
    </row>
    <row r="81" spans="1:16" ht="15" customHeight="1">
      <c r="A81" s="1930"/>
      <c r="B81" s="2128"/>
      <c r="C81" s="1935"/>
      <c r="D81" s="1328">
        <v>4308</v>
      </c>
      <c r="E81" s="1329">
        <v>0</v>
      </c>
      <c r="F81" s="1329">
        <v>0</v>
      </c>
      <c r="G81" s="1329"/>
      <c r="H81" s="1329">
        <v>59516</v>
      </c>
      <c r="I81" s="809"/>
      <c r="J81" s="1329"/>
      <c r="K81" s="471">
        <f t="shared" ref="K81:K84" si="5">H81+J81</f>
        <v>59516</v>
      </c>
      <c r="L81" s="1326"/>
      <c r="M81" s="2125"/>
    </row>
    <row r="82" spans="1:16" ht="15" customHeight="1">
      <c r="A82" s="1930"/>
      <c r="B82" s="2128"/>
      <c r="C82" s="1935"/>
      <c r="D82" s="1328">
        <v>4309</v>
      </c>
      <c r="E82" s="1329">
        <v>0</v>
      </c>
      <c r="F82" s="1329">
        <v>0</v>
      </c>
      <c r="G82" s="1329"/>
      <c r="H82" s="1329">
        <v>9421</v>
      </c>
      <c r="I82" s="809"/>
      <c r="J82" s="1329"/>
      <c r="K82" s="471">
        <f t="shared" si="5"/>
        <v>9421</v>
      </c>
      <c r="L82" s="1326"/>
      <c r="M82" s="2125"/>
    </row>
    <row r="83" spans="1:16" ht="15" customHeight="1">
      <c r="A83" s="1930"/>
      <c r="B83" s="2128"/>
      <c r="C83" s="1935"/>
      <c r="D83" s="1328">
        <v>4398</v>
      </c>
      <c r="E83" s="1329">
        <v>1893961</v>
      </c>
      <c r="F83" s="1329">
        <v>2065291</v>
      </c>
      <c r="G83" s="1329"/>
      <c r="H83" s="1329">
        <v>1410384</v>
      </c>
      <c r="I83" s="1352">
        <f t="shared" si="4"/>
        <v>0.7446742567560789</v>
      </c>
      <c r="J83" s="1329"/>
      <c r="K83" s="471">
        <f t="shared" si="5"/>
        <v>1410384</v>
      </c>
      <c r="L83" s="1326">
        <f t="shared" si="3"/>
        <v>0.7446742567560789</v>
      </c>
      <c r="M83" s="2125"/>
    </row>
    <row r="84" spans="1:16" ht="15" customHeight="1">
      <c r="A84" s="1930"/>
      <c r="B84" s="2128"/>
      <c r="C84" s="1935"/>
      <c r="D84" s="1328">
        <v>4399</v>
      </c>
      <c r="E84" s="1329">
        <v>334789</v>
      </c>
      <c r="F84" s="1329">
        <v>364464</v>
      </c>
      <c r="G84" s="1329"/>
      <c r="H84" s="1329">
        <v>248891</v>
      </c>
      <c r="I84" s="1352">
        <f t="shared" si="4"/>
        <v>0.7434264566637494</v>
      </c>
      <c r="J84" s="1329"/>
      <c r="K84" s="471">
        <f t="shared" si="5"/>
        <v>248891</v>
      </c>
      <c r="L84" s="1326">
        <f t="shared" si="3"/>
        <v>0.7434264566637494</v>
      </c>
      <c r="M84" s="2125"/>
    </row>
    <row r="85" spans="1:16" ht="15" customHeight="1">
      <c r="A85" s="1930"/>
      <c r="B85" s="2128"/>
      <c r="C85" s="904" t="s">
        <v>26</v>
      </c>
      <c r="D85" s="1325"/>
      <c r="E85" s="906"/>
      <c r="F85" s="906"/>
      <c r="G85" s="906"/>
      <c r="H85" s="906"/>
      <c r="I85" s="1352"/>
      <c r="J85" s="906"/>
      <c r="K85" s="406"/>
      <c r="L85" s="1326"/>
      <c r="M85" s="2125"/>
    </row>
    <row r="86" spans="1:16" ht="15" customHeight="1">
      <c r="A86" s="1930"/>
      <c r="B86" s="2128"/>
      <c r="C86" s="904" t="s">
        <v>27</v>
      </c>
      <c r="D86" s="1325"/>
      <c r="E86" s="906"/>
      <c r="F86" s="906"/>
      <c r="G86" s="906"/>
      <c r="H86" s="906"/>
      <c r="I86" s="1352"/>
      <c r="J86" s="906"/>
      <c r="K86" s="406"/>
      <c r="L86" s="1326"/>
      <c r="M86" s="2125"/>
    </row>
    <row r="87" spans="1:16">
      <c r="A87" s="1930"/>
      <c r="B87" s="2128"/>
      <c r="C87" s="911" t="s">
        <v>28</v>
      </c>
      <c r="D87" s="1330"/>
      <c r="E87" s="903">
        <f>SUM(E88,E90,E91)</f>
        <v>0</v>
      </c>
      <c r="F87" s="903">
        <f>SUM(F88,F90,F91)</f>
        <v>0</v>
      </c>
      <c r="G87" s="903"/>
      <c r="H87" s="903">
        <f>SUM(H88,H90,H91)</f>
        <v>0</v>
      </c>
      <c r="I87" s="1352"/>
      <c r="J87" s="903">
        <f>SUM(J88,J90,J91)</f>
        <v>0</v>
      </c>
      <c r="K87" s="447">
        <f>SUM(K88,K90,K91)</f>
        <v>0</v>
      </c>
      <c r="L87" s="1326"/>
      <c r="M87" s="2125"/>
    </row>
    <row r="88" spans="1:16" ht="15" customHeight="1">
      <c r="A88" s="1930"/>
      <c r="B88" s="2128"/>
      <c r="C88" s="404" t="s">
        <v>29</v>
      </c>
      <c r="D88" s="1325"/>
      <c r="E88" s="906"/>
      <c r="F88" s="906"/>
      <c r="G88" s="906"/>
      <c r="H88" s="906"/>
      <c r="I88" s="1352"/>
      <c r="J88" s="906"/>
      <c r="K88" s="406"/>
      <c r="L88" s="1326"/>
      <c r="M88" s="2125"/>
    </row>
    <row r="89" spans="1:16" ht="22.5">
      <c r="A89" s="1930"/>
      <c r="B89" s="2128"/>
      <c r="C89" s="405" t="s">
        <v>30</v>
      </c>
      <c r="D89" s="1325"/>
      <c r="E89" s="906"/>
      <c r="F89" s="906"/>
      <c r="G89" s="906"/>
      <c r="H89" s="906"/>
      <c r="I89" s="1352"/>
      <c r="J89" s="906"/>
      <c r="K89" s="406"/>
      <c r="L89" s="1326"/>
      <c r="M89" s="2125"/>
    </row>
    <row r="90" spans="1:16" ht="15" customHeight="1">
      <c r="A90" s="1930"/>
      <c r="B90" s="2128"/>
      <c r="C90" s="904" t="s">
        <v>31</v>
      </c>
      <c r="D90" s="1325"/>
      <c r="E90" s="906"/>
      <c r="F90" s="906"/>
      <c r="G90" s="906"/>
      <c r="H90" s="906"/>
      <c r="I90" s="808"/>
      <c r="J90" s="906"/>
      <c r="K90" s="406"/>
      <c r="L90" s="1326"/>
      <c r="M90" s="2125"/>
    </row>
    <row r="91" spans="1:16" s="189" customFormat="1" ht="15" customHeight="1" thickBot="1">
      <c r="A91" s="1931"/>
      <c r="B91" s="1933"/>
      <c r="C91" s="679" t="s">
        <v>32</v>
      </c>
      <c r="D91" s="680"/>
      <c r="E91" s="683"/>
      <c r="F91" s="683"/>
      <c r="G91" s="683"/>
      <c r="H91" s="683"/>
      <c r="I91" s="1153"/>
      <c r="J91" s="683"/>
      <c r="K91" s="627"/>
      <c r="L91" s="1326"/>
      <c r="M91" s="2136"/>
      <c r="N91" s="289"/>
      <c r="O91" s="289"/>
      <c r="P91" s="289"/>
    </row>
    <row r="92" spans="1:16" s="289" customFormat="1" ht="20.25" customHeight="1">
      <c r="A92" s="1943"/>
      <c r="B92" s="1947" t="s">
        <v>16</v>
      </c>
      <c r="C92" s="707" t="s">
        <v>17</v>
      </c>
      <c r="D92" s="708"/>
      <c r="E92" s="709">
        <f>SUM(E93,E104)</f>
        <v>22300573</v>
      </c>
      <c r="F92" s="709">
        <f>SUM(F93,F104)</f>
        <v>21632418</v>
      </c>
      <c r="G92" s="709"/>
      <c r="H92" s="709">
        <f>SUM(H93,H104)</f>
        <v>17515910</v>
      </c>
      <c r="I92" s="1142">
        <f>H92/E92</f>
        <v>0.7854466340394034</v>
      </c>
      <c r="J92" s="709">
        <f>SUM(J93,J104)</f>
        <v>0</v>
      </c>
      <c r="K92" s="1143">
        <f>SUM(K93,K104)</f>
        <v>17515910</v>
      </c>
      <c r="L92" s="1333">
        <f t="shared" si="3"/>
        <v>0.7854466340394034</v>
      </c>
      <c r="M92" s="2124" t="s">
        <v>579</v>
      </c>
    </row>
    <row r="93" spans="1:16" s="289" customFormat="1" ht="20.100000000000001" customHeight="1">
      <c r="A93" s="1930"/>
      <c r="B93" s="2128"/>
      <c r="C93" s="901" t="s">
        <v>18</v>
      </c>
      <c r="D93" s="1323"/>
      <c r="E93" s="903">
        <f>SUM(E94,E97,E98,E99,E102,E103)</f>
        <v>0</v>
      </c>
      <c r="F93" s="903">
        <f>SUM(F94,F97,F98,F99,F102,F103)</f>
        <v>0</v>
      </c>
      <c r="G93" s="903">
        <f>SUM(G94,G97,G98,G99,G102,G103)</f>
        <v>0</v>
      </c>
      <c r="H93" s="903">
        <f>SUM(H94,H97,H98,H99,H102,H103)</f>
        <v>3140509</v>
      </c>
      <c r="I93" s="808"/>
      <c r="J93" s="903">
        <f>SUM(J94,J97,J98,J99,J102,J103)</f>
        <v>0</v>
      </c>
      <c r="K93" s="447">
        <f>SUM(K94,K97,K98,K99,K102,K103)</f>
        <v>3140509</v>
      </c>
      <c r="L93" s="1326"/>
      <c r="M93" s="2125"/>
    </row>
    <row r="94" spans="1:16" s="257" customFormat="1" ht="20.100000000000001" customHeight="1">
      <c r="A94" s="1930"/>
      <c r="B94" s="2128"/>
      <c r="C94" s="904" t="s">
        <v>19</v>
      </c>
      <c r="D94" s="1325"/>
      <c r="E94" s="906"/>
      <c r="F94" s="906"/>
      <c r="G94" s="906"/>
      <c r="H94" s="906">
        <f>SUM(H95:H96)</f>
        <v>0</v>
      </c>
      <c r="I94" s="808"/>
      <c r="J94" s="906">
        <f>SUM(J95:J96)</f>
        <v>0</v>
      </c>
      <c r="K94" s="406"/>
      <c r="L94" s="1326"/>
      <c r="M94" s="2125"/>
    </row>
    <row r="95" spans="1:16" s="257" customFormat="1" ht="20.100000000000001" customHeight="1">
      <c r="A95" s="1930"/>
      <c r="B95" s="2128"/>
      <c r="C95" s="904" t="s">
        <v>20</v>
      </c>
      <c r="D95" s="1325"/>
      <c r="E95" s="906"/>
      <c r="F95" s="906"/>
      <c r="G95" s="906"/>
      <c r="H95" s="906"/>
      <c r="I95" s="808"/>
      <c r="J95" s="906"/>
      <c r="K95" s="406"/>
      <c r="L95" s="1326"/>
      <c r="M95" s="2125"/>
    </row>
    <row r="96" spans="1:16" s="257" customFormat="1" ht="20.100000000000001" customHeight="1">
      <c r="A96" s="1930"/>
      <c r="B96" s="2128"/>
      <c r="C96" s="910" t="s">
        <v>21</v>
      </c>
      <c r="D96" s="1327"/>
      <c r="E96" s="906"/>
      <c r="F96" s="906"/>
      <c r="G96" s="906"/>
      <c r="H96" s="906"/>
      <c r="I96" s="808"/>
      <c r="J96" s="906"/>
      <c r="K96" s="406"/>
      <c r="L96" s="1326"/>
      <c r="M96" s="2125"/>
    </row>
    <row r="97" spans="1:13" s="257" customFormat="1" ht="20.100000000000001" customHeight="1">
      <c r="A97" s="1930"/>
      <c r="B97" s="2128"/>
      <c r="C97" s="404" t="s">
        <v>23</v>
      </c>
      <c r="D97" s="1325"/>
      <c r="E97" s="906"/>
      <c r="F97" s="906"/>
      <c r="G97" s="906"/>
      <c r="H97" s="906"/>
      <c r="I97" s="809"/>
      <c r="J97" s="906"/>
      <c r="K97" s="406"/>
      <c r="L97" s="1326"/>
      <c r="M97" s="2125"/>
    </row>
    <row r="98" spans="1:13" s="257" customFormat="1" ht="20.100000000000001" customHeight="1">
      <c r="A98" s="1930"/>
      <c r="B98" s="2128"/>
      <c r="C98" s="904" t="s">
        <v>24</v>
      </c>
      <c r="D98" s="1325"/>
      <c r="E98" s="906"/>
      <c r="F98" s="906"/>
      <c r="G98" s="906"/>
      <c r="H98" s="906"/>
      <c r="I98" s="808"/>
      <c r="J98" s="906"/>
      <c r="K98" s="406"/>
      <c r="L98" s="1326"/>
      <c r="M98" s="2125"/>
    </row>
    <row r="99" spans="1:13" s="257" customFormat="1" ht="20.100000000000001" customHeight="1">
      <c r="A99" s="1930"/>
      <c r="B99" s="2128"/>
      <c r="C99" s="1934" t="s">
        <v>25</v>
      </c>
      <c r="D99" s="1325" t="s">
        <v>22</v>
      </c>
      <c r="E99" s="906">
        <f>SUM(E100:E101)</f>
        <v>0</v>
      </c>
      <c r="F99" s="906">
        <f t="shared" ref="F99:J99" si="6">SUM(F100:F101)</f>
        <v>0</v>
      </c>
      <c r="G99" s="906">
        <f t="shared" si="6"/>
        <v>0</v>
      </c>
      <c r="H99" s="906">
        <f t="shared" si="6"/>
        <v>3140509</v>
      </c>
      <c r="I99" s="906">
        <f t="shared" si="6"/>
        <v>0</v>
      </c>
      <c r="J99" s="906">
        <f t="shared" si="6"/>
        <v>0</v>
      </c>
      <c r="K99" s="406">
        <f>SUM(K100:K101)</f>
        <v>3140509</v>
      </c>
      <c r="L99" s="1326"/>
      <c r="M99" s="2125"/>
    </row>
    <row r="100" spans="1:13" s="257" customFormat="1" ht="20.100000000000001" customHeight="1">
      <c r="A100" s="1930"/>
      <c r="B100" s="2128"/>
      <c r="C100" s="1935"/>
      <c r="D100" s="1328">
        <v>4308</v>
      </c>
      <c r="E100" s="1329">
        <v>0</v>
      </c>
      <c r="F100" s="1329">
        <v>0</v>
      </c>
      <c r="G100" s="1329"/>
      <c r="H100" s="1329">
        <v>2669433</v>
      </c>
      <c r="I100" s="1317"/>
      <c r="J100" s="1329"/>
      <c r="K100" s="471">
        <f>H100+J100</f>
        <v>2669433</v>
      </c>
      <c r="L100" s="1326"/>
      <c r="M100" s="2125"/>
    </row>
    <row r="101" spans="1:13" s="257" customFormat="1" ht="20.100000000000001" customHeight="1">
      <c r="A101" s="1930"/>
      <c r="B101" s="2128"/>
      <c r="C101" s="2118"/>
      <c r="D101" s="1328">
        <v>4309</v>
      </c>
      <c r="E101" s="1329">
        <v>0</v>
      </c>
      <c r="F101" s="1329">
        <v>0</v>
      </c>
      <c r="G101" s="1329"/>
      <c r="H101" s="1329">
        <v>471076</v>
      </c>
      <c r="I101" s="1317"/>
      <c r="J101" s="1329"/>
      <c r="K101" s="471">
        <f t="shared" ref="K101:K103" si="7">H101+J101</f>
        <v>471076</v>
      </c>
      <c r="L101" s="1326"/>
      <c r="M101" s="2125"/>
    </row>
    <row r="102" spans="1:13" s="257" customFormat="1" ht="20.100000000000001" customHeight="1">
      <c r="A102" s="1930"/>
      <c r="B102" s="2128"/>
      <c r="C102" s="904" t="s">
        <v>26</v>
      </c>
      <c r="D102" s="1325"/>
      <c r="E102" s="906"/>
      <c r="F102" s="906"/>
      <c r="G102" s="906"/>
      <c r="H102" s="906"/>
      <c r="I102" s="808"/>
      <c r="J102" s="906"/>
      <c r="K102" s="406">
        <f t="shared" si="7"/>
        <v>0</v>
      </c>
      <c r="L102" s="1326"/>
      <c r="M102" s="2125"/>
    </row>
    <row r="103" spans="1:13" s="257" customFormat="1" ht="20.100000000000001" customHeight="1">
      <c r="A103" s="1930"/>
      <c r="B103" s="2128"/>
      <c r="C103" s="904" t="s">
        <v>27</v>
      </c>
      <c r="D103" s="1325"/>
      <c r="E103" s="906"/>
      <c r="F103" s="906"/>
      <c r="G103" s="906"/>
      <c r="H103" s="906"/>
      <c r="I103" s="808"/>
      <c r="J103" s="906"/>
      <c r="K103" s="406">
        <f t="shared" si="7"/>
        <v>0</v>
      </c>
      <c r="L103" s="1326"/>
      <c r="M103" s="2125"/>
    </row>
    <row r="104" spans="1:13" s="257" customFormat="1" ht="20.100000000000001" customHeight="1">
      <c r="A104" s="1930"/>
      <c r="B104" s="2128"/>
      <c r="C104" s="911" t="s">
        <v>28</v>
      </c>
      <c r="D104" s="1330"/>
      <c r="E104" s="903">
        <f>SUM(E105,E113,E114)</f>
        <v>22300573</v>
      </c>
      <c r="F104" s="903">
        <f>SUM(F105,F113,F114)</f>
        <v>21632418</v>
      </c>
      <c r="G104" s="903">
        <f>SUM(G105,G113,G114)</f>
        <v>0</v>
      </c>
      <c r="H104" s="903">
        <f>SUM(H105,H113,H114)</f>
        <v>14375401</v>
      </c>
      <c r="I104" s="808">
        <f>H104/E104</f>
        <v>0.64462025258274758</v>
      </c>
      <c r="J104" s="903">
        <f>SUM(J105,J113,J114)</f>
        <v>0</v>
      </c>
      <c r="K104" s="447">
        <f>SUM(K105,K113,K114)</f>
        <v>14375401</v>
      </c>
      <c r="L104" s="1326">
        <f t="shared" si="3"/>
        <v>0.64462025258274758</v>
      </c>
      <c r="M104" s="2125"/>
    </row>
    <row r="105" spans="1:13" s="1144" customFormat="1" ht="20.100000000000001" customHeight="1">
      <c r="A105" s="1930"/>
      <c r="B105" s="2128"/>
      <c r="C105" s="1938" t="s">
        <v>29</v>
      </c>
      <c r="D105" s="1353" t="s">
        <v>22</v>
      </c>
      <c r="E105" s="906">
        <f>SUM(E106:E109)</f>
        <v>22300573</v>
      </c>
      <c r="F105" s="906">
        <f t="shared" ref="F105:K105" si="8">SUM(F106:F109)</f>
        <v>21632418</v>
      </c>
      <c r="G105" s="906">
        <f t="shared" si="8"/>
        <v>0</v>
      </c>
      <c r="H105" s="906">
        <f t="shared" si="8"/>
        <v>14375401</v>
      </c>
      <c r="I105" s="809">
        <f>H105/E105</f>
        <v>0.64462025258274758</v>
      </c>
      <c r="J105" s="906">
        <f t="shared" si="8"/>
        <v>0</v>
      </c>
      <c r="K105" s="406">
        <f t="shared" si="8"/>
        <v>14375401</v>
      </c>
      <c r="L105" s="1326">
        <f t="shared" si="3"/>
        <v>0.64462025258274758</v>
      </c>
      <c r="M105" s="2125"/>
    </row>
    <row r="106" spans="1:13" s="1144" customFormat="1" ht="20.100000000000001" customHeight="1">
      <c r="A106" s="1930"/>
      <c r="B106" s="2128"/>
      <c r="C106" s="1939"/>
      <c r="D106" s="1328">
        <v>6259</v>
      </c>
      <c r="E106" s="1329">
        <v>1059598</v>
      </c>
      <c r="F106" s="1329">
        <v>691168</v>
      </c>
      <c r="G106" s="1329"/>
      <c r="H106" s="1329">
        <v>0</v>
      </c>
      <c r="I106" s="809">
        <f t="shared" ref="I106:I115" si="9">H106/E106</f>
        <v>0</v>
      </c>
      <c r="J106" s="1329"/>
      <c r="K106" s="471">
        <f>H106+J106</f>
        <v>0</v>
      </c>
      <c r="L106" s="1326">
        <f t="shared" si="3"/>
        <v>0</v>
      </c>
      <c r="M106" s="2125"/>
    </row>
    <row r="107" spans="1:13" s="1144" customFormat="1" ht="20.100000000000001" customHeight="1">
      <c r="A107" s="1930"/>
      <c r="B107" s="2128"/>
      <c r="C107" s="1939"/>
      <c r="D107" s="1328">
        <v>6058</v>
      </c>
      <c r="E107" s="1329">
        <v>18054830</v>
      </c>
      <c r="F107" s="1329">
        <v>17800063</v>
      </c>
      <c r="G107" s="1329"/>
      <c r="H107" s="1354">
        <v>12219090</v>
      </c>
      <c r="I107" s="809">
        <f t="shared" si="9"/>
        <v>0.67677679601524909</v>
      </c>
      <c r="J107" s="1329"/>
      <c r="K107" s="471">
        <f t="shared" ref="K107:K109" si="10">H107+J107</f>
        <v>12219090</v>
      </c>
      <c r="L107" s="1326">
        <f t="shared" si="3"/>
        <v>0.67677679601524909</v>
      </c>
      <c r="M107" s="2125"/>
    </row>
    <row r="108" spans="1:13" s="1144" customFormat="1" ht="20.100000000000001" customHeight="1">
      <c r="A108" s="1930"/>
      <c r="B108" s="2128"/>
      <c r="C108" s="1939"/>
      <c r="D108" s="1328">
        <v>6059</v>
      </c>
      <c r="E108" s="1329">
        <v>3186145</v>
      </c>
      <c r="F108" s="1329">
        <v>3141187</v>
      </c>
      <c r="G108" s="1329"/>
      <c r="H108" s="1354">
        <v>2156311</v>
      </c>
      <c r="I108" s="809">
        <f t="shared" si="9"/>
        <v>0.67677742224537807</v>
      </c>
      <c r="J108" s="1329"/>
      <c r="K108" s="471">
        <f t="shared" si="10"/>
        <v>2156311</v>
      </c>
      <c r="L108" s="1326">
        <f t="shared" si="3"/>
        <v>0.67677742224537807</v>
      </c>
      <c r="M108" s="2125"/>
    </row>
    <row r="109" spans="1:13" s="1144" customFormat="1" ht="20.100000000000001" hidden="1" customHeight="1">
      <c r="A109" s="1930"/>
      <c r="B109" s="2128"/>
      <c r="C109" s="2117"/>
      <c r="D109" s="1328">
        <v>6699</v>
      </c>
      <c r="E109" s="1329">
        <v>0</v>
      </c>
      <c r="F109" s="1329">
        <v>0</v>
      </c>
      <c r="G109" s="1329"/>
      <c r="H109" s="1355">
        <v>0</v>
      </c>
      <c r="I109" s="809"/>
      <c r="J109" s="1329"/>
      <c r="K109" s="471">
        <f t="shared" si="10"/>
        <v>0</v>
      </c>
      <c r="L109" s="1326"/>
      <c r="M109" s="2125"/>
    </row>
    <row r="110" spans="1:13" s="257" customFormat="1" ht="20.100000000000001" customHeight="1">
      <c r="A110" s="1930"/>
      <c r="B110" s="2128"/>
      <c r="C110" s="1934" t="s">
        <v>30</v>
      </c>
      <c r="D110" s="1356" t="s">
        <v>22</v>
      </c>
      <c r="E110" s="906">
        <f>SUM(E111:E112)</f>
        <v>21240975</v>
      </c>
      <c r="F110" s="906">
        <f t="shared" ref="F110:H110" si="11">SUM(F111:F112)</f>
        <v>20941250</v>
      </c>
      <c r="G110" s="906">
        <f t="shared" si="11"/>
        <v>0</v>
      </c>
      <c r="H110" s="906">
        <f t="shared" si="11"/>
        <v>14375401</v>
      </c>
      <c r="I110" s="809">
        <f t="shared" si="9"/>
        <v>0.67677688994973162</v>
      </c>
      <c r="J110" s="906">
        <f>SUM(J111:J112)</f>
        <v>0</v>
      </c>
      <c r="K110" s="406">
        <f t="shared" ref="K110" si="12">SUM(K111:K112)</f>
        <v>14375401</v>
      </c>
      <c r="L110" s="1326">
        <f t="shared" si="3"/>
        <v>0.67677688994973162</v>
      </c>
      <c r="M110" s="2125"/>
    </row>
    <row r="111" spans="1:13" s="257" customFormat="1" ht="20.100000000000001" customHeight="1">
      <c r="A111" s="1930"/>
      <c r="B111" s="2128"/>
      <c r="C111" s="1935"/>
      <c r="D111" s="1327">
        <v>6058</v>
      </c>
      <c r="E111" s="906">
        <v>18054830</v>
      </c>
      <c r="F111" s="1329">
        <v>17800063</v>
      </c>
      <c r="G111" s="906"/>
      <c r="H111" s="1354">
        <v>12219090</v>
      </c>
      <c r="I111" s="809">
        <f t="shared" si="9"/>
        <v>0.67677679601524909</v>
      </c>
      <c r="J111" s="906"/>
      <c r="K111" s="471">
        <f>H111+J111</f>
        <v>12219090</v>
      </c>
      <c r="L111" s="1326">
        <f t="shared" si="3"/>
        <v>0.67677679601524909</v>
      </c>
      <c r="M111" s="2125"/>
    </row>
    <row r="112" spans="1:13" s="257" customFormat="1" ht="20.100000000000001" customHeight="1">
      <c r="A112" s="1930"/>
      <c r="B112" s="2128"/>
      <c r="C112" s="2118"/>
      <c r="D112" s="1327">
        <v>6059</v>
      </c>
      <c r="E112" s="906">
        <v>3186145</v>
      </c>
      <c r="F112" s="1329">
        <v>3141187</v>
      </c>
      <c r="G112" s="906"/>
      <c r="H112" s="1354">
        <v>2156311</v>
      </c>
      <c r="I112" s="809">
        <f t="shared" si="9"/>
        <v>0.67677742224537807</v>
      </c>
      <c r="J112" s="906"/>
      <c r="K112" s="471">
        <f>H112+J112</f>
        <v>2156311</v>
      </c>
      <c r="L112" s="1326">
        <f t="shared" si="3"/>
        <v>0.67677742224537807</v>
      </c>
      <c r="M112" s="2125"/>
    </row>
    <row r="113" spans="1:16" s="257" customFormat="1" ht="20.100000000000001" customHeight="1">
      <c r="A113" s="1930"/>
      <c r="B113" s="2128"/>
      <c r="C113" s="904" t="s">
        <v>31</v>
      </c>
      <c r="D113" s="1353"/>
      <c r="E113" s="906"/>
      <c r="F113" s="906"/>
      <c r="G113" s="906"/>
      <c r="H113" s="906"/>
      <c r="I113" s="809"/>
      <c r="J113" s="906"/>
      <c r="K113" s="406"/>
      <c r="L113" s="1326"/>
      <c r="M113" s="2125"/>
    </row>
    <row r="114" spans="1:16" s="289" customFormat="1" ht="20.100000000000001" customHeight="1" thickBot="1">
      <c r="A114" s="1931"/>
      <c r="B114" s="1933"/>
      <c r="C114" s="679" t="s">
        <v>32</v>
      </c>
      <c r="D114" s="1209"/>
      <c r="E114" s="683"/>
      <c r="F114" s="683"/>
      <c r="G114" s="683"/>
      <c r="H114" s="683"/>
      <c r="I114" s="1141"/>
      <c r="J114" s="683"/>
      <c r="K114" s="627"/>
      <c r="L114" s="1326"/>
      <c r="M114" s="2136"/>
    </row>
    <row r="115" spans="1:16" s="1044" customFormat="1" ht="20.100000000000001" customHeight="1">
      <c r="A115" s="392" t="s">
        <v>115</v>
      </c>
      <c r="B115" s="393"/>
      <c r="C115" s="812" t="s">
        <v>116</v>
      </c>
      <c r="D115" s="393"/>
      <c r="E115" s="395">
        <f>E116+E138</f>
        <v>1337899</v>
      </c>
      <c r="F115" s="395">
        <f t="shared" ref="F115:K115" si="13">F116+F138</f>
        <v>2409440</v>
      </c>
      <c r="G115" s="395">
        <f t="shared" si="13"/>
        <v>0</v>
      </c>
      <c r="H115" s="395">
        <f t="shared" si="13"/>
        <v>629504</v>
      </c>
      <c r="I115" s="396">
        <f t="shared" si="9"/>
        <v>0.47051683273550543</v>
      </c>
      <c r="J115" s="395">
        <f t="shared" si="13"/>
        <v>0</v>
      </c>
      <c r="K115" s="1151">
        <f t="shared" si="13"/>
        <v>629504</v>
      </c>
      <c r="L115" s="1332">
        <f t="shared" si="3"/>
        <v>0.47051683273550543</v>
      </c>
      <c r="M115" s="1202"/>
      <c r="N115" s="285"/>
      <c r="O115" s="285"/>
      <c r="P115" s="285"/>
    </row>
    <row r="116" spans="1:16" s="189" customFormat="1" ht="20.100000000000001" customHeight="1">
      <c r="A116" s="1929"/>
      <c r="B116" s="2128" t="s">
        <v>131</v>
      </c>
      <c r="C116" s="1319" t="s">
        <v>132</v>
      </c>
      <c r="D116" s="1320"/>
      <c r="E116" s="1321">
        <f>SUM(E117,E130)</f>
        <v>0</v>
      </c>
      <c r="F116" s="1321">
        <f>SUM(F117,F130)</f>
        <v>539940</v>
      </c>
      <c r="G116" s="1321"/>
      <c r="H116" s="1321">
        <f>SUM(H117,H130)</f>
        <v>0</v>
      </c>
      <c r="I116" s="1357"/>
      <c r="J116" s="1321">
        <f>SUM(J117,J130)</f>
        <v>0</v>
      </c>
      <c r="K116" s="445">
        <f>SUM(K117,K130)</f>
        <v>0</v>
      </c>
      <c r="L116" s="1333"/>
      <c r="M116" s="2120"/>
      <c r="N116" s="289"/>
      <c r="O116" s="289"/>
      <c r="P116" s="289"/>
    </row>
    <row r="117" spans="1:16" s="189" customFormat="1" ht="20.100000000000001" customHeight="1">
      <c r="A117" s="1930"/>
      <c r="B117" s="2128"/>
      <c r="C117" s="901" t="s">
        <v>18</v>
      </c>
      <c r="D117" s="1323"/>
      <c r="E117" s="903">
        <f>SUM(E118,E121,E126,E127,E128,E129)</f>
        <v>0</v>
      </c>
      <c r="F117" s="903">
        <f>SUM(F118,F121,F126,F127,F128,F129)</f>
        <v>0</v>
      </c>
      <c r="G117" s="903">
        <f>SUM(G118,G121,G126,G127,G128,G129)</f>
        <v>0</v>
      </c>
      <c r="H117" s="903">
        <f>SUM(H118,H121,H126,H127,H128,H129)</f>
        <v>0</v>
      </c>
      <c r="I117" s="1358"/>
      <c r="J117" s="903">
        <f>SUM(J118,J121,J126,J127,J128,J129)</f>
        <v>0</v>
      </c>
      <c r="K117" s="447">
        <f>SUM(K118,K121,K126,K127,K128,K129)</f>
        <v>0</v>
      </c>
      <c r="L117" s="1326"/>
      <c r="M117" s="2125"/>
      <c r="N117" s="289"/>
      <c r="O117" s="289"/>
      <c r="P117" s="289"/>
    </row>
    <row r="118" spans="1:16" ht="20.100000000000001" customHeight="1">
      <c r="A118" s="1930"/>
      <c r="B118" s="2128"/>
      <c r="C118" s="904" t="s">
        <v>19</v>
      </c>
      <c r="D118" s="1325"/>
      <c r="E118" s="906"/>
      <c r="F118" s="906"/>
      <c r="G118" s="906"/>
      <c r="H118" s="906">
        <f>SUM(H119:H120)</f>
        <v>0</v>
      </c>
      <c r="I118" s="1352"/>
      <c r="J118" s="906">
        <f>SUM(J119:J120)</f>
        <v>0</v>
      </c>
      <c r="K118" s="406"/>
      <c r="L118" s="1326"/>
      <c r="M118" s="2125"/>
    </row>
    <row r="119" spans="1:16" ht="20.100000000000001" customHeight="1">
      <c r="A119" s="1930"/>
      <c r="B119" s="2128"/>
      <c r="C119" s="904" t="s">
        <v>20</v>
      </c>
      <c r="D119" s="1325"/>
      <c r="E119" s="906"/>
      <c r="F119" s="906"/>
      <c r="G119" s="906"/>
      <c r="H119" s="906"/>
      <c r="I119" s="1352"/>
      <c r="J119" s="906"/>
      <c r="K119" s="406"/>
      <c r="L119" s="1326"/>
      <c r="M119" s="2125"/>
    </row>
    <row r="120" spans="1:16" ht="20.100000000000001" customHeight="1">
      <c r="A120" s="1930"/>
      <c r="B120" s="2128"/>
      <c r="C120" s="910" t="s">
        <v>21</v>
      </c>
      <c r="D120" s="1327"/>
      <c r="E120" s="906"/>
      <c r="F120" s="906"/>
      <c r="G120" s="906"/>
      <c r="H120" s="906"/>
      <c r="I120" s="1352"/>
      <c r="J120" s="906"/>
      <c r="K120" s="406"/>
      <c r="L120" s="1326"/>
      <c r="M120" s="2125"/>
    </row>
    <row r="121" spans="1:16" ht="18" customHeight="1">
      <c r="A121" s="1930"/>
      <c r="B121" s="2128"/>
      <c r="C121" s="1938" t="s">
        <v>23</v>
      </c>
      <c r="D121" s="1325"/>
      <c r="E121" s="906"/>
      <c r="F121" s="906"/>
      <c r="G121" s="906">
        <f>SUM(G122:G125)</f>
        <v>0</v>
      </c>
      <c r="H121" s="906">
        <f>SUM(H122:H125)</f>
        <v>0</v>
      </c>
      <c r="I121" s="1352"/>
      <c r="J121" s="906">
        <f>SUM(J122:J125)</f>
        <v>0</v>
      </c>
      <c r="K121" s="406"/>
      <c r="L121" s="1326"/>
      <c r="M121" s="2125"/>
    </row>
    <row r="122" spans="1:16" ht="18" hidden="1" customHeight="1">
      <c r="A122" s="1930"/>
      <c r="B122" s="2128"/>
      <c r="C122" s="1939"/>
      <c r="D122" s="1328">
        <v>2009</v>
      </c>
      <c r="E122" s="1329">
        <v>0</v>
      </c>
      <c r="F122" s="1329">
        <v>0</v>
      </c>
      <c r="G122" s="1329"/>
      <c r="H122" s="1329"/>
      <c r="I122" s="1352"/>
      <c r="J122" s="1329"/>
      <c r="K122" s="471"/>
      <c r="L122" s="1326"/>
      <c r="M122" s="2125"/>
    </row>
    <row r="123" spans="1:16" ht="18" hidden="1" customHeight="1">
      <c r="A123" s="1930"/>
      <c r="B123" s="2128"/>
      <c r="C123" s="1939"/>
      <c r="D123" s="1328">
        <v>2059</v>
      </c>
      <c r="E123" s="1329">
        <v>0</v>
      </c>
      <c r="F123" s="1329">
        <v>0</v>
      </c>
      <c r="G123" s="1329"/>
      <c r="H123" s="1329"/>
      <c r="I123" s="1352"/>
      <c r="J123" s="1329"/>
      <c r="K123" s="471"/>
      <c r="L123" s="1326"/>
      <c r="M123" s="2125"/>
    </row>
    <row r="124" spans="1:16" ht="18" hidden="1" customHeight="1">
      <c r="A124" s="1930"/>
      <c r="B124" s="2128"/>
      <c r="C124" s="1939"/>
      <c r="D124" s="1328">
        <v>2919</v>
      </c>
      <c r="E124" s="1329">
        <v>0</v>
      </c>
      <c r="F124" s="1329">
        <v>0</v>
      </c>
      <c r="G124" s="1329"/>
      <c r="H124" s="1329"/>
      <c r="I124" s="1352"/>
      <c r="J124" s="1329"/>
      <c r="K124" s="471"/>
      <c r="L124" s="1326"/>
      <c r="M124" s="2125"/>
    </row>
    <row r="125" spans="1:16" ht="18" hidden="1" customHeight="1">
      <c r="A125" s="1930"/>
      <c r="B125" s="2128"/>
      <c r="C125" s="2117"/>
      <c r="D125" s="1328">
        <v>2959</v>
      </c>
      <c r="E125" s="1329">
        <v>0</v>
      </c>
      <c r="F125" s="1329">
        <v>0</v>
      </c>
      <c r="G125" s="1329"/>
      <c r="H125" s="1329"/>
      <c r="I125" s="1352"/>
      <c r="J125" s="1329"/>
      <c r="K125" s="471"/>
      <c r="L125" s="1326"/>
      <c r="M125" s="2125"/>
    </row>
    <row r="126" spans="1:16" ht="20.100000000000001" customHeight="1">
      <c r="A126" s="1930"/>
      <c r="B126" s="2128"/>
      <c r="C126" s="904" t="s">
        <v>24</v>
      </c>
      <c r="D126" s="1325"/>
      <c r="E126" s="906"/>
      <c r="F126" s="906"/>
      <c r="G126" s="906"/>
      <c r="H126" s="906"/>
      <c r="I126" s="1352"/>
      <c r="J126" s="906"/>
      <c r="K126" s="406"/>
      <c r="L126" s="1326"/>
      <c r="M126" s="2125"/>
    </row>
    <row r="127" spans="1:16" ht="22.5">
      <c r="A127" s="1930"/>
      <c r="B127" s="2128"/>
      <c r="C127" s="174" t="s">
        <v>25</v>
      </c>
      <c r="D127" s="1325"/>
      <c r="E127" s="906"/>
      <c r="F127" s="906"/>
      <c r="G127" s="906"/>
      <c r="H127" s="906"/>
      <c r="I127" s="1352"/>
      <c r="J127" s="906"/>
      <c r="K127" s="406"/>
      <c r="L127" s="1326"/>
      <c r="M127" s="2125"/>
    </row>
    <row r="128" spans="1:16">
      <c r="A128" s="1930"/>
      <c r="B128" s="2128"/>
      <c r="C128" s="904" t="s">
        <v>26</v>
      </c>
      <c r="D128" s="1325"/>
      <c r="E128" s="906"/>
      <c r="F128" s="906"/>
      <c r="G128" s="906"/>
      <c r="H128" s="906"/>
      <c r="I128" s="1352"/>
      <c r="J128" s="906"/>
      <c r="K128" s="406"/>
      <c r="L128" s="1326"/>
      <c r="M128" s="2125"/>
    </row>
    <row r="129" spans="1:16">
      <c r="A129" s="1930"/>
      <c r="B129" s="2128"/>
      <c r="C129" s="904" t="s">
        <v>27</v>
      </c>
      <c r="D129" s="1325"/>
      <c r="E129" s="906"/>
      <c r="F129" s="906"/>
      <c r="G129" s="906"/>
      <c r="H129" s="906"/>
      <c r="I129" s="1352"/>
      <c r="J129" s="906"/>
      <c r="K129" s="406"/>
      <c r="L129" s="1326"/>
      <c r="M129" s="2125"/>
    </row>
    <row r="130" spans="1:16" ht="20.100000000000001" customHeight="1">
      <c r="A130" s="1930"/>
      <c r="B130" s="2128"/>
      <c r="C130" s="911" t="s">
        <v>28</v>
      </c>
      <c r="D130" s="1330"/>
      <c r="E130" s="903">
        <f>SUM(E131,E136,E137)</f>
        <v>0</v>
      </c>
      <c r="F130" s="903">
        <f>SUM(F131,F136,F137)</f>
        <v>539940</v>
      </c>
      <c r="G130" s="903">
        <f>SUM(G131,G136,G137)</f>
        <v>0</v>
      </c>
      <c r="H130" s="903">
        <f>SUM(H131,H136,H137)</f>
        <v>0</v>
      </c>
      <c r="I130" s="1358"/>
      <c r="J130" s="903">
        <f>SUM(J131,J136,J137)</f>
        <v>0</v>
      </c>
      <c r="K130" s="447">
        <f>SUM(K131,K136,K137)</f>
        <v>0</v>
      </c>
      <c r="L130" s="1326"/>
      <c r="M130" s="2125"/>
    </row>
    <row r="131" spans="1:16" s="977" customFormat="1" ht="18" customHeight="1">
      <c r="A131" s="1930"/>
      <c r="B131" s="2128"/>
      <c r="C131" s="1938" t="s">
        <v>29</v>
      </c>
      <c r="D131" s="1325" t="s">
        <v>22</v>
      </c>
      <c r="E131" s="906">
        <f>SUM(E132:E134)</f>
        <v>0</v>
      </c>
      <c r="F131" s="906">
        <f>SUM(F132:F134)</f>
        <v>539940</v>
      </c>
      <c r="G131" s="906">
        <f>SUM(G132:G134)</f>
        <v>0</v>
      </c>
      <c r="H131" s="906">
        <f>SUM(H132:H134)</f>
        <v>0</v>
      </c>
      <c r="I131" s="1352"/>
      <c r="J131" s="906">
        <f>SUM(J132:J134)</f>
        <v>0</v>
      </c>
      <c r="K131" s="406">
        <f>SUM(K132:K134)</f>
        <v>0</v>
      </c>
      <c r="L131" s="1326"/>
      <c r="M131" s="2125"/>
      <c r="N131" s="1144"/>
      <c r="O131" s="1144"/>
      <c r="P131" s="1144"/>
    </row>
    <row r="132" spans="1:16" s="977" customFormat="1" ht="18" hidden="1" customHeight="1">
      <c r="A132" s="1930"/>
      <c r="B132" s="2128"/>
      <c r="C132" s="1939"/>
      <c r="D132" s="1325">
        <v>6209</v>
      </c>
      <c r="E132" s="906">
        <v>0</v>
      </c>
      <c r="F132" s="906">
        <v>0</v>
      </c>
      <c r="G132" s="906"/>
      <c r="H132" s="906">
        <v>0</v>
      </c>
      <c r="I132" s="1352"/>
      <c r="J132" s="906"/>
      <c r="K132" s="471">
        <f t="shared" ref="K132:K134" si="14">H132+J132</f>
        <v>0</v>
      </c>
      <c r="L132" s="1326"/>
      <c r="M132" s="2125"/>
      <c r="N132" s="1144"/>
      <c r="O132" s="1144"/>
      <c r="P132" s="1144"/>
    </row>
    <row r="133" spans="1:16" s="977" customFormat="1" ht="18" customHeight="1">
      <c r="A133" s="1930"/>
      <c r="B133" s="2128"/>
      <c r="C133" s="1939"/>
      <c r="D133" s="1325">
        <v>6259</v>
      </c>
      <c r="E133" s="906">
        <v>0</v>
      </c>
      <c r="F133" s="906">
        <v>539940</v>
      </c>
      <c r="G133" s="906"/>
      <c r="H133" s="906">
        <v>0</v>
      </c>
      <c r="I133" s="1352"/>
      <c r="J133" s="906"/>
      <c r="K133" s="471">
        <f t="shared" si="14"/>
        <v>0</v>
      </c>
      <c r="L133" s="1326"/>
      <c r="M133" s="2125"/>
      <c r="N133" s="1144"/>
      <c r="O133" s="1144"/>
      <c r="P133" s="1144"/>
    </row>
    <row r="134" spans="1:16" s="977" customFormat="1" ht="18" hidden="1" customHeight="1">
      <c r="A134" s="1930"/>
      <c r="B134" s="2128"/>
      <c r="C134" s="2117"/>
      <c r="D134" s="1325">
        <v>6699</v>
      </c>
      <c r="E134" s="906">
        <v>0</v>
      </c>
      <c r="F134" s="906">
        <v>0</v>
      </c>
      <c r="G134" s="906"/>
      <c r="H134" s="906">
        <v>0</v>
      </c>
      <c r="I134" s="1352"/>
      <c r="J134" s="906"/>
      <c r="K134" s="471">
        <f t="shared" si="14"/>
        <v>0</v>
      </c>
      <c r="L134" s="1326"/>
      <c r="M134" s="2125"/>
      <c r="N134" s="1144"/>
      <c r="O134" s="1144"/>
      <c r="P134" s="1144"/>
    </row>
    <row r="135" spans="1:16" ht="20.100000000000001" customHeight="1">
      <c r="A135" s="1930"/>
      <c r="B135" s="2128"/>
      <c r="C135" s="174" t="s">
        <v>30</v>
      </c>
      <c r="D135" s="1327"/>
      <c r="E135" s="906"/>
      <c r="F135" s="906"/>
      <c r="G135" s="906"/>
      <c r="H135" s="906"/>
      <c r="I135" s="1352"/>
      <c r="J135" s="906"/>
      <c r="K135" s="406"/>
      <c r="L135" s="1326"/>
      <c r="M135" s="2125"/>
    </row>
    <row r="136" spans="1:16">
      <c r="A136" s="1930"/>
      <c r="B136" s="2128"/>
      <c r="C136" s="904" t="s">
        <v>31</v>
      </c>
      <c r="D136" s="1325"/>
      <c r="E136" s="906"/>
      <c r="F136" s="906"/>
      <c r="G136" s="906"/>
      <c r="H136" s="906"/>
      <c r="I136" s="1352"/>
      <c r="J136" s="906"/>
      <c r="K136" s="406"/>
      <c r="L136" s="1326"/>
      <c r="M136" s="2125"/>
    </row>
    <row r="137" spans="1:16" s="189" customFormat="1" ht="13.5" thickBot="1">
      <c r="A137" s="1931"/>
      <c r="B137" s="1933"/>
      <c r="C137" s="679" t="s">
        <v>32</v>
      </c>
      <c r="D137" s="680"/>
      <c r="E137" s="683"/>
      <c r="F137" s="683"/>
      <c r="G137" s="683"/>
      <c r="H137" s="683"/>
      <c r="I137" s="1178"/>
      <c r="J137" s="683"/>
      <c r="K137" s="627"/>
      <c r="L137" s="1326"/>
      <c r="M137" s="2136"/>
      <c r="N137" s="289"/>
      <c r="O137" s="289"/>
      <c r="P137" s="289"/>
    </row>
    <row r="138" spans="1:16" s="189" customFormat="1" ht="20.100000000000001" customHeight="1">
      <c r="A138" s="1943"/>
      <c r="B138" s="1947" t="s">
        <v>139</v>
      </c>
      <c r="C138" s="707" t="s">
        <v>17</v>
      </c>
      <c r="D138" s="708"/>
      <c r="E138" s="709">
        <f>SUM(E139,E152)</f>
        <v>1337899</v>
      </c>
      <c r="F138" s="709">
        <f>SUM(F139,F152)</f>
        <v>1869500</v>
      </c>
      <c r="G138" s="709"/>
      <c r="H138" s="709">
        <f>SUM(H139,H152)</f>
        <v>629504</v>
      </c>
      <c r="I138" s="1157">
        <f>H138/E138</f>
        <v>0.47051683273550543</v>
      </c>
      <c r="J138" s="709">
        <f>SUM(J139,J152)</f>
        <v>0</v>
      </c>
      <c r="K138" s="1143">
        <f>SUM(K139,K152)</f>
        <v>629504</v>
      </c>
      <c r="L138" s="1333">
        <f t="shared" ref="L138:L179" si="15">K138/E138</f>
        <v>0.47051683273550543</v>
      </c>
      <c r="M138" s="2124" t="s">
        <v>580</v>
      </c>
      <c r="N138" s="289"/>
      <c r="O138" s="289"/>
      <c r="P138" s="289"/>
    </row>
    <row r="139" spans="1:16" s="189" customFormat="1" ht="20.100000000000001" customHeight="1">
      <c r="A139" s="1930"/>
      <c r="B139" s="2128"/>
      <c r="C139" s="901" t="s">
        <v>18</v>
      </c>
      <c r="D139" s="1323"/>
      <c r="E139" s="903">
        <f>SUM(E140,E143,E148,E149,E150,E151)</f>
        <v>1308949</v>
      </c>
      <c r="F139" s="903">
        <f>SUM(F140,F143,F148,F149,F150,F151)</f>
        <v>1851151</v>
      </c>
      <c r="G139" s="903">
        <f>SUM(G140,G143,G148,G149,G150,G151)</f>
        <v>0</v>
      </c>
      <c r="H139" s="903">
        <f>SUM(H140,H143,H148,H149,H150,H151)</f>
        <v>629504</v>
      </c>
      <c r="I139" s="1358">
        <f>H139/E139</f>
        <v>0.4809232445267157</v>
      </c>
      <c r="J139" s="903">
        <f>SUM(J140,J143,J148,J149,J150,J151)</f>
        <v>0</v>
      </c>
      <c r="K139" s="447">
        <f>SUM(K140,K143,K148,K149,K150,K151)</f>
        <v>629504</v>
      </c>
      <c r="L139" s="1326">
        <f t="shared" si="15"/>
        <v>0.4809232445267157</v>
      </c>
      <c r="M139" s="2125"/>
      <c r="N139" s="289"/>
      <c r="O139" s="289"/>
      <c r="P139" s="289"/>
    </row>
    <row r="140" spans="1:16" ht="20.100000000000001" customHeight="1">
      <c r="A140" s="1930"/>
      <c r="B140" s="2128"/>
      <c r="C140" s="904" t="s">
        <v>19</v>
      </c>
      <c r="D140" s="1325"/>
      <c r="E140" s="906"/>
      <c r="F140" s="906"/>
      <c r="G140" s="906"/>
      <c r="H140" s="906">
        <f>SUM(H141:H142)</f>
        <v>0</v>
      </c>
      <c r="I140" s="1352"/>
      <c r="J140" s="906">
        <f>SUM(J141:J142)</f>
        <v>0</v>
      </c>
      <c r="K140" s="406"/>
      <c r="L140" s="1326"/>
      <c r="M140" s="2125"/>
    </row>
    <row r="141" spans="1:16" ht="20.100000000000001" customHeight="1">
      <c r="A141" s="1930"/>
      <c r="B141" s="2128"/>
      <c r="C141" s="904" t="s">
        <v>20</v>
      </c>
      <c r="D141" s="1325"/>
      <c r="E141" s="906"/>
      <c r="F141" s="906"/>
      <c r="G141" s="906"/>
      <c r="H141" s="906"/>
      <c r="I141" s="1352"/>
      <c r="J141" s="906"/>
      <c r="K141" s="406"/>
      <c r="L141" s="1326"/>
      <c r="M141" s="2125"/>
    </row>
    <row r="142" spans="1:16" ht="20.100000000000001" customHeight="1">
      <c r="A142" s="1930"/>
      <c r="B142" s="2128"/>
      <c r="C142" s="910" t="s">
        <v>21</v>
      </c>
      <c r="D142" s="1327"/>
      <c r="E142" s="906"/>
      <c r="F142" s="906"/>
      <c r="G142" s="906"/>
      <c r="H142" s="906"/>
      <c r="I142" s="1352"/>
      <c r="J142" s="906"/>
      <c r="K142" s="406"/>
      <c r="L142" s="1326"/>
      <c r="M142" s="2125"/>
    </row>
    <row r="143" spans="1:16" ht="18" customHeight="1">
      <c r="A143" s="1930"/>
      <c r="B143" s="2128"/>
      <c r="C143" s="1938" t="s">
        <v>23</v>
      </c>
      <c r="D143" s="1325" t="s">
        <v>22</v>
      </c>
      <c r="E143" s="906">
        <f>SUM(E144:E147)</f>
        <v>1308949</v>
      </c>
      <c r="F143" s="906">
        <f>SUM(F144:F147)</f>
        <v>1851151</v>
      </c>
      <c r="G143" s="906">
        <f>SUM(G144:G147)</f>
        <v>0</v>
      </c>
      <c r="H143" s="906">
        <f>SUM(H144:H147)</f>
        <v>629504</v>
      </c>
      <c r="I143" s="1352">
        <f>H143/E143</f>
        <v>0.4809232445267157</v>
      </c>
      <c r="J143" s="906">
        <f>SUM(J144:J147)</f>
        <v>0</v>
      </c>
      <c r="K143" s="406">
        <f>SUM(K144:K147)</f>
        <v>629504</v>
      </c>
      <c r="L143" s="1326">
        <f t="shared" si="15"/>
        <v>0.4809232445267157</v>
      </c>
      <c r="M143" s="2125"/>
    </row>
    <row r="144" spans="1:16" ht="18" customHeight="1">
      <c r="A144" s="1930"/>
      <c r="B144" s="2128"/>
      <c r="C144" s="1939"/>
      <c r="D144" s="1328">
        <v>2009</v>
      </c>
      <c r="E144" s="1329">
        <v>813868</v>
      </c>
      <c r="F144" s="1329">
        <v>1189800</v>
      </c>
      <c r="G144" s="1329"/>
      <c r="H144" s="1329">
        <v>611361</v>
      </c>
      <c r="I144" s="1352">
        <f>H144/E144</f>
        <v>0.75117955245813817</v>
      </c>
      <c r="J144" s="1329"/>
      <c r="K144" s="471">
        <f t="shared" ref="K144:K147" si="16">H144+J144</f>
        <v>611361</v>
      </c>
      <c r="L144" s="1326">
        <f t="shared" si="15"/>
        <v>0.75117955245813817</v>
      </c>
      <c r="M144" s="2125"/>
    </row>
    <row r="145" spans="1:16" ht="18" customHeight="1">
      <c r="A145" s="1930"/>
      <c r="B145" s="2128"/>
      <c r="C145" s="1939"/>
      <c r="D145" s="1328">
        <v>2059</v>
      </c>
      <c r="E145" s="1329">
        <v>495081</v>
      </c>
      <c r="F145" s="1329">
        <v>579549</v>
      </c>
      <c r="G145" s="1329"/>
      <c r="H145" s="1329">
        <v>18143</v>
      </c>
      <c r="I145" s="1352">
        <f t="shared" ref="I145" si="17">H145/E145</f>
        <v>3.6646528547853788E-2</v>
      </c>
      <c r="J145" s="1329"/>
      <c r="K145" s="471">
        <f t="shared" si="16"/>
        <v>18143</v>
      </c>
      <c r="L145" s="1326">
        <f t="shared" si="15"/>
        <v>3.6646528547853788E-2</v>
      </c>
      <c r="M145" s="2125"/>
    </row>
    <row r="146" spans="1:16" ht="18" customHeight="1">
      <c r="A146" s="1930"/>
      <c r="B146" s="2128"/>
      <c r="C146" s="1939"/>
      <c r="D146" s="1328">
        <v>2919</v>
      </c>
      <c r="E146" s="1329">
        <v>0</v>
      </c>
      <c r="F146" s="1329">
        <v>17850</v>
      </c>
      <c r="G146" s="1329"/>
      <c r="H146" s="1329">
        <v>0</v>
      </c>
      <c r="I146" s="1352"/>
      <c r="J146" s="1329"/>
      <c r="K146" s="471">
        <f t="shared" si="16"/>
        <v>0</v>
      </c>
      <c r="L146" s="1326"/>
      <c r="M146" s="2125"/>
    </row>
    <row r="147" spans="1:16" ht="18" customHeight="1">
      <c r="A147" s="1930"/>
      <c r="B147" s="2128"/>
      <c r="C147" s="2117"/>
      <c r="D147" s="1328">
        <v>2959</v>
      </c>
      <c r="E147" s="1329">
        <v>0</v>
      </c>
      <c r="F147" s="1329">
        <v>63952</v>
      </c>
      <c r="G147" s="1329"/>
      <c r="H147" s="1329">
        <v>0</v>
      </c>
      <c r="I147" s="1352"/>
      <c r="J147" s="1329"/>
      <c r="K147" s="471">
        <f t="shared" si="16"/>
        <v>0</v>
      </c>
      <c r="L147" s="1326"/>
      <c r="M147" s="2125"/>
    </row>
    <row r="148" spans="1:16">
      <c r="A148" s="1930"/>
      <c r="B148" s="2128"/>
      <c r="C148" s="904" t="s">
        <v>24</v>
      </c>
      <c r="D148" s="1325"/>
      <c r="E148" s="906"/>
      <c r="F148" s="906"/>
      <c r="G148" s="906"/>
      <c r="H148" s="906"/>
      <c r="I148" s="1352"/>
      <c r="J148" s="906"/>
      <c r="K148" s="406"/>
      <c r="L148" s="1326"/>
      <c r="M148" s="2125"/>
    </row>
    <row r="149" spans="1:16" ht="22.5">
      <c r="A149" s="1930"/>
      <c r="B149" s="2128"/>
      <c r="C149" s="174" t="s">
        <v>25</v>
      </c>
      <c r="D149" s="1325"/>
      <c r="E149" s="906"/>
      <c r="F149" s="906"/>
      <c r="G149" s="906"/>
      <c r="H149" s="906"/>
      <c r="I149" s="1352"/>
      <c r="J149" s="906"/>
      <c r="K149" s="406"/>
      <c r="L149" s="1326"/>
      <c r="M149" s="2125"/>
    </row>
    <row r="150" spans="1:16">
      <c r="A150" s="1930"/>
      <c r="B150" s="2128"/>
      <c r="C150" s="904" t="s">
        <v>26</v>
      </c>
      <c r="D150" s="1325"/>
      <c r="E150" s="906"/>
      <c r="F150" s="906"/>
      <c r="G150" s="906"/>
      <c r="H150" s="906"/>
      <c r="I150" s="1352"/>
      <c r="J150" s="906"/>
      <c r="K150" s="406"/>
      <c r="L150" s="1326"/>
      <c r="M150" s="2125"/>
    </row>
    <row r="151" spans="1:16">
      <c r="A151" s="1930"/>
      <c r="B151" s="2128"/>
      <c r="C151" s="904" t="s">
        <v>27</v>
      </c>
      <c r="D151" s="1325"/>
      <c r="E151" s="906"/>
      <c r="F151" s="906"/>
      <c r="G151" s="906"/>
      <c r="H151" s="906"/>
      <c r="I151" s="1352"/>
      <c r="J151" s="906"/>
      <c r="K151" s="406"/>
      <c r="L151" s="1326"/>
      <c r="M151" s="2125"/>
    </row>
    <row r="152" spans="1:16">
      <c r="A152" s="1930"/>
      <c r="B152" s="2128"/>
      <c r="C152" s="911" t="s">
        <v>28</v>
      </c>
      <c r="D152" s="1330"/>
      <c r="E152" s="903">
        <f>SUM(E153,E159,E160)</f>
        <v>28950</v>
      </c>
      <c r="F152" s="903">
        <f>SUM(F153,F159,F160)</f>
        <v>18349</v>
      </c>
      <c r="G152" s="903">
        <f>SUM(G153,G159,G160)</f>
        <v>0</v>
      </c>
      <c r="H152" s="903">
        <f>SUM(H153,H159,H160)</f>
        <v>0</v>
      </c>
      <c r="I152" s="1358">
        <f>H152/E152</f>
        <v>0</v>
      </c>
      <c r="J152" s="903">
        <f>SUM(J153,J159,J160)</f>
        <v>0</v>
      </c>
      <c r="K152" s="447">
        <f>SUM(K153,K159,K160)</f>
        <v>0</v>
      </c>
      <c r="L152" s="1326">
        <f t="shared" si="15"/>
        <v>0</v>
      </c>
      <c r="M152" s="2125"/>
    </row>
    <row r="153" spans="1:16" s="977" customFormat="1">
      <c r="A153" s="1930"/>
      <c r="B153" s="2128"/>
      <c r="C153" s="1938" t="s">
        <v>29</v>
      </c>
      <c r="D153" s="1325" t="s">
        <v>22</v>
      </c>
      <c r="E153" s="906">
        <f>SUM(E154:E157)</f>
        <v>28950</v>
      </c>
      <c r="F153" s="906">
        <f>SUM(F154:F157)</f>
        <v>18349</v>
      </c>
      <c r="G153" s="906">
        <f>SUM(G154:G157)</f>
        <v>0</v>
      </c>
      <c r="H153" s="906">
        <f>SUM(H154:H157)</f>
        <v>0</v>
      </c>
      <c r="I153" s="1352">
        <f>H153/E153</f>
        <v>0</v>
      </c>
      <c r="J153" s="906">
        <f>SUM(J154:J157)</f>
        <v>0</v>
      </c>
      <c r="K153" s="406">
        <f>SUM(K154:K157)</f>
        <v>0</v>
      </c>
      <c r="L153" s="1326">
        <f t="shared" si="15"/>
        <v>0</v>
      </c>
      <c r="M153" s="2125"/>
      <c r="N153" s="1144"/>
      <c r="O153" s="1144"/>
      <c r="P153" s="1144"/>
    </row>
    <row r="154" spans="1:16" s="977" customFormat="1">
      <c r="A154" s="1930"/>
      <c r="B154" s="2128"/>
      <c r="C154" s="1939"/>
      <c r="D154" s="1325">
        <v>6209</v>
      </c>
      <c r="E154" s="906">
        <v>0</v>
      </c>
      <c r="F154" s="906">
        <v>7839</v>
      </c>
      <c r="G154" s="906"/>
      <c r="H154" s="906">
        <v>0</v>
      </c>
      <c r="I154" s="1352"/>
      <c r="J154" s="906"/>
      <c r="K154" s="471">
        <f t="shared" ref="K154:K157" si="18">H154+J154</f>
        <v>0</v>
      </c>
      <c r="L154" s="1326"/>
      <c r="M154" s="2125"/>
      <c r="N154" s="1144"/>
      <c r="O154" s="1144"/>
      <c r="P154" s="1144"/>
    </row>
    <row r="155" spans="1:16" s="977" customFormat="1">
      <c r="A155" s="1930"/>
      <c r="B155" s="2128"/>
      <c r="C155" s="1939"/>
      <c r="D155" s="1325">
        <v>6259</v>
      </c>
      <c r="E155" s="906">
        <v>28950</v>
      </c>
      <c r="F155" s="906">
        <v>4917</v>
      </c>
      <c r="G155" s="906"/>
      <c r="H155" s="906">
        <v>0</v>
      </c>
      <c r="I155" s="1352">
        <f>H155/E155</f>
        <v>0</v>
      </c>
      <c r="J155" s="906"/>
      <c r="K155" s="471">
        <f t="shared" si="18"/>
        <v>0</v>
      </c>
      <c r="L155" s="1326">
        <f t="shared" si="15"/>
        <v>0</v>
      </c>
      <c r="M155" s="2125"/>
      <c r="N155" s="1144"/>
      <c r="O155" s="1144"/>
      <c r="P155" s="1144"/>
    </row>
    <row r="156" spans="1:16" s="977" customFormat="1">
      <c r="A156" s="1930"/>
      <c r="B156" s="2128"/>
      <c r="C156" s="1939"/>
      <c r="D156" s="1325">
        <v>6699</v>
      </c>
      <c r="E156" s="906">
        <v>0</v>
      </c>
      <c r="F156" s="906">
        <v>4652</v>
      </c>
      <c r="G156" s="906"/>
      <c r="H156" s="906">
        <v>0</v>
      </c>
      <c r="I156" s="1352"/>
      <c r="J156" s="906"/>
      <c r="K156" s="471"/>
      <c r="L156" s="1326"/>
      <c r="M156" s="2125"/>
      <c r="N156" s="1144"/>
      <c r="O156" s="1144"/>
      <c r="P156" s="1144"/>
    </row>
    <row r="157" spans="1:16" s="977" customFormat="1">
      <c r="A157" s="1930"/>
      <c r="B157" s="2128"/>
      <c r="C157" s="2117"/>
      <c r="D157" s="1325">
        <v>6669</v>
      </c>
      <c r="E157" s="906">
        <v>0</v>
      </c>
      <c r="F157" s="906">
        <v>941</v>
      </c>
      <c r="G157" s="906"/>
      <c r="H157" s="906">
        <v>0</v>
      </c>
      <c r="I157" s="1352"/>
      <c r="J157" s="906"/>
      <c r="K157" s="471">
        <f t="shared" si="18"/>
        <v>0</v>
      </c>
      <c r="L157" s="1326"/>
      <c r="M157" s="2125"/>
      <c r="N157" s="1144"/>
      <c r="O157" s="1144"/>
      <c r="P157" s="1144"/>
    </row>
    <row r="158" spans="1:16" ht="20.100000000000001" customHeight="1">
      <c r="A158" s="1930"/>
      <c r="B158" s="2128"/>
      <c r="C158" s="174" t="s">
        <v>30</v>
      </c>
      <c r="D158" s="1327"/>
      <c r="E158" s="906"/>
      <c r="F158" s="906"/>
      <c r="G158" s="906"/>
      <c r="H158" s="906"/>
      <c r="I158" s="1352"/>
      <c r="J158" s="906"/>
      <c r="K158" s="406"/>
      <c r="L158" s="1326"/>
      <c r="M158" s="2125"/>
    </row>
    <row r="159" spans="1:16">
      <c r="A159" s="1930"/>
      <c r="B159" s="2128"/>
      <c r="C159" s="904" t="s">
        <v>31</v>
      </c>
      <c r="D159" s="1325"/>
      <c r="E159" s="906"/>
      <c r="F159" s="906"/>
      <c r="G159" s="906"/>
      <c r="H159" s="906"/>
      <c r="I159" s="1352"/>
      <c r="J159" s="906"/>
      <c r="K159" s="406"/>
      <c r="L159" s="1326"/>
      <c r="M159" s="2125"/>
    </row>
    <row r="160" spans="1:16" s="189" customFormat="1">
      <c r="A160" s="2119"/>
      <c r="B160" s="2128"/>
      <c r="C160" s="904" t="s">
        <v>32</v>
      </c>
      <c r="D160" s="1325"/>
      <c r="E160" s="903"/>
      <c r="F160" s="903"/>
      <c r="G160" s="903"/>
      <c r="H160" s="903"/>
      <c r="I160" s="1352"/>
      <c r="J160" s="903"/>
      <c r="K160" s="406"/>
      <c r="L160" s="1326"/>
      <c r="M160" s="2126"/>
      <c r="N160" s="289"/>
      <c r="O160" s="289"/>
      <c r="P160" s="289"/>
    </row>
    <row r="161" spans="1:16" s="1044" customFormat="1" ht="20.100000000000001" customHeight="1">
      <c r="A161" s="799" t="s">
        <v>110</v>
      </c>
      <c r="B161" s="764"/>
      <c r="C161" s="765" t="s">
        <v>111</v>
      </c>
      <c r="D161" s="764"/>
      <c r="E161" s="591">
        <f>SUM(E162)</f>
        <v>6435646</v>
      </c>
      <c r="F161" s="591">
        <f>SUM(F162)</f>
        <v>7028308</v>
      </c>
      <c r="G161" s="591">
        <f>SUM(G162)</f>
        <v>0</v>
      </c>
      <c r="H161" s="591">
        <f>SUM(H162)</f>
        <v>11191126</v>
      </c>
      <c r="I161" s="1145">
        <f>H161/E161</f>
        <v>1.7389281511133459</v>
      </c>
      <c r="J161" s="591">
        <f>SUM(J162)</f>
        <v>0</v>
      </c>
      <c r="K161" s="488">
        <f>SUM(K162)</f>
        <v>11191126</v>
      </c>
      <c r="L161" s="1332">
        <f t="shared" si="15"/>
        <v>1.7389281511133459</v>
      </c>
      <c r="M161" s="1201"/>
      <c r="N161" s="285"/>
      <c r="O161" s="285"/>
      <c r="P161" s="285"/>
    </row>
    <row r="162" spans="1:16" s="189" customFormat="1" ht="15" customHeight="1">
      <c r="A162" s="1929"/>
      <c r="B162" s="1972" t="s">
        <v>429</v>
      </c>
      <c r="C162" s="1319" t="s">
        <v>581</v>
      </c>
      <c r="D162" s="1320"/>
      <c r="E162" s="1321">
        <f>SUM(E163,E172)</f>
        <v>6435646</v>
      </c>
      <c r="F162" s="1321">
        <f>SUM(F163,F172)</f>
        <v>7028308</v>
      </c>
      <c r="G162" s="1321"/>
      <c r="H162" s="1321">
        <f>SUM(H163,H172)</f>
        <v>11191126</v>
      </c>
      <c r="I162" s="1357">
        <f>H162/E162</f>
        <v>1.7389281511133459</v>
      </c>
      <c r="J162" s="1321">
        <f>SUM(J163,J172)</f>
        <v>0</v>
      </c>
      <c r="K162" s="445">
        <f>SUM(K163,K172)</f>
        <v>11191126</v>
      </c>
      <c r="L162" s="1333">
        <f t="shared" si="15"/>
        <v>1.7389281511133459</v>
      </c>
      <c r="M162" s="2120" t="s">
        <v>582</v>
      </c>
      <c r="N162" s="289"/>
      <c r="O162" s="289"/>
      <c r="P162" s="289"/>
    </row>
    <row r="163" spans="1:16" s="189" customFormat="1" ht="15" customHeight="1">
      <c r="A163" s="1930"/>
      <c r="B163" s="1944"/>
      <c r="C163" s="901" t="s">
        <v>18</v>
      </c>
      <c r="D163" s="1323"/>
      <c r="E163" s="903">
        <f>SUM(E164,E167,E168,E169,E170,E171)</f>
        <v>0</v>
      </c>
      <c r="F163" s="903">
        <f>SUM(F164,F167,F168,F169,F170,F171)</f>
        <v>0</v>
      </c>
      <c r="G163" s="903">
        <f>SUM(G164,G167,G168,G169,G170,G171)</f>
        <v>0</v>
      </c>
      <c r="H163" s="903">
        <f>SUM(H164,H167,H168,H169,H170,H171)</f>
        <v>0</v>
      </c>
      <c r="I163" s="1358"/>
      <c r="J163" s="903">
        <f>SUM(J164,J167,J168,J169,J170,J171)</f>
        <v>0</v>
      </c>
      <c r="K163" s="447">
        <f>SUM(K164,K167,K168,K169,K170,K171)</f>
        <v>0</v>
      </c>
      <c r="L163" s="1326"/>
      <c r="M163" s="2121"/>
      <c r="N163" s="289"/>
      <c r="O163" s="289"/>
      <c r="P163" s="289"/>
    </row>
    <row r="164" spans="1:16" ht="15" customHeight="1">
      <c r="A164" s="1930"/>
      <c r="B164" s="1944"/>
      <c r="C164" s="904" t="s">
        <v>19</v>
      </c>
      <c r="D164" s="1325"/>
      <c r="E164" s="906"/>
      <c r="F164" s="906"/>
      <c r="G164" s="906"/>
      <c r="H164" s="906">
        <f>SUM(H165:H166)</f>
        <v>0</v>
      </c>
      <c r="I164" s="1358"/>
      <c r="J164" s="906">
        <f>SUM(J165:J166)</f>
        <v>0</v>
      </c>
      <c r="K164" s="406"/>
      <c r="L164" s="1326"/>
      <c r="M164" s="2121"/>
    </row>
    <row r="165" spans="1:16" ht="15" customHeight="1">
      <c r="A165" s="1930"/>
      <c r="B165" s="1944"/>
      <c r="C165" s="904" t="s">
        <v>20</v>
      </c>
      <c r="D165" s="1325"/>
      <c r="E165" s="906"/>
      <c r="F165" s="906"/>
      <c r="G165" s="906"/>
      <c r="H165" s="906"/>
      <c r="I165" s="1358"/>
      <c r="J165" s="906"/>
      <c r="K165" s="406"/>
      <c r="L165" s="1326"/>
      <c r="M165" s="2121"/>
    </row>
    <row r="166" spans="1:16" ht="15" customHeight="1">
      <c r="A166" s="1930"/>
      <c r="B166" s="1944"/>
      <c r="C166" s="910" t="s">
        <v>21</v>
      </c>
      <c r="D166" s="1327"/>
      <c r="E166" s="906"/>
      <c r="F166" s="906"/>
      <c r="G166" s="906"/>
      <c r="H166" s="906"/>
      <c r="I166" s="1358"/>
      <c r="J166" s="906"/>
      <c r="K166" s="406"/>
      <c r="L166" s="1326"/>
      <c r="M166" s="2121"/>
    </row>
    <row r="167" spans="1:16" ht="15" customHeight="1">
      <c r="A167" s="1930"/>
      <c r="B167" s="1944"/>
      <c r="C167" s="404" t="s">
        <v>23</v>
      </c>
      <c r="D167" s="1325"/>
      <c r="E167" s="906"/>
      <c r="F167" s="906"/>
      <c r="G167" s="906"/>
      <c r="H167" s="906"/>
      <c r="I167" s="1358"/>
      <c r="J167" s="906"/>
      <c r="K167" s="406"/>
      <c r="L167" s="1326"/>
      <c r="M167" s="2121"/>
    </row>
    <row r="168" spans="1:16" ht="15" customHeight="1">
      <c r="A168" s="1930"/>
      <c r="B168" s="1944"/>
      <c r="C168" s="904" t="s">
        <v>24</v>
      </c>
      <c r="D168" s="1325"/>
      <c r="E168" s="906"/>
      <c r="F168" s="906"/>
      <c r="G168" s="906"/>
      <c r="H168" s="906"/>
      <c r="I168" s="1358"/>
      <c r="J168" s="906"/>
      <c r="K168" s="406"/>
      <c r="L168" s="1326"/>
      <c r="M168" s="2121"/>
    </row>
    <row r="169" spans="1:16" ht="22.5">
      <c r="A169" s="1930"/>
      <c r="B169" s="1944"/>
      <c r="C169" s="174" t="s">
        <v>25</v>
      </c>
      <c r="D169" s="1325"/>
      <c r="E169" s="906"/>
      <c r="F169" s="906"/>
      <c r="G169" s="906"/>
      <c r="H169" s="906"/>
      <c r="I169" s="1358"/>
      <c r="J169" s="906"/>
      <c r="K169" s="406"/>
      <c r="L169" s="1326"/>
      <c r="M169" s="2121"/>
    </row>
    <row r="170" spans="1:16" ht="15" customHeight="1">
      <c r="A170" s="1930"/>
      <c r="B170" s="1944"/>
      <c r="C170" s="904" t="s">
        <v>26</v>
      </c>
      <c r="D170" s="1325"/>
      <c r="E170" s="906"/>
      <c r="F170" s="906"/>
      <c r="G170" s="906"/>
      <c r="H170" s="906"/>
      <c r="I170" s="1358"/>
      <c r="J170" s="906"/>
      <c r="K170" s="406"/>
      <c r="L170" s="1326"/>
      <c r="M170" s="2121"/>
    </row>
    <row r="171" spans="1:16" ht="15" customHeight="1">
      <c r="A171" s="1930"/>
      <c r="B171" s="1944"/>
      <c r="C171" s="904" t="s">
        <v>27</v>
      </c>
      <c r="D171" s="1325"/>
      <c r="E171" s="906"/>
      <c r="F171" s="906"/>
      <c r="G171" s="906"/>
      <c r="H171" s="906"/>
      <c r="I171" s="1358"/>
      <c r="J171" s="906"/>
      <c r="K171" s="406"/>
      <c r="L171" s="1326"/>
      <c r="M171" s="2121"/>
    </row>
    <row r="172" spans="1:16" ht="15" customHeight="1">
      <c r="A172" s="1930"/>
      <c r="B172" s="1944"/>
      <c r="C172" s="911" t="s">
        <v>28</v>
      </c>
      <c r="D172" s="1330"/>
      <c r="E172" s="903">
        <f>SUM(E173,E177,E178)</f>
        <v>6435646</v>
      </c>
      <c r="F172" s="903">
        <f>SUM(F173,F177,F178)</f>
        <v>7028308</v>
      </c>
      <c r="G172" s="903">
        <f>SUM(G173,G177,G178)</f>
        <v>0</v>
      </c>
      <c r="H172" s="903">
        <f>SUM(H173,H177,H178)</f>
        <v>11191126</v>
      </c>
      <c r="I172" s="1358">
        <f>H172/E172</f>
        <v>1.7389281511133459</v>
      </c>
      <c r="J172" s="903">
        <f>SUM(J173,J177,J178)</f>
        <v>0</v>
      </c>
      <c r="K172" s="447">
        <f>SUM(K173,K177,K178)</f>
        <v>11191126</v>
      </c>
      <c r="L172" s="1326">
        <f t="shared" si="15"/>
        <v>1.7389281511133459</v>
      </c>
      <c r="M172" s="2121"/>
    </row>
    <row r="173" spans="1:16" s="977" customFormat="1" ht="15" customHeight="1">
      <c r="A173" s="1930"/>
      <c r="B173" s="1944"/>
      <c r="C173" s="1938" t="s">
        <v>29</v>
      </c>
      <c r="D173" s="1325" t="s">
        <v>22</v>
      </c>
      <c r="E173" s="906">
        <f>SUM(E174:E175)</f>
        <v>6435646</v>
      </c>
      <c r="F173" s="906">
        <f t="shared" ref="F173:K173" si="19">SUM(F174:F175)</f>
        <v>7028308</v>
      </c>
      <c r="G173" s="906">
        <f t="shared" si="19"/>
        <v>0</v>
      </c>
      <c r="H173" s="906">
        <f t="shared" si="19"/>
        <v>11191126</v>
      </c>
      <c r="I173" s="1352">
        <f t="shared" ref="I173:I174" si="20">H173/E173</f>
        <v>1.7389281511133459</v>
      </c>
      <c r="J173" s="906">
        <f t="shared" si="19"/>
        <v>0</v>
      </c>
      <c r="K173" s="406">
        <f t="shared" si="19"/>
        <v>11191126</v>
      </c>
      <c r="L173" s="1326">
        <f t="shared" si="15"/>
        <v>1.7389281511133459</v>
      </c>
      <c r="M173" s="2121"/>
      <c r="N173" s="1144"/>
      <c r="O173" s="1144"/>
      <c r="P173" s="1144"/>
    </row>
    <row r="174" spans="1:16" s="977" customFormat="1" ht="15" customHeight="1">
      <c r="A174" s="1930"/>
      <c r="B174" s="1944"/>
      <c r="C174" s="1939"/>
      <c r="D174" s="1325">
        <v>6209</v>
      </c>
      <c r="E174" s="906">
        <v>6435646</v>
      </c>
      <c r="F174" s="906">
        <v>6135339</v>
      </c>
      <c r="G174" s="906"/>
      <c r="H174" s="906">
        <v>11191126</v>
      </c>
      <c r="I174" s="1352">
        <f t="shared" si="20"/>
        <v>1.7389281511133459</v>
      </c>
      <c r="J174" s="906"/>
      <c r="K174" s="406">
        <f>J174+H174</f>
        <v>11191126</v>
      </c>
      <c r="L174" s="1326">
        <f t="shared" si="15"/>
        <v>1.7389281511133459</v>
      </c>
      <c r="M174" s="2121"/>
      <c r="N174" s="1144"/>
      <c r="O174" s="1144"/>
      <c r="P174" s="1144"/>
    </row>
    <row r="175" spans="1:16" s="977" customFormat="1" ht="15" customHeight="1">
      <c r="A175" s="1930"/>
      <c r="B175" s="1944"/>
      <c r="C175" s="2117"/>
      <c r="D175" s="1325">
        <v>6699</v>
      </c>
      <c r="E175" s="906">
        <v>0</v>
      </c>
      <c r="F175" s="906">
        <v>892969</v>
      </c>
      <c r="G175" s="906"/>
      <c r="H175" s="906">
        <v>0</v>
      </c>
      <c r="I175" s="1352"/>
      <c r="J175" s="906"/>
      <c r="K175" s="406">
        <f t="shared" ref="K175" si="21">J175+H175</f>
        <v>0</v>
      </c>
      <c r="L175" s="1326"/>
      <c r="M175" s="2121"/>
      <c r="N175" s="1144"/>
      <c r="O175" s="1144"/>
      <c r="P175" s="1144"/>
    </row>
    <row r="176" spans="1:16" ht="22.5">
      <c r="A176" s="1930"/>
      <c r="B176" s="1944"/>
      <c r="C176" s="174" t="s">
        <v>30</v>
      </c>
      <c r="D176" s="1327"/>
      <c r="E176" s="906"/>
      <c r="F176" s="906"/>
      <c r="G176" s="906"/>
      <c r="H176" s="906"/>
      <c r="I176" s="1352"/>
      <c r="J176" s="906"/>
      <c r="K176" s="406"/>
      <c r="L176" s="1326"/>
      <c r="M176" s="2121"/>
    </row>
    <row r="177" spans="1:16" ht="15" customHeight="1">
      <c r="A177" s="1930"/>
      <c r="B177" s="1944"/>
      <c r="C177" s="904" t="s">
        <v>31</v>
      </c>
      <c r="D177" s="1325"/>
      <c r="E177" s="906"/>
      <c r="F177" s="906"/>
      <c r="G177" s="906"/>
      <c r="H177" s="906"/>
      <c r="I177" s="1352"/>
      <c r="J177" s="906"/>
      <c r="K177" s="406"/>
      <c r="L177" s="1326"/>
      <c r="M177" s="2121"/>
    </row>
    <row r="178" spans="1:16" s="189" customFormat="1" ht="15" customHeight="1" thickBot="1">
      <c r="A178" s="1931"/>
      <c r="B178" s="1945"/>
      <c r="C178" s="679" t="s">
        <v>32</v>
      </c>
      <c r="D178" s="680"/>
      <c r="E178" s="683"/>
      <c r="F178" s="683"/>
      <c r="G178" s="683"/>
      <c r="H178" s="683"/>
      <c r="I178" s="1178"/>
      <c r="J178" s="683"/>
      <c r="K178" s="627"/>
      <c r="L178" s="1326"/>
      <c r="M178" s="2123"/>
      <c r="N178" s="289"/>
      <c r="O178" s="289"/>
      <c r="P178" s="289"/>
    </row>
    <row r="179" spans="1:16" s="1044" customFormat="1" ht="20.100000000000001" customHeight="1">
      <c r="A179" s="392" t="s">
        <v>330</v>
      </c>
      <c r="B179" s="393"/>
      <c r="C179" s="812" t="s">
        <v>331</v>
      </c>
      <c r="D179" s="393"/>
      <c r="E179" s="395">
        <f>E180+E217</f>
        <v>12201541</v>
      </c>
      <c r="F179" s="395">
        <f>F180+F217</f>
        <v>13430365</v>
      </c>
      <c r="G179" s="395">
        <f>G180+G217</f>
        <v>0</v>
      </c>
      <c r="H179" s="395">
        <f>H180+H217</f>
        <v>27633341</v>
      </c>
      <c r="I179" s="1210">
        <f>H179/E179</f>
        <v>2.2647418879303851</v>
      </c>
      <c r="J179" s="395">
        <f>J180+J217</f>
        <v>0</v>
      </c>
      <c r="K179" s="1151">
        <f>K180+K217</f>
        <v>27633341</v>
      </c>
      <c r="L179" s="1318">
        <f t="shared" si="15"/>
        <v>2.2647418879303851</v>
      </c>
      <c r="M179" s="1202"/>
      <c r="N179" s="285"/>
      <c r="O179" s="285"/>
      <c r="P179" s="285"/>
    </row>
    <row r="180" spans="1:16" s="189" customFormat="1">
      <c r="A180" s="1929"/>
      <c r="B180" s="2128" t="s">
        <v>583</v>
      </c>
      <c r="C180" s="1319" t="s">
        <v>584</v>
      </c>
      <c r="D180" s="1320"/>
      <c r="E180" s="1321">
        <f>SUM(E181,E212)</f>
        <v>0</v>
      </c>
      <c r="F180" s="1321">
        <f>SUM(F181,F212)</f>
        <v>0</v>
      </c>
      <c r="G180" s="1321"/>
      <c r="H180" s="1321">
        <f>SUM(H181,H212)</f>
        <v>21431283</v>
      </c>
      <c r="I180" s="1357"/>
      <c r="J180" s="1321">
        <f>SUM(J181,J212)</f>
        <v>0</v>
      </c>
      <c r="K180" s="445">
        <f>SUM(K181,K212)</f>
        <v>21431283</v>
      </c>
      <c r="L180" s="1333"/>
      <c r="M180" s="2120" t="s">
        <v>585</v>
      </c>
      <c r="N180" s="289"/>
      <c r="O180" s="289"/>
      <c r="P180" s="289"/>
    </row>
    <row r="181" spans="1:16" s="189" customFormat="1">
      <c r="A181" s="1930"/>
      <c r="B181" s="2128"/>
      <c r="C181" s="901" t="s">
        <v>18</v>
      </c>
      <c r="D181" s="1323"/>
      <c r="E181" s="903">
        <f>SUM(E182,E185,E186,E187,E210,E211)</f>
        <v>0</v>
      </c>
      <c r="F181" s="903">
        <f>SUM(F182,F185,F186,F187,F210,F211)</f>
        <v>0</v>
      </c>
      <c r="G181" s="903"/>
      <c r="H181" s="903">
        <f>SUM(H182,H185,H186,H187,H210,H211)</f>
        <v>21431283</v>
      </c>
      <c r="I181" s="1211"/>
      <c r="J181" s="903">
        <f>SUM(J182,J185,J186,J187,J210,J211)</f>
        <v>0</v>
      </c>
      <c r="K181" s="447">
        <f>SUM(K182,K185,K186,K187,K210,K211)</f>
        <v>21431283</v>
      </c>
      <c r="L181" s="1326"/>
      <c r="M181" s="2125"/>
      <c r="N181" s="289"/>
      <c r="O181" s="289"/>
      <c r="P181" s="289"/>
    </row>
    <row r="182" spans="1:16">
      <c r="A182" s="1930"/>
      <c r="B182" s="2128"/>
      <c r="C182" s="904" t="s">
        <v>19</v>
      </c>
      <c r="D182" s="1325"/>
      <c r="E182" s="906"/>
      <c r="F182" s="906"/>
      <c r="G182" s="906"/>
      <c r="H182" s="906">
        <f>SUM(H183:H184)</f>
        <v>0</v>
      </c>
      <c r="I182" s="1211"/>
      <c r="J182" s="906">
        <f>SUM(J183:J184)</f>
        <v>0</v>
      </c>
      <c r="K182" s="406"/>
      <c r="L182" s="1326"/>
      <c r="M182" s="2125"/>
    </row>
    <row r="183" spans="1:16">
      <c r="A183" s="1930"/>
      <c r="B183" s="2128"/>
      <c r="C183" s="904" t="s">
        <v>20</v>
      </c>
      <c r="D183" s="1325"/>
      <c r="E183" s="906"/>
      <c r="F183" s="906"/>
      <c r="G183" s="906"/>
      <c r="H183" s="906"/>
      <c r="I183" s="1211"/>
      <c r="J183" s="906"/>
      <c r="K183" s="406"/>
      <c r="L183" s="1326"/>
      <c r="M183" s="2125"/>
    </row>
    <row r="184" spans="1:16" ht="12.75" customHeight="1">
      <c r="A184" s="1930"/>
      <c r="B184" s="2128"/>
      <c r="C184" s="910" t="s">
        <v>21</v>
      </c>
      <c r="D184" s="1327"/>
      <c r="E184" s="906"/>
      <c r="F184" s="906"/>
      <c r="G184" s="906"/>
      <c r="H184" s="906"/>
      <c r="I184" s="1211"/>
      <c r="J184" s="906"/>
      <c r="K184" s="406"/>
      <c r="L184" s="1326"/>
      <c r="M184" s="2125"/>
    </row>
    <row r="185" spans="1:16">
      <c r="A185" s="1930"/>
      <c r="B185" s="2128"/>
      <c r="C185" s="904" t="s">
        <v>23</v>
      </c>
      <c r="D185" s="1325"/>
      <c r="E185" s="906"/>
      <c r="F185" s="906"/>
      <c r="G185" s="906"/>
      <c r="H185" s="906"/>
      <c r="I185" s="1211"/>
      <c r="J185" s="906"/>
      <c r="K185" s="406"/>
      <c r="L185" s="1326"/>
      <c r="M185" s="2125"/>
    </row>
    <row r="186" spans="1:16">
      <c r="A186" s="1930"/>
      <c r="B186" s="2128"/>
      <c r="C186" s="904" t="s">
        <v>24</v>
      </c>
      <c r="D186" s="1325"/>
      <c r="E186" s="906"/>
      <c r="F186" s="906"/>
      <c r="G186" s="906"/>
      <c r="H186" s="906"/>
      <c r="I186" s="1211"/>
      <c r="J186" s="906"/>
      <c r="K186" s="406"/>
      <c r="L186" s="1326"/>
      <c r="M186" s="2125"/>
    </row>
    <row r="187" spans="1:16" ht="15" customHeight="1">
      <c r="A187" s="1930"/>
      <c r="B187" s="2128"/>
      <c r="C187" s="1934" t="s">
        <v>25</v>
      </c>
      <c r="D187" s="1325" t="s">
        <v>22</v>
      </c>
      <c r="E187" s="906">
        <f>SUM(E188:E209)</f>
        <v>0</v>
      </c>
      <c r="F187" s="906">
        <f>SUM(F188:F209)</f>
        <v>0</v>
      </c>
      <c r="G187" s="906">
        <f>SUM(G188:G209)</f>
        <v>0</v>
      </c>
      <c r="H187" s="906">
        <f>SUM(H188:H209)</f>
        <v>21431283</v>
      </c>
      <c r="I187" s="1212"/>
      <c r="J187" s="906">
        <f>SUM(J188:J209)</f>
        <v>0</v>
      </c>
      <c r="K187" s="406">
        <f>SUM(K188:K209)</f>
        <v>21431283</v>
      </c>
      <c r="L187" s="1326"/>
      <c r="M187" s="2125"/>
    </row>
    <row r="188" spans="1:16" ht="15" customHeight="1">
      <c r="A188" s="1930"/>
      <c r="B188" s="2128"/>
      <c r="C188" s="1935"/>
      <c r="D188" s="1328">
        <v>4017</v>
      </c>
      <c r="E188" s="1329">
        <v>0</v>
      </c>
      <c r="F188" s="1329">
        <v>0</v>
      </c>
      <c r="G188" s="1329"/>
      <c r="H188" s="1329">
        <v>1163245</v>
      </c>
      <c r="I188" s="1212"/>
      <c r="J188" s="1329"/>
      <c r="K188" s="471">
        <f t="shared" ref="K188:K209" si="22">H188+J188</f>
        <v>1163245</v>
      </c>
      <c r="L188" s="1326"/>
      <c r="M188" s="2125"/>
    </row>
    <row r="189" spans="1:16" ht="15" customHeight="1">
      <c r="A189" s="1930"/>
      <c r="B189" s="2128"/>
      <c r="C189" s="1935"/>
      <c r="D189" s="1328">
        <v>4019</v>
      </c>
      <c r="E189" s="1329">
        <v>0</v>
      </c>
      <c r="F189" s="1329">
        <v>0</v>
      </c>
      <c r="G189" s="1329"/>
      <c r="H189" s="1329">
        <v>205279</v>
      </c>
      <c r="I189" s="1212"/>
      <c r="J189" s="1329"/>
      <c r="K189" s="471">
        <f t="shared" si="22"/>
        <v>205279</v>
      </c>
      <c r="L189" s="1326"/>
      <c r="M189" s="2125"/>
    </row>
    <row r="190" spans="1:16" ht="15" customHeight="1">
      <c r="A190" s="1930"/>
      <c r="B190" s="2128"/>
      <c r="C190" s="1935"/>
      <c r="D190" s="1328">
        <v>4047</v>
      </c>
      <c r="E190" s="1329">
        <v>0</v>
      </c>
      <c r="F190" s="1329">
        <v>0</v>
      </c>
      <c r="G190" s="1329"/>
      <c r="H190" s="1329">
        <v>32375</v>
      </c>
      <c r="I190" s="1212"/>
      <c r="J190" s="1329"/>
      <c r="K190" s="471">
        <f t="shared" si="22"/>
        <v>32375</v>
      </c>
      <c r="L190" s="1326"/>
      <c r="M190" s="2125"/>
    </row>
    <row r="191" spans="1:16" ht="15" customHeight="1">
      <c r="A191" s="1930"/>
      <c r="B191" s="2128"/>
      <c r="C191" s="1935"/>
      <c r="D191" s="1328">
        <v>4049</v>
      </c>
      <c r="E191" s="1329">
        <v>0</v>
      </c>
      <c r="F191" s="1329">
        <v>0</v>
      </c>
      <c r="G191" s="1329"/>
      <c r="H191" s="1329">
        <v>5713</v>
      </c>
      <c r="I191" s="1212"/>
      <c r="J191" s="1329"/>
      <c r="K191" s="471">
        <f t="shared" si="22"/>
        <v>5713</v>
      </c>
      <c r="L191" s="1326"/>
      <c r="M191" s="2125"/>
    </row>
    <row r="192" spans="1:16" ht="15" customHeight="1">
      <c r="A192" s="1930"/>
      <c r="B192" s="2128"/>
      <c r="C192" s="1935"/>
      <c r="D192" s="1328">
        <v>4117</v>
      </c>
      <c r="E192" s="1329">
        <v>0</v>
      </c>
      <c r="F192" s="1329">
        <v>0</v>
      </c>
      <c r="G192" s="1329"/>
      <c r="H192" s="1329">
        <v>205526</v>
      </c>
      <c r="I192" s="1212"/>
      <c r="J192" s="1329"/>
      <c r="K192" s="471">
        <f t="shared" si="22"/>
        <v>205526</v>
      </c>
      <c r="L192" s="1326"/>
      <c r="M192" s="2125"/>
    </row>
    <row r="193" spans="1:13" ht="15" customHeight="1">
      <c r="A193" s="1930"/>
      <c r="B193" s="2128"/>
      <c r="C193" s="1935"/>
      <c r="D193" s="1328">
        <v>4119</v>
      </c>
      <c r="E193" s="1329">
        <v>0</v>
      </c>
      <c r="F193" s="1329">
        <v>0</v>
      </c>
      <c r="G193" s="1329"/>
      <c r="H193" s="1329">
        <v>36270</v>
      </c>
      <c r="I193" s="1212"/>
      <c r="J193" s="1329"/>
      <c r="K193" s="471">
        <f t="shared" si="22"/>
        <v>36270</v>
      </c>
      <c r="L193" s="1326"/>
      <c r="M193" s="2125"/>
    </row>
    <row r="194" spans="1:13" ht="15" customHeight="1">
      <c r="A194" s="1930"/>
      <c r="B194" s="2128"/>
      <c r="C194" s="1935"/>
      <c r="D194" s="1328">
        <v>4127</v>
      </c>
      <c r="E194" s="1329">
        <v>0</v>
      </c>
      <c r="F194" s="1329">
        <v>0</v>
      </c>
      <c r="G194" s="1329"/>
      <c r="H194" s="1329">
        <v>29294</v>
      </c>
      <c r="I194" s="1212"/>
      <c r="J194" s="1329"/>
      <c r="K194" s="471">
        <f t="shared" si="22"/>
        <v>29294</v>
      </c>
      <c r="L194" s="1326"/>
      <c r="M194" s="2125"/>
    </row>
    <row r="195" spans="1:13" ht="15" customHeight="1">
      <c r="A195" s="1930"/>
      <c r="B195" s="2128"/>
      <c r="C195" s="1935"/>
      <c r="D195" s="1328">
        <v>4129</v>
      </c>
      <c r="E195" s="1329">
        <v>0</v>
      </c>
      <c r="F195" s="1329">
        <v>0</v>
      </c>
      <c r="G195" s="1329"/>
      <c r="H195" s="1329">
        <v>5169</v>
      </c>
      <c r="I195" s="1212"/>
      <c r="J195" s="1329"/>
      <c r="K195" s="471">
        <f t="shared" si="22"/>
        <v>5169</v>
      </c>
      <c r="L195" s="1326"/>
      <c r="M195" s="2125"/>
    </row>
    <row r="196" spans="1:13" ht="15" customHeight="1">
      <c r="A196" s="1930"/>
      <c r="B196" s="2128"/>
      <c r="C196" s="1935"/>
      <c r="D196" s="1328">
        <v>4217</v>
      </c>
      <c r="E196" s="1329">
        <v>0</v>
      </c>
      <c r="F196" s="1329">
        <v>0</v>
      </c>
      <c r="G196" s="1329"/>
      <c r="H196" s="1329">
        <v>229500</v>
      </c>
      <c r="I196" s="1212"/>
      <c r="J196" s="1329"/>
      <c r="K196" s="471">
        <f t="shared" si="22"/>
        <v>229500</v>
      </c>
      <c r="L196" s="1326"/>
      <c r="M196" s="2125"/>
    </row>
    <row r="197" spans="1:13" ht="15" customHeight="1">
      <c r="A197" s="1930"/>
      <c r="B197" s="2128"/>
      <c r="C197" s="1935"/>
      <c r="D197" s="1328">
        <v>4219</v>
      </c>
      <c r="E197" s="1329">
        <v>0</v>
      </c>
      <c r="F197" s="1329">
        <v>0</v>
      </c>
      <c r="G197" s="1329"/>
      <c r="H197" s="1329">
        <v>40500</v>
      </c>
      <c r="I197" s="1212"/>
      <c r="J197" s="1329"/>
      <c r="K197" s="471">
        <f t="shared" si="22"/>
        <v>40500</v>
      </c>
      <c r="L197" s="1326"/>
      <c r="M197" s="2125"/>
    </row>
    <row r="198" spans="1:13" ht="15" customHeight="1">
      <c r="A198" s="1930"/>
      <c r="B198" s="2128"/>
      <c r="C198" s="1935"/>
      <c r="D198" s="1328">
        <v>4227</v>
      </c>
      <c r="E198" s="1329">
        <v>0</v>
      </c>
      <c r="F198" s="1329">
        <v>0</v>
      </c>
      <c r="G198" s="1329"/>
      <c r="H198" s="1329">
        <v>8500</v>
      </c>
      <c r="I198" s="1212"/>
      <c r="J198" s="1329"/>
      <c r="K198" s="471">
        <f t="shared" si="22"/>
        <v>8500</v>
      </c>
      <c r="L198" s="1326"/>
      <c r="M198" s="2125"/>
    </row>
    <row r="199" spans="1:13" ht="15" customHeight="1">
      <c r="A199" s="1930"/>
      <c r="B199" s="2128"/>
      <c r="C199" s="1935"/>
      <c r="D199" s="1328">
        <v>4229</v>
      </c>
      <c r="E199" s="1329">
        <v>0</v>
      </c>
      <c r="F199" s="1329">
        <v>0</v>
      </c>
      <c r="G199" s="1329"/>
      <c r="H199" s="1329">
        <v>1500</v>
      </c>
      <c r="I199" s="1212"/>
      <c r="J199" s="1329"/>
      <c r="K199" s="471">
        <f t="shared" si="22"/>
        <v>1500</v>
      </c>
      <c r="L199" s="1326"/>
      <c r="M199" s="2125"/>
    </row>
    <row r="200" spans="1:13" ht="15" customHeight="1">
      <c r="A200" s="1930"/>
      <c r="B200" s="2128"/>
      <c r="C200" s="1935"/>
      <c r="D200" s="1328">
        <v>4307</v>
      </c>
      <c r="E200" s="1329">
        <v>0</v>
      </c>
      <c r="F200" s="1329">
        <v>0</v>
      </c>
      <c r="G200" s="1329"/>
      <c r="H200" s="1329">
        <v>15836100</v>
      </c>
      <c r="I200" s="1212"/>
      <c r="J200" s="1329"/>
      <c r="K200" s="471">
        <f t="shared" si="22"/>
        <v>15836100</v>
      </c>
      <c r="L200" s="1326"/>
      <c r="M200" s="2125"/>
    </row>
    <row r="201" spans="1:13" ht="15" customHeight="1">
      <c r="A201" s="1930"/>
      <c r="B201" s="2128"/>
      <c r="C201" s="1935"/>
      <c r="D201" s="1328">
        <v>4309</v>
      </c>
      <c r="E201" s="1329">
        <v>0</v>
      </c>
      <c r="F201" s="1329">
        <v>0</v>
      </c>
      <c r="G201" s="1329"/>
      <c r="H201" s="1329">
        <v>2794606</v>
      </c>
      <c r="I201" s="1212"/>
      <c r="J201" s="1329"/>
      <c r="K201" s="471">
        <f t="shared" si="22"/>
        <v>2794606</v>
      </c>
      <c r="L201" s="1326"/>
      <c r="M201" s="2125"/>
    </row>
    <row r="202" spans="1:13" ht="15" customHeight="1">
      <c r="A202" s="1930"/>
      <c r="B202" s="2128"/>
      <c r="C202" s="1935"/>
      <c r="D202" s="1328">
        <v>4407</v>
      </c>
      <c r="E202" s="1329">
        <v>0</v>
      </c>
      <c r="F202" s="1329">
        <v>0</v>
      </c>
      <c r="G202" s="1329"/>
      <c r="H202" s="1329">
        <v>663000</v>
      </c>
      <c r="I202" s="1212"/>
      <c r="J202" s="1329"/>
      <c r="K202" s="471">
        <f t="shared" si="22"/>
        <v>663000</v>
      </c>
      <c r="L202" s="1326"/>
      <c r="M202" s="2125"/>
    </row>
    <row r="203" spans="1:13" ht="15" customHeight="1">
      <c r="A203" s="1930"/>
      <c r="B203" s="2128"/>
      <c r="C203" s="1935"/>
      <c r="D203" s="1328">
        <v>4409</v>
      </c>
      <c r="E203" s="1329">
        <v>0</v>
      </c>
      <c r="F203" s="1329">
        <v>0</v>
      </c>
      <c r="G203" s="1329"/>
      <c r="H203" s="1329">
        <v>117000</v>
      </c>
      <c r="I203" s="1212"/>
      <c r="J203" s="1329"/>
      <c r="K203" s="471">
        <f t="shared" si="22"/>
        <v>117000</v>
      </c>
      <c r="L203" s="1326"/>
      <c r="M203" s="2125"/>
    </row>
    <row r="204" spans="1:13" ht="15" customHeight="1">
      <c r="A204" s="1930"/>
      <c r="B204" s="2128"/>
      <c r="C204" s="1935"/>
      <c r="D204" s="1328">
        <v>4417</v>
      </c>
      <c r="E204" s="1329">
        <v>0</v>
      </c>
      <c r="F204" s="1329">
        <v>0</v>
      </c>
      <c r="G204" s="1329"/>
      <c r="H204" s="1329">
        <v>8500</v>
      </c>
      <c r="I204" s="1212"/>
      <c r="J204" s="1329"/>
      <c r="K204" s="471">
        <f t="shared" si="22"/>
        <v>8500</v>
      </c>
      <c r="L204" s="1326"/>
      <c r="M204" s="2125"/>
    </row>
    <row r="205" spans="1:13" ht="15" customHeight="1">
      <c r="A205" s="1930"/>
      <c r="B205" s="2128"/>
      <c r="C205" s="1935"/>
      <c r="D205" s="1328">
        <v>4419</v>
      </c>
      <c r="E205" s="1329">
        <v>0</v>
      </c>
      <c r="F205" s="1329">
        <v>0</v>
      </c>
      <c r="G205" s="1329"/>
      <c r="H205" s="1329">
        <v>1500</v>
      </c>
      <c r="I205" s="1212"/>
      <c r="J205" s="1329"/>
      <c r="K205" s="471">
        <f t="shared" si="22"/>
        <v>1500</v>
      </c>
      <c r="L205" s="1326"/>
      <c r="M205" s="2125"/>
    </row>
    <row r="206" spans="1:13" ht="15" customHeight="1">
      <c r="A206" s="1930"/>
      <c r="B206" s="2128"/>
      <c r="C206" s="1935"/>
      <c r="D206" s="1328">
        <v>4447</v>
      </c>
      <c r="E206" s="1329">
        <v>0</v>
      </c>
      <c r="F206" s="1329">
        <v>0</v>
      </c>
      <c r="G206" s="1329"/>
      <c r="H206" s="1329">
        <v>22617</v>
      </c>
      <c r="I206" s="1212"/>
      <c r="J206" s="1329"/>
      <c r="K206" s="471">
        <f t="shared" si="22"/>
        <v>22617</v>
      </c>
      <c r="L206" s="1326"/>
      <c r="M206" s="2125"/>
    </row>
    <row r="207" spans="1:13" ht="15" customHeight="1">
      <c r="A207" s="1930"/>
      <c r="B207" s="2128"/>
      <c r="C207" s="1935"/>
      <c r="D207" s="1359">
        <v>4449</v>
      </c>
      <c r="E207" s="1329">
        <v>0</v>
      </c>
      <c r="F207" s="1329">
        <v>0</v>
      </c>
      <c r="G207" s="1329"/>
      <c r="H207" s="1329">
        <v>3991</v>
      </c>
      <c r="I207" s="1212"/>
      <c r="J207" s="1329"/>
      <c r="K207" s="471">
        <f t="shared" si="22"/>
        <v>3991</v>
      </c>
      <c r="L207" s="1326"/>
      <c r="M207" s="2125"/>
    </row>
    <row r="208" spans="1:13" ht="15" customHeight="1">
      <c r="A208" s="1930"/>
      <c r="B208" s="2128"/>
      <c r="C208" s="1935"/>
      <c r="D208" s="1359">
        <v>4717</v>
      </c>
      <c r="E208" s="1329">
        <v>0</v>
      </c>
      <c r="F208" s="1329">
        <v>0</v>
      </c>
      <c r="G208" s="1329"/>
      <c r="H208" s="1329">
        <v>17933</v>
      </c>
      <c r="I208" s="1212"/>
      <c r="J208" s="1329"/>
      <c r="K208" s="471">
        <f t="shared" si="22"/>
        <v>17933</v>
      </c>
      <c r="L208" s="1326"/>
      <c r="M208" s="2125"/>
    </row>
    <row r="209" spans="1:16">
      <c r="A209" s="1930"/>
      <c r="B209" s="2128"/>
      <c r="C209" s="1935"/>
      <c r="D209" s="1359">
        <v>4719</v>
      </c>
      <c r="E209" s="1329">
        <v>0</v>
      </c>
      <c r="F209" s="1329">
        <v>0</v>
      </c>
      <c r="G209" s="1329"/>
      <c r="H209" s="1329">
        <v>3165</v>
      </c>
      <c r="I209" s="1212"/>
      <c r="J209" s="1329"/>
      <c r="K209" s="471">
        <f t="shared" si="22"/>
        <v>3165</v>
      </c>
      <c r="L209" s="1326"/>
      <c r="M209" s="2125"/>
    </row>
    <row r="210" spans="1:16">
      <c r="A210" s="1930"/>
      <c r="B210" s="2128"/>
      <c r="C210" s="904" t="s">
        <v>26</v>
      </c>
      <c r="D210" s="1325"/>
      <c r="E210" s="906"/>
      <c r="F210" s="906"/>
      <c r="G210" s="906"/>
      <c r="H210" s="906"/>
      <c r="I210" s="1211"/>
      <c r="J210" s="906"/>
      <c r="K210" s="406"/>
      <c r="L210" s="1326"/>
      <c r="M210" s="2125"/>
    </row>
    <row r="211" spans="1:16">
      <c r="A211" s="1930"/>
      <c r="B211" s="2128"/>
      <c r="C211" s="904" t="s">
        <v>27</v>
      </c>
      <c r="D211" s="1325"/>
      <c r="E211" s="906"/>
      <c r="F211" s="906"/>
      <c r="G211" s="906"/>
      <c r="H211" s="906"/>
      <c r="I211" s="1211"/>
      <c r="J211" s="906"/>
      <c r="K211" s="406"/>
      <c r="L211" s="1326"/>
      <c r="M211" s="2125"/>
    </row>
    <row r="212" spans="1:16">
      <c r="A212" s="1930"/>
      <c r="B212" s="2128"/>
      <c r="C212" s="911" t="s">
        <v>28</v>
      </c>
      <c r="D212" s="1330"/>
      <c r="E212" s="903">
        <f>SUM(E213,E215,E216)</f>
        <v>0</v>
      </c>
      <c r="F212" s="903">
        <f>SUM(F213,F215,F216)</f>
        <v>0</v>
      </c>
      <c r="G212" s="903"/>
      <c r="H212" s="903">
        <f>SUM(H213,H215,H216)</f>
        <v>0</v>
      </c>
      <c r="I212" s="1211"/>
      <c r="J212" s="903">
        <f>SUM(J213,J215,J216)</f>
        <v>0</v>
      </c>
      <c r="K212" s="447">
        <f>SUM(K213,K215,K216)</f>
        <v>0</v>
      </c>
      <c r="L212" s="1326"/>
      <c r="M212" s="2125"/>
    </row>
    <row r="213" spans="1:16">
      <c r="A213" s="1930"/>
      <c r="B213" s="2128"/>
      <c r="C213" s="404" t="s">
        <v>29</v>
      </c>
      <c r="D213" s="1325"/>
      <c r="E213" s="906"/>
      <c r="F213" s="906"/>
      <c r="G213" s="906"/>
      <c r="H213" s="906"/>
      <c r="I213" s="1212"/>
      <c r="J213" s="906"/>
      <c r="K213" s="406">
        <f>J213+H213</f>
        <v>0</v>
      </c>
      <c r="L213" s="1326"/>
      <c r="M213" s="2125"/>
    </row>
    <row r="214" spans="1:16" ht="22.5">
      <c r="A214" s="1930"/>
      <c r="B214" s="2128"/>
      <c r="C214" s="405" t="s">
        <v>30</v>
      </c>
      <c r="D214" s="1325"/>
      <c r="E214" s="906"/>
      <c r="F214" s="906"/>
      <c r="G214" s="906"/>
      <c r="H214" s="906"/>
      <c r="I214" s="1212"/>
      <c r="J214" s="906"/>
      <c r="K214" s="406"/>
      <c r="L214" s="1326"/>
      <c r="M214" s="2125"/>
    </row>
    <row r="215" spans="1:16">
      <c r="A215" s="1930"/>
      <c r="B215" s="2128"/>
      <c r="C215" s="904" t="s">
        <v>31</v>
      </c>
      <c r="D215" s="1325"/>
      <c r="E215" s="906"/>
      <c r="F215" s="906"/>
      <c r="G215" s="906"/>
      <c r="H215" s="906"/>
      <c r="I215" s="1213"/>
      <c r="J215" s="906"/>
      <c r="K215" s="406"/>
      <c r="L215" s="1326"/>
      <c r="M215" s="2125"/>
    </row>
    <row r="216" spans="1:16" s="189" customFormat="1" ht="13.5" thickBot="1">
      <c r="A216" s="1931"/>
      <c r="B216" s="1933"/>
      <c r="C216" s="679" t="s">
        <v>32</v>
      </c>
      <c r="D216" s="680"/>
      <c r="E216" s="683"/>
      <c r="F216" s="683"/>
      <c r="G216" s="683"/>
      <c r="H216" s="683"/>
      <c r="I216" s="1214"/>
      <c r="J216" s="683"/>
      <c r="K216" s="627"/>
      <c r="L216" s="1326"/>
      <c r="M216" s="2136"/>
      <c r="N216" s="289"/>
      <c r="O216" s="289"/>
      <c r="P216" s="289"/>
    </row>
    <row r="217" spans="1:16" s="189" customFormat="1" ht="20.100000000000001" customHeight="1">
      <c r="A217" s="1943"/>
      <c r="B217" s="2112" t="s">
        <v>488</v>
      </c>
      <c r="C217" s="707" t="s">
        <v>17</v>
      </c>
      <c r="D217" s="708"/>
      <c r="E217" s="709">
        <f>SUM(E218,E231)</f>
        <v>12201541</v>
      </c>
      <c r="F217" s="709">
        <f>SUM(F218,F231)</f>
        <v>13430365</v>
      </c>
      <c r="G217" s="709"/>
      <c r="H217" s="709">
        <f>SUM(H218,H231)</f>
        <v>6202058</v>
      </c>
      <c r="I217" s="1157">
        <f>H217/E217</f>
        <v>0.50830120556083858</v>
      </c>
      <c r="J217" s="709">
        <f>SUM(J218,J231)</f>
        <v>0</v>
      </c>
      <c r="K217" s="1143">
        <f>SUM(K218,K231)</f>
        <v>6202058</v>
      </c>
      <c r="L217" s="1333">
        <f t="shared" ref="L217:L278" si="23">K217/E217</f>
        <v>0.50830120556083858</v>
      </c>
      <c r="M217" s="2124" t="s">
        <v>586</v>
      </c>
      <c r="N217" s="289"/>
      <c r="O217" s="289"/>
      <c r="P217" s="289"/>
    </row>
    <row r="218" spans="1:16" s="189" customFormat="1" ht="15" customHeight="1">
      <c r="A218" s="1930"/>
      <c r="B218" s="1944"/>
      <c r="C218" s="901" t="s">
        <v>18</v>
      </c>
      <c r="D218" s="1323"/>
      <c r="E218" s="903">
        <f>SUM(E219,E222,E227,E228,E229,E230)</f>
        <v>11829997</v>
      </c>
      <c r="F218" s="903">
        <f>SUM(F219,F222,F227,F228,F229,F230)</f>
        <v>13200546</v>
      </c>
      <c r="G218" s="903">
        <f>SUM(G219,G222,G227,G228,G229,G230)</f>
        <v>0</v>
      </c>
      <c r="H218" s="903">
        <f>SUM(H219,H222,H227,H228,H229,H230)</f>
        <v>6202058</v>
      </c>
      <c r="I218" s="1358">
        <f>H218/E218</f>
        <v>0.52426539076890721</v>
      </c>
      <c r="J218" s="903">
        <f>SUM(J219,J222,J227,J228,J229,J230)</f>
        <v>0</v>
      </c>
      <c r="K218" s="447">
        <f>SUM(K219,K222,K227,K228,K229,K230)</f>
        <v>6202058</v>
      </c>
      <c r="L218" s="1326">
        <f t="shared" si="23"/>
        <v>0.52426539076890721</v>
      </c>
      <c r="M218" s="2121"/>
      <c r="N218" s="289"/>
      <c r="O218" s="289"/>
      <c r="P218" s="289"/>
    </row>
    <row r="219" spans="1:16" ht="15" customHeight="1">
      <c r="A219" s="1930"/>
      <c r="B219" s="1944"/>
      <c r="C219" s="904" t="s">
        <v>19</v>
      </c>
      <c r="D219" s="1325"/>
      <c r="E219" s="906"/>
      <c r="F219" s="906"/>
      <c r="G219" s="906"/>
      <c r="H219" s="906">
        <f>SUM(H220:H221)</f>
        <v>0</v>
      </c>
      <c r="I219" s="1352"/>
      <c r="J219" s="906">
        <f>SUM(J220:J221)</f>
        <v>0</v>
      </c>
      <c r="K219" s="406"/>
      <c r="L219" s="1326"/>
      <c r="M219" s="2121"/>
    </row>
    <row r="220" spans="1:16" ht="15" customHeight="1">
      <c r="A220" s="1930"/>
      <c r="B220" s="1944"/>
      <c r="C220" s="904" t="s">
        <v>20</v>
      </c>
      <c r="D220" s="1325"/>
      <c r="E220" s="906"/>
      <c r="F220" s="906"/>
      <c r="G220" s="906"/>
      <c r="H220" s="906"/>
      <c r="I220" s="1352"/>
      <c r="J220" s="906"/>
      <c r="K220" s="406"/>
      <c r="L220" s="1326"/>
      <c r="M220" s="2121"/>
    </row>
    <row r="221" spans="1:16" ht="15" customHeight="1">
      <c r="A221" s="1930"/>
      <c r="B221" s="1944"/>
      <c r="C221" s="910" t="s">
        <v>21</v>
      </c>
      <c r="D221" s="1327"/>
      <c r="E221" s="906"/>
      <c r="F221" s="906"/>
      <c r="G221" s="906"/>
      <c r="H221" s="906"/>
      <c r="I221" s="1352"/>
      <c r="J221" s="906"/>
      <c r="K221" s="406"/>
      <c r="L221" s="1326"/>
      <c r="M221" s="2121"/>
    </row>
    <row r="222" spans="1:16" ht="15" customHeight="1">
      <c r="A222" s="1930"/>
      <c r="B222" s="1944"/>
      <c r="C222" s="1938" t="s">
        <v>23</v>
      </c>
      <c r="D222" s="1325" t="s">
        <v>22</v>
      </c>
      <c r="E222" s="906">
        <f>SUM(E223:E226)</f>
        <v>11829997</v>
      </c>
      <c r="F222" s="906">
        <f>SUM(F223:F226)</f>
        <v>13200546</v>
      </c>
      <c r="G222" s="906">
        <f>SUM(G223:G226)</f>
        <v>0</v>
      </c>
      <c r="H222" s="906">
        <f>SUM(H223:H226)</f>
        <v>6202058</v>
      </c>
      <c r="I222" s="1352">
        <f>H222/E222</f>
        <v>0.52426539076890721</v>
      </c>
      <c r="J222" s="906">
        <f>SUM(J223:J226)</f>
        <v>0</v>
      </c>
      <c r="K222" s="406">
        <f>SUM(K223:K226)</f>
        <v>6202058</v>
      </c>
      <c r="L222" s="1326">
        <f t="shared" si="23"/>
        <v>0.52426539076890721</v>
      </c>
      <c r="M222" s="2121"/>
    </row>
    <row r="223" spans="1:16" ht="15" customHeight="1">
      <c r="A223" s="1930"/>
      <c r="B223" s="1944"/>
      <c r="C223" s="1939"/>
      <c r="D223" s="1328">
        <v>2009</v>
      </c>
      <c r="E223" s="1329">
        <v>9041963</v>
      </c>
      <c r="F223" s="1329">
        <v>10084260</v>
      </c>
      <c r="G223" s="1329"/>
      <c r="H223" s="1329">
        <v>4711394</v>
      </c>
      <c r="I223" s="1352">
        <f>H223/E223</f>
        <v>0.52105875682083636</v>
      </c>
      <c r="J223" s="1329"/>
      <c r="K223" s="471">
        <f t="shared" ref="K223:K226" si="24">H223+J223</f>
        <v>4711394</v>
      </c>
      <c r="L223" s="1326">
        <f t="shared" si="23"/>
        <v>0.52105875682083636</v>
      </c>
      <c r="M223" s="2121"/>
    </row>
    <row r="224" spans="1:16" ht="15" customHeight="1">
      <c r="A224" s="1930"/>
      <c r="B224" s="1944"/>
      <c r="C224" s="1939"/>
      <c r="D224" s="1328">
        <v>2059</v>
      </c>
      <c r="E224" s="1329">
        <v>2788034</v>
      </c>
      <c r="F224" s="1329">
        <v>2666113</v>
      </c>
      <c r="G224" s="1329"/>
      <c r="H224" s="1329">
        <v>1490664</v>
      </c>
      <c r="I224" s="1352">
        <f t="shared" ref="I224:I234" si="25">H224/E224</f>
        <v>0.53466492876342253</v>
      </c>
      <c r="J224" s="1329"/>
      <c r="K224" s="471">
        <f t="shared" si="24"/>
        <v>1490664</v>
      </c>
      <c r="L224" s="1326">
        <f t="shared" si="23"/>
        <v>0.53466492876342253</v>
      </c>
      <c r="M224" s="2121"/>
    </row>
    <row r="225" spans="1:16" ht="15" customHeight="1">
      <c r="A225" s="1930"/>
      <c r="B225" s="1944"/>
      <c r="C225" s="1939"/>
      <c r="D225" s="1328">
        <v>2919</v>
      </c>
      <c r="E225" s="1329">
        <v>0</v>
      </c>
      <c r="F225" s="1329">
        <v>21318</v>
      </c>
      <c r="G225" s="1329"/>
      <c r="H225" s="1329">
        <v>0</v>
      </c>
      <c r="I225" s="1352"/>
      <c r="J225" s="1329"/>
      <c r="K225" s="471">
        <f t="shared" si="24"/>
        <v>0</v>
      </c>
      <c r="L225" s="1326"/>
      <c r="M225" s="2121"/>
    </row>
    <row r="226" spans="1:16" ht="15" customHeight="1">
      <c r="A226" s="1930"/>
      <c r="B226" s="1944"/>
      <c r="C226" s="2117"/>
      <c r="D226" s="1328">
        <v>2959</v>
      </c>
      <c r="E226" s="1329">
        <v>0</v>
      </c>
      <c r="F226" s="1329">
        <v>428855</v>
      </c>
      <c r="G226" s="1329"/>
      <c r="H226" s="1329">
        <v>0</v>
      </c>
      <c r="I226" s="1352"/>
      <c r="J226" s="1329"/>
      <c r="K226" s="471">
        <f t="shared" si="24"/>
        <v>0</v>
      </c>
      <c r="L226" s="1326"/>
      <c r="M226" s="2121"/>
    </row>
    <row r="227" spans="1:16" ht="15" customHeight="1">
      <c r="A227" s="1930"/>
      <c r="B227" s="1944"/>
      <c r="C227" s="904" t="s">
        <v>24</v>
      </c>
      <c r="D227" s="1325"/>
      <c r="E227" s="906"/>
      <c r="F227" s="906"/>
      <c r="G227" s="906"/>
      <c r="H227" s="906"/>
      <c r="I227" s="1352"/>
      <c r="J227" s="906"/>
      <c r="K227" s="406"/>
      <c r="L227" s="1326"/>
      <c r="M227" s="2121"/>
    </row>
    <row r="228" spans="1:16" ht="22.5">
      <c r="A228" s="1930"/>
      <c r="B228" s="1944"/>
      <c r="C228" s="174" t="s">
        <v>25</v>
      </c>
      <c r="D228" s="1325"/>
      <c r="E228" s="906"/>
      <c r="F228" s="906"/>
      <c r="G228" s="906"/>
      <c r="H228" s="906"/>
      <c r="I228" s="1352"/>
      <c r="J228" s="906"/>
      <c r="K228" s="406"/>
      <c r="L228" s="1326"/>
      <c r="M228" s="2121"/>
    </row>
    <row r="229" spans="1:16" ht="15" customHeight="1">
      <c r="A229" s="1930"/>
      <c r="B229" s="1944"/>
      <c r="C229" s="904" t="s">
        <v>26</v>
      </c>
      <c r="D229" s="1325"/>
      <c r="E229" s="906"/>
      <c r="F229" s="906"/>
      <c r="G229" s="906"/>
      <c r="H229" s="906"/>
      <c r="I229" s="1352"/>
      <c r="J229" s="906"/>
      <c r="K229" s="406"/>
      <c r="L229" s="1326"/>
      <c r="M229" s="2121"/>
    </row>
    <row r="230" spans="1:16" ht="15" customHeight="1">
      <c r="A230" s="1930"/>
      <c r="B230" s="1944"/>
      <c r="C230" s="904" t="s">
        <v>27</v>
      </c>
      <c r="D230" s="1325"/>
      <c r="E230" s="906"/>
      <c r="F230" s="906"/>
      <c r="G230" s="906"/>
      <c r="H230" s="906"/>
      <c r="I230" s="1352"/>
      <c r="J230" s="906"/>
      <c r="K230" s="406"/>
      <c r="L230" s="1326"/>
      <c r="M230" s="2121"/>
    </row>
    <row r="231" spans="1:16" ht="15" customHeight="1">
      <c r="A231" s="1930"/>
      <c r="B231" s="1944"/>
      <c r="C231" s="911" t="s">
        <v>28</v>
      </c>
      <c r="D231" s="1330"/>
      <c r="E231" s="903">
        <f>SUM(E232,E238,E239)</f>
        <v>371544</v>
      </c>
      <c r="F231" s="903">
        <f>SUM(F232,F238,F239)</f>
        <v>229819</v>
      </c>
      <c r="G231" s="903">
        <f>SUM(G232,G238,G239)</f>
        <v>0</v>
      </c>
      <c r="H231" s="903">
        <f>SUM(H232,H238,H239)</f>
        <v>0</v>
      </c>
      <c r="I231" s="1358">
        <f t="shared" si="25"/>
        <v>0</v>
      </c>
      <c r="J231" s="903">
        <f>SUM(J232,J238,J239)</f>
        <v>0</v>
      </c>
      <c r="K231" s="447">
        <f>SUM(K232,K238,K239)</f>
        <v>0</v>
      </c>
      <c r="L231" s="1326">
        <f t="shared" si="23"/>
        <v>0</v>
      </c>
      <c r="M231" s="2121"/>
    </row>
    <row r="232" spans="1:16" s="977" customFormat="1" ht="15" customHeight="1">
      <c r="A232" s="1930"/>
      <c r="B232" s="1944"/>
      <c r="C232" s="1938" t="s">
        <v>29</v>
      </c>
      <c r="D232" s="1325" t="s">
        <v>22</v>
      </c>
      <c r="E232" s="906">
        <f>SUM(E233:E236)</f>
        <v>371544</v>
      </c>
      <c r="F232" s="906">
        <f>SUM(F233:F236)</f>
        <v>229819</v>
      </c>
      <c r="G232" s="906">
        <f>SUM(G233:G236)</f>
        <v>0</v>
      </c>
      <c r="H232" s="906">
        <f>SUM(H233:H236)</f>
        <v>0</v>
      </c>
      <c r="I232" s="1352">
        <f t="shared" si="25"/>
        <v>0</v>
      </c>
      <c r="J232" s="906">
        <f>SUM(J233:J236)</f>
        <v>0</v>
      </c>
      <c r="K232" s="406">
        <f>SUM(K233:K236)</f>
        <v>0</v>
      </c>
      <c r="L232" s="1326">
        <f t="shared" si="23"/>
        <v>0</v>
      </c>
      <c r="M232" s="2121"/>
      <c r="N232" s="1144"/>
      <c r="O232" s="1144"/>
      <c r="P232" s="1144"/>
    </row>
    <row r="233" spans="1:16" s="977" customFormat="1" ht="15" customHeight="1">
      <c r="A233" s="1930"/>
      <c r="B233" s="1944"/>
      <c r="C233" s="1939"/>
      <c r="D233" s="1328">
        <v>6209</v>
      </c>
      <c r="E233" s="1329">
        <v>259097</v>
      </c>
      <c r="F233" s="1329">
        <v>146641</v>
      </c>
      <c r="G233" s="1329"/>
      <c r="H233" s="1329">
        <v>0</v>
      </c>
      <c r="I233" s="1360">
        <f t="shared" si="25"/>
        <v>0</v>
      </c>
      <c r="J233" s="1329"/>
      <c r="K233" s="471">
        <f t="shared" ref="K233:K236" si="26">H233+J233</f>
        <v>0</v>
      </c>
      <c r="L233" s="1326">
        <f t="shared" si="23"/>
        <v>0</v>
      </c>
      <c r="M233" s="2121"/>
      <c r="N233" s="1144"/>
      <c r="O233" s="1144"/>
      <c r="P233" s="1144"/>
    </row>
    <row r="234" spans="1:16" s="977" customFormat="1" ht="15" customHeight="1">
      <c r="A234" s="1930"/>
      <c r="B234" s="1944"/>
      <c r="C234" s="1939"/>
      <c r="D234" s="1328">
        <v>6259</v>
      </c>
      <c r="E234" s="1329">
        <v>112447</v>
      </c>
      <c r="F234" s="1329">
        <v>69392</v>
      </c>
      <c r="G234" s="1329"/>
      <c r="H234" s="1329">
        <v>0</v>
      </c>
      <c r="I234" s="1360">
        <f t="shared" si="25"/>
        <v>0</v>
      </c>
      <c r="J234" s="1329"/>
      <c r="K234" s="471">
        <f t="shared" si="26"/>
        <v>0</v>
      </c>
      <c r="L234" s="1326">
        <f t="shared" si="23"/>
        <v>0</v>
      </c>
      <c r="M234" s="2121"/>
      <c r="N234" s="1144"/>
      <c r="O234" s="1144"/>
      <c r="P234" s="1144"/>
    </row>
    <row r="235" spans="1:16" s="977" customFormat="1" ht="15" customHeight="1">
      <c r="A235" s="1930"/>
      <c r="B235" s="1944"/>
      <c r="C235" s="1939"/>
      <c r="D235" s="1328">
        <v>6699</v>
      </c>
      <c r="E235" s="1329">
        <v>0</v>
      </c>
      <c r="F235" s="1329">
        <v>10730</v>
      </c>
      <c r="G235" s="1329"/>
      <c r="H235" s="1329">
        <v>0</v>
      </c>
      <c r="I235" s="1360"/>
      <c r="J235" s="1329"/>
      <c r="K235" s="471"/>
      <c r="L235" s="1326"/>
      <c r="M235" s="2121"/>
      <c r="N235" s="1144"/>
      <c r="O235" s="1144"/>
      <c r="P235" s="1144"/>
    </row>
    <row r="236" spans="1:16" s="977" customFormat="1" ht="15" customHeight="1">
      <c r="A236" s="1930"/>
      <c r="B236" s="1944"/>
      <c r="C236" s="2117"/>
      <c r="D236" s="1328">
        <v>6669</v>
      </c>
      <c r="E236" s="1329">
        <v>0</v>
      </c>
      <c r="F236" s="1329">
        <v>3056</v>
      </c>
      <c r="G236" s="1329"/>
      <c r="H236" s="1329">
        <v>0</v>
      </c>
      <c r="I236" s="1360"/>
      <c r="J236" s="1329"/>
      <c r="K236" s="471">
        <f t="shared" si="26"/>
        <v>0</v>
      </c>
      <c r="L236" s="1326"/>
      <c r="M236" s="2121"/>
      <c r="N236" s="1144"/>
      <c r="O236" s="1144"/>
      <c r="P236" s="1144"/>
    </row>
    <row r="237" spans="1:16" ht="22.5">
      <c r="A237" s="1930"/>
      <c r="B237" s="1944"/>
      <c r="C237" s="174" t="s">
        <v>30</v>
      </c>
      <c r="D237" s="1327"/>
      <c r="E237" s="906"/>
      <c r="F237" s="906"/>
      <c r="G237" s="906"/>
      <c r="H237" s="906"/>
      <c r="I237" s="1352"/>
      <c r="J237" s="906"/>
      <c r="K237" s="406"/>
      <c r="L237" s="1326"/>
      <c r="M237" s="2121"/>
    </row>
    <row r="238" spans="1:16" ht="15" customHeight="1">
      <c r="A238" s="1930"/>
      <c r="B238" s="1944"/>
      <c r="C238" s="904" t="s">
        <v>31</v>
      </c>
      <c r="D238" s="1325"/>
      <c r="E238" s="906"/>
      <c r="F238" s="906"/>
      <c r="G238" s="906"/>
      <c r="H238" s="906"/>
      <c r="I238" s="1352"/>
      <c r="J238" s="906"/>
      <c r="K238" s="406"/>
      <c r="L238" s="1326"/>
      <c r="M238" s="2121"/>
    </row>
    <row r="239" spans="1:16" s="189" customFormat="1" ht="15" customHeight="1" thickBot="1">
      <c r="A239" s="1931"/>
      <c r="B239" s="1945"/>
      <c r="C239" s="679" t="s">
        <v>32</v>
      </c>
      <c r="D239" s="680"/>
      <c r="E239" s="683"/>
      <c r="F239" s="683"/>
      <c r="G239" s="683"/>
      <c r="H239" s="683"/>
      <c r="I239" s="1178"/>
      <c r="J239" s="683"/>
      <c r="K239" s="627"/>
      <c r="L239" s="1326"/>
      <c r="M239" s="2123"/>
      <c r="N239" s="289"/>
      <c r="O239" s="289"/>
      <c r="P239" s="289"/>
    </row>
    <row r="240" spans="1:16" s="1044" customFormat="1" ht="22.5">
      <c r="A240" s="392" t="s">
        <v>138</v>
      </c>
      <c r="B240" s="393"/>
      <c r="C240" s="1068" t="s">
        <v>587</v>
      </c>
      <c r="D240" s="393"/>
      <c r="E240" s="395">
        <f>SUM(E241,E295)</f>
        <v>20865882</v>
      </c>
      <c r="F240" s="395">
        <f>SUM(F241,F295)</f>
        <v>21792961</v>
      </c>
      <c r="G240" s="395">
        <f>SUM(G241,G295)</f>
        <v>0</v>
      </c>
      <c r="H240" s="395">
        <f>SUM(H241,H295)</f>
        <v>19337993</v>
      </c>
      <c r="I240" s="1210">
        <f>H240/E240</f>
        <v>0.92677572891479021</v>
      </c>
      <c r="J240" s="395">
        <f>SUM(J241,J295)</f>
        <v>0</v>
      </c>
      <c r="K240" s="1151">
        <f>SUM(K241,K295)</f>
        <v>19337993</v>
      </c>
      <c r="L240" s="1318">
        <f t="shared" si="23"/>
        <v>0.92677572891479021</v>
      </c>
      <c r="M240" s="1202"/>
    </row>
    <row r="241" spans="1:16" s="189" customFormat="1" ht="12.75" customHeight="1">
      <c r="A241" s="1215"/>
      <c r="B241" s="1972" t="s">
        <v>588</v>
      </c>
      <c r="C241" s="1319" t="s">
        <v>589</v>
      </c>
      <c r="D241" s="1320"/>
      <c r="E241" s="1321">
        <f>SUM(E242,E290)</f>
        <v>15797385</v>
      </c>
      <c r="F241" s="1321">
        <f>SUM(F242,F290)</f>
        <v>15797573</v>
      </c>
      <c r="G241" s="1321"/>
      <c r="H241" s="1321">
        <f>SUM(H242,H290)</f>
        <v>16893900</v>
      </c>
      <c r="I241" s="1357">
        <f>H241/E241</f>
        <v>1.0694111715325036</v>
      </c>
      <c r="J241" s="1321">
        <f>SUM(J242,J290)</f>
        <v>0</v>
      </c>
      <c r="K241" s="445">
        <f>SUM(K242,K290)</f>
        <v>16893900</v>
      </c>
      <c r="L241" s="1322">
        <f t="shared" si="23"/>
        <v>1.0694111715325036</v>
      </c>
      <c r="M241" s="2120" t="s">
        <v>590</v>
      </c>
      <c r="N241" s="289"/>
      <c r="O241" s="289"/>
      <c r="P241" s="289"/>
    </row>
    <row r="242" spans="1:16" s="189" customFormat="1">
      <c r="A242" s="1159"/>
      <c r="B242" s="1944"/>
      <c r="C242" s="901" t="s">
        <v>18</v>
      </c>
      <c r="D242" s="1323"/>
      <c r="E242" s="903">
        <f>SUM(E243,E246,E247,E248,E288,E289)</f>
        <v>15797385</v>
      </c>
      <c r="F242" s="903">
        <f>SUM(F243,F246,F247,F248,F288,F289)</f>
        <v>15797573</v>
      </c>
      <c r="G242" s="903"/>
      <c r="H242" s="903">
        <f>SUM(H243,H246,H247,H248,H288,H289)</f>
        <v>16893900</v>
      </c>
      <c r="I242" s="1211">
        <f>H242/E242</f>
        <v>1.0694111715325036</v>
      </c>
      <c r="J242" s="903">
        <f>SUM(J243,J246,J247,J248,J288,J289)</f>
        <v>0</v>
      </c>
      <c r="K242" s="447">
        <f>SUM(K243,K246,K247,K248,K288,K289)</f>
        <v>16893900</v>
      </c>
      <c r="L242" s="1324">
        <f t="shared" si="23"/>
        <v>1.0694111715325036</v>
      </c>
      <c r="M242" s="2121"/>
      <c r="N242" s="289"/>
      <c r="O242" s="289"/>
      <c r="P242" s="289"/>
    </row>
    <row r="243" spans="1:16">
      <c r="A243" s="1159"/>
      <c r="B243" s="1944"/>
      <c r="C243" s="904" t="s">
        <v>19</v>
      </c>
      <c r="D243" s="1325"/>
      <c r="E243" s="906"/>
      <c r="F243" s="906"/>
      <c r="G243" s="906"/>
      <c r="H243" s="906">
        <f>SUM(H244:H245)</f>
        <v>0</v>
      </c>
      <c r="I243" s="1211"/>
      <c r="J243" s="906">
        <f>SUM(J244:J245)</f>
        <v>0</v>
      </c>
      <c r="K243" s="406"/>
      <c r="L243" s="1326"/>
      <c r="M243" s="2121"/>
    </row>
    <row r="244" spans="1:16">
      <c r="A244" s="1159"/>
      <c r="B244" s="1944"/>
      <c r="C244" s="904" t="s">
        <v>20</v>
      </c>
      <c r="D244" s="1325"/>
      <c r="E244" s="906"/>
      <c r="F244" s="906"/>
      <c r="G244" s="906"/>
      <c r="H244" s="906"/>
      <c r="I244" s="1211"/>
      <c r="J244" s="906"/>
      <c r="K244" s="406"/>
      <c r="L244" s="1326"/>
      <c r="M244" s="2121"/>
    </row>
    <row r="245" spans="1:16" ht="12.75" customHeight="1">
      <c r="A245" s="1159"/>
      <c r="B245" s="1944"/>
      <c r="C245" s="910" t="s">
        <v>21</v>
      </c>
      <c r="D245" s="1327"/>
      <c r="E245" s="906"/>
      <c r="F245" s="906"/>
      <c r="G245" s="906"/>
      <c r="H245" s="906"/>
      <c r="I245" s="1211"/>
      <c r="J245" s="906"/>
      <c r="K245" s="406"/>
      <c r="L245" s="1326"/>
      <c r="M245" s="2121"/>
    </row>
    <row r="246" spans="1:16">
      <c r="A246" s="1159"/>
      <c r="B246" s="1944"/>
      <c r="C246" s="904" t="s">
        <v>23</v>
      </c>
      <c r="D246" s="1325"/>
      <c r="E246" s="906"/>
      <c r="F246" s="906"/>
      <c r="G246" s="906"/>
      <c r="H246" s="906"/>
      <c r="I246" s="1211"/>
      <c r="J246" s="906"/>
      <c r="K246" s="406"/>
      <c r="L246" s="1326"/>
      <c r="M246" s="2121"/>
    </row>
    <row r="247" spans="1:16">
      <c r="A247" s="1159"/>
      <c r="B247" s="1944"/>
      <c r="C247" s="904" t="s">
        <v>24</v>
      </c>
      <c r="D247" s="1325"/>
      <c r="E247" s="906"/>
      <c r="F247" s="906"/>
      <c r="G247" s="906"/>
      <c r="H247" s="906"/>
      <c r="I247" s="1211"/>
      <c r="J247" s="906"/>
      <c r="K247" s="406"/>
      <c r="L247" s="1326"/>
      <c r="M247" s="2121"/>
    </row>
    <row r="248" spans="1:16" ht="15" customHeight="1">
      <c r="A248" s="1159"/>
      <c r="B248" s="1944"/>
      <c r="C248" s="1934" t="s">
        <v>25</v>
      </c>
      <c r="D248" s="1325" t="s">
        <v>22</v>
      </c>
      <c r="E248" s="906">
        <f>SUM(E249:E287)</f>
        <v>15797385</v>
      </c>
      <c r="F248" s="906">
        <f>SUM(F249:F287)</f>
        <v>15797573</v>
      </c>
      <c r="G248" s="906">
        <f>SUM(G249:G287)</f>
        <v>0</v>
      </c>
      <c r="H248" s="906">
        <f>SUM(H249:H287)</f>
        <v>16893900</v>
      </c>
      <c r="I248" s="1212">
        <f t="shared" ref="I248:I286" si="27">H248/E248</f>
        <v>1.0694111715325036</v>
      </c>
      <c r="J248" s="906">
        <f>SUM(J249:J287)</f>
        <v>0</v>
      </c>
      <c r="K248" s="406">
        <f>SUM(K249:K287)</f>
        <v>16893900</v>
      </c>
      <c r="L248" s="1326">
        <f t="shared" si="23"/>
        <v>1.0694111715325036</v>
      </c>
      <c r="M248" s="2121"/>
    </row>
    <row r="249" spans="1:16" ht="15" customHeight="1">
      <c r="A249" s="1159"/>
      <c r="B249" s="1944"/>
      <c r="C249" s="1935"/>
      <c r="D249" s="1328">
        <v>3028</v>
      </c>
      <c r="E249" s="1329">
        <v>11900</v>
      </c>
      <c r="F249" s="1329">
        <v>11900</v>
      </c>
      <c r="G249" s="1329"/>
      <c r="H249" s="1329">
        <v>11900</v>
      </c>
      <c r="I249" s="1212">
        <f t="shared" si="27"/>
        <v>1</v>
      </c>
      <c r="J249" s="1329"/>
      <c r="K249" s="471">
        <f>J249+H249</f>
        <v>11900</v>
      </c>
      <c r="L249" s="1326">
        <f t="shared" si="23"/>
        <v>1</v>
      </c>
      <c r="M249" s="2121"/>
    </row>
    <row r="250" spans="1:16" ht="15" customHeight="1">
      <c r="A250" s="1159"/>
      <c r="B250" s="1944"/>
      <c r="C250" s="1935"/>
      <c r="D250" s="1328">
        <v>3029</v>
      </c>
      <c r="E250" s="1329">
        <v>2100</v>
      </c>
      <c r="F250" s="1329">
        <v>2100</v>
      </c>
      <c r="G250" s="1329"/>
      <c r="H250" s="1329">
        <v>2100</v>
      </c>
      <c r="I250" s="1212">
        <f t="shared" si="27"/>
        <v>1</v>
      </c>
      <c r="J250" s="1329"/>
      <c r="K250" s="471">
        <f>J250+H250</f>
        <v>2100</v>
      </c>
      <c r="L250" s="1326">
        <f t="shared" si="23"/>
        <v>1</v>
      </c>
      <c r="M250" s="2121"/>
    </row>
    <row r="251" spans="1:16" ht="15" customHeight="1">
      <c r="A251" s="1159"/>
      <c r="B251" s="1944"/>
      <c r="C251" s="1935"/>
      <c r="D251" s="1328">
        <v>4018</v>
      </c>
      <c r="E251" s="1329">
        <v>9785579</v>
      </c>
      <c r="F251" s="1329">
        <v>9785579</v>
      </c>
      <c r="G251" s="1329"/>
      <c r="H251" s="1329">
        <v>10092576</v>
      </c>
      <c r="I251" s="1212">
        <f t="shared" si="27"/>
        <v>1.0313723899219454</v>
      </c>
      <c r="J251" s="1329"/>
      <c r="K251" s="471">
        <f t="shared" ref="K251:K287" si="28">H251+J251</f>
        <v>10092576</v>
      </c>
      <c r="L251" s="1326">
        <f t="shared" si="23"/>
        <v>1.0313723899219454</v>
      </c>
      <c r="M251" s="2121"/>
    </row>
    <row r="252" spans="1:16" ht="15" customHeight="1">
      <c r="A252" s="1159"/>
      <c r="B252" s="1944"/>
      <c r="C252" s="1935"/>
      <c r="D252" s="1328">
        <v>4019</v>
      </c>
      <c r="E252" s="1329">
        <v>1726867</v>
      </c>
      <c r="F252" s="1329">
        <v>1726867</v>
      </c>
      <c r="G252" s="1329"/>
      <c r="H252" s="1329">
        <v>1781043</v>
      </c>
      <c r="I252" s="1212">
        <f t="shared" si="27"/>
        <v>1.0313724218483531</v>
      </c>
      <c r="J252" s="1329"/>
      <c r="K252" s="471">
        <f t="shared" si="28"/>
        <v>1781043</v>
      </c>
      <c r="L252" s="1326">
        <f t="shared" si="23"/>
        <v>1.0313724218483531</v>
      </c>
      <c r="M252" s="2121"/>
    </row>
    <row r="253" spans="1:16" ht="15" customHeight="1">
      <c r="A253" s="1159"/>
      <c r="B253" s="1944"/>
      <c r="C253" s="1935"/>
      <c r="D253" s="1328">
        <v>4048</v>
      </c>
      <c r="E253" s="1329">
        <v>633759</v>
      </c>
      <c r="F253" s="1329">
        <v>610971</v>
      </c>
      <c r="G253" s="1329"/>
      <c r="H253" s="1329">
        <v>674442</v>
      </c>
      <c r="I253" s="1212">
        <f t="shared" si="27"/>
        <v>1.0641931712212371</v>
      </c>
      <c r="J253" s="1329"/>
      <c r="K253" s="471">
        <f t="shared" si="28"/>
        <v>674442</v>
      </c>
      <c r="L253" s="1326">
        <f t="shared" si="23"/>
        <v>1.0641931712212371</v>
      </c>
      <c r="M253" s="2121"/>
    </row>
    <row r="254" spans="1:16" ht="15" customHeight="1">
      <c r="A254" s="1159"/>
      <c r="B254" s="1944"/>
      <c r="C254" s="1935"/>
      <c r="D254" s="1328">
        <v>4049</v>
      </c>
      <c r="E254" s="1329">
        <v>111840</v>
      </c>
      <c r="F254" s="1329">
        <v>107818</v>
      </c>
      <c r="G254" s="1329"/>
      <c r="H254" s="1329">
        <v>119019</v>
      </c>
      <c r="I254" s="1212">
        <f t="shared" si="27"/>
        <v>1.0641899141630902</v>
      </c>
      <c r="J254" s="1329"/>
      <c r="K254" s="471">
        <f t="shared" si="28"/>
        <v>119019</v>
      </c>
      <c r="L254" s="1326">
        <f t="shared" si="23"/>
        <v>1.0641899141630902</v>
      </c>
      <c r="M254" s="2121"/>
    </row>
    <row r="255" spans="1:16" ht="15" customHeight="1">
      <c r="A255" s="1159"/>
      <c r="B255" s="1944"/>
      <c r="C255" s="1935"/>
      <c r="D255" s="1328">
        <v>4118</v>
      </c>
      <c r="E255" s="1329">
        <v>1791085</v>
      </c>
      <c r="F255" s="1329">
        <v>1773088</v>
      </c>
      <c r="G255" s="1329"/>
      <c r="H255" s="1329">
        <v>1850851</v>
      </c>
      <c r="I255" s="1212">
        <f t="shared" si="27"/>
        <v>1.033368600596845</v>
      </c>
      <c r="J255" s="1329"/>
      <c r="K255" s="471">
        <f t="shared" si="28"/>
        <v>1850851</v>
      </c>
      <c r="L255" s="1326">
        <f t="shared" si="23"/>
        <v>1.033368600596845</v>
      </c>
      <c r="M255" s="2121"/>
    </row>
    <row r="256" spans="1:16" ht="15" customHeight="1">
      <c r="A256" s="1159"/>
      <c r="B256" s="1944"/>
      <c r="C256" s="1935"/>
      <c r="D256" s="1328">
        <v>4119</v>
      </c>
      <c r="E256" s="1329">
        <v>316073</v>
      </c>
      <c r="F256" s="1329">
        <v>312897</v>
      </c>
      <c r="G256" s="1329"/>
      <c r="H256" s="1329">
        <v>326620</v>
      </c>
      <c r="I256" s="1212">
        <f t="shared" si="27"/>
        <v>1.0333688736462778</v>
      </c>
      <c r="J256" s="1329"/>
      <c r="K256" s="471">
        <f t="shared" si="28"/>
        <v>326620</v>
      </c>
      <c r="L256" s="1326">
        <f t="shared" si="23"/>
        <v>1.0333688736462778</v>
      </c>
      <c r="M256" s="2121"/>
    </row>
    <row r="257" spans="1:13" ht="15" customHeight="1">
      <c r="A257" s="1159"/>
      <c r="B257" s="1944"/>
      <c r="C257" s="1935"/>
      <c r="D257" s="1328">
        <v>4128</v>
      </c>
      <c r="E257" s="1329">
        <v>255274</v>
      </c>
      <c r="F257" s="1329">
        <v>249848</v>
      </c>
      <c r="G257" s="1329"/>
      <c r="H257" s="1329">
        <v>263792</v>
      </c>
      <c r="I257" s="1212">
        <f t="shared" si="27"/>
        <v>1.0333680672532259</v>
      </c>
      <c r="J257" s="1329"/>
      <c r="K257" s="471">
        <f t="shared" si="28"/>
        <v>263792</v>
      </c>
      <c r="L257" s="1326">
        <f t="shared" si="23"/>
        <v>1.0333680672532259</v>
      </c>
      <c r="M257" s="2121"/>
    </row>
    <row r="258" spans="1:13" ht="15" customHeight="1">
      <c r="A258" s="1159"/>
      <c r="B258" s="1944"/>
      <c r="C258" s="1935"/>
      <c r="D258" s="1328">
        <v>4129</v>
      </c>
      <c r="E258" s="1329">
        <v>45048</v>
      </c>
      <c r="F258" s="1329">
        <v>44091</v>
      </c>
      <c r="G258" s="1329"/>
      <c r="H258" s="1329">
        <v>46552</v>
      </c>
      <c r="I258" s="1212">
        <f t="shared" si="27"/>
        <v>1.0333866098383946</v>
      </c>
      <c r="J258" s="1329"/>
      <c r="K258" s="471">
        <f t="shared" si="28"/>
        <v>46552</v>
      </c>
      <c r="L258" s="1326">
        <f t="shared" si="23"/>
        <v>1.0333866098383946</v>
      </c>
      <c r="M258" s="2121"/>
    </row>
    <row r="259" spans="1:13" ht="15" customHeight="1">
      <c r="A259" s="1159"/>
      <c r="B259" s="1944"/>
      <c r="C259" s="1935"/>
      <c r="D259" s="1328">
        <v>4178</v>
      </c>
      <c r="E259" s="1329">
        <v>1700</v>
      </c>
      <c r="F259" s="1329">
        <v>1700</v>
      </c>
      <c r="G259" s="1329"/>
      <c r="H259" s="1329">
        <v>12750</v>
      </c>
      <c r="I259" s="1212">
        <f t="shared" si="27"/>
        <v>7.5</v>
      </c>
      <c r="J259" s="1329"/>
      <c r="K259" s="471">
        <f t="shared" si="28"/>
        <v>12750</v>
      </c>
      <c r="L259" s="1326">
        <f t="shared" si="23"/>
        <v>7.5</v>
      </c>
      <c r="M259" s="2121"/>
    </row>
    <row r="260" spans="1:13" ht="15" customHeight="1">
      <c r="A260" s="1159"/>
      <c r="B260" s="1944"/>
      <c r="C260" s="1935"/>
      <c r="D260" s="1328">
        <v>4179</v>
      </c>
      <c r="E260" s="1329">
        <v>300</v>
      </c>
      <c r="F260" s="1329">
        <v>300</v>
      </c>
      <c r="G260" s="1329"/>
      <c r="H260" s="1329">
        <v>2250</v>
      </c>
      <c r="I260" s="1212">
        <f t="shared" si="27"/>
        <v>7.5</v>
      </c>
      <c r="J260" s="1329"/>
      <c r="K260" s="471">
        <f t="shared" si="28"/>
        <v>2250</v>
      </c>
      <c r="L260" s="1326">
        <f t="shared" si="23"/>
        <v>7.5</v>
      </c>
      <c r="M260" s="2121"/>
    </row>
    <row r="261" spans="1:13" ht="15" customHeight="1">
      <c r="A261" s="1159"/>
      <c r="B261" s="1944"/>
      <c r="C261" s="1935"/>
      <c r="D261" s="1328">
        <v>4218</v>
      </c>
      <c r="E261" s="1329">
        <v>194650</v>
      </c>
      <c r="F261" s="1329">
        <v>194650</v>
      </c>
      <c r="G261" s="1329"/>
      <c r="H261" s="1329">
        <v>209950</v>
      </c>
      <c r="I261" s="1212">
        <f t="shared" si="27"/>
        <v>1.0786026200873362</v>
      </c>
      <c r="J261" s="1329"/>
      <c r="K261" s="471">
        <f t="shared" si="28"/>
        <v>209950</v>
      </c>
      <c r="L261" s="1326">
        <f t="shared" si="23"/>
        <v>1.0786026200873362</v>
      </c>
      <c r="M261" s="2121"/>
    </row>
    <row r="262" spans="1:13" ht="15" customHeight="1">
      <c r="A262" s="1159"/>
      <c r="B262" s="1944"/>
      <c r="C262" s="1935"/>
      <c r="D262" s="1328">
        <v>4219</v>
      </c>
      <c r="E262" s="1329">
        <v>34350</v>
      </c>
      <c r="F262" s="1329">
        <v>34350</v>
      </c>
      <c r="G262" s="1329"/>
      <c r="H262" s="1329">
        <v>37050</v>
      </c>
      <c r="I262" s="1212">
        <f t="shared" si="27"/>
        <v>1.0786026200873362</v>
      </c>
      <c r="J262" s="1329"/>
      <c r="K262" s="471">
        <f t="shared" si="28"/>
        <v>37050</v>
      </c>
      <c r="L262" s="1326">
        <f t="shared" si="23"/>
        <v>1.0786026200873362</v>
      </c>
      <c r="M262" s="2121"/>
    </row>
    <row r="263" spans="1:13" ht="15" customHeight="1">
      <c r="A263" s="1159"/>
      <c r="B263" s="1944"/>
      <c r="C263" s="1935"/>
      <c r="D263" s="1328">
        <v>4268</v>
      </c>
      <c r="E263" s="1329">
        <v>119000</v>
      </c>
      <c r="F263" s="1329">
        <v>193375</v>
      </c>
      <c r="G263" s="1329"/>
      <c r="H263" s="1329">
        <v>314925</v>
      </c>
      <c r="I263" s="1212">
        <f t="shared" si="27"/>
        <v>2.6464285714285714</v>
      </c>
      <c r="J263" s="1329"/>
      <c r="K263" s="471">
        <f t="shared" si="28"/>
        <v>314925</v>
      </c>
      <c r="L263" s="1326">
        <f t="shared" si="23"/>
        <v>2.6464285714285714</v>
      </c>
      <c r="M263" s="2121"/>
    </row>
    <row r="264" spans="1:13" ht="15" customHeight="1">
      <c r="A264" s="1159"/>
      <c r="B264" s="1944"/>
      <c r="C264" s="1935"/>
      <c r="D264" s="1328">
        <v>4269</v>
      </c>
      <c r="E264" s="1329">
        <v>21000</v>
      </c>
      <c r="F264" s="1329">
        <v>34125</v>
      </c>
      <c r="G264" s="1329"/>
      <c r="H264" s="1329">
        <v>55575</v>
      </c>
      <c r="I264" s="1212">
        <f t="shared" si="27"/>
        <v>2.6464285714285714</v>
      </c>
      <c r="J264" s="1329"/>
      <c r="K264" s="471">
        <f t="shared" si="28"/>
        <v>55575</v>
      </c>
      <c r="L264" s="1326">
        <f t="shared" si="23"/>
        <v>2.6464285714285714</v>
      </c>
      <c r="M264" s="2121"/>
    </row>
    <row r="265" spans="1:13" ht="15" customHeight="1">
      <c r="A265" s="1159"/>
      <c r="B265" s="1944"/>
      <c r="C265" s="1935"/>
      <c r="D265" s="1328">
        <v>4278</v>
      </c>
      <c r="E265" s="1329">
        <v>46750</v>
      </c>
      <c r="F265" s="1329">
        <v>46750</v>
      </c>
      <c r="G265" s="1329"/>
      <c r="H265" s="1329">
        <v>41650</v>
      </c>
      <c r="I265" s="1212">
        <f t="shared" si="27"/>
        <v>0.89090909090909087</v>
      </c>
      <c r="J265" s="1329"/>
      <c r="K265" s="471">
        <f t="shared" si="28"/>
        <v>41650</v>
      </c>
      <c r="L265" s="1326">
        <f t="shared" si="23"/>
        <v>0.89090909090909087</v>
      </c>
      <c r="M265" s="2121"/>
    </row>
    <row r="266" spans="1:13" ht="15" customHeight="1">
      <c r="A266" s="1159"/>
      <c r="B266" s="1944"/>
      <c r="C266" s="1935"/>
      <c r="D266" s="1328">
        <v>4279</v>
      </c>
      <c r="E266" s="1329">
        <v>8250</v>
      </c>
      <c r="F266" s="1329">
        <v>8250</v>
      </c>
      <c r="G266" s="1329"/>
      <c r="H266" s="1329">
        <v>7350</v>
      </c>
      <c r="I266" s="1212">
        <f t="shared" si="27"/>
        <v>0.89090909090909087</v>
      </c>
      <c r="J266" s="1329"/>
      <c r="K266" s="471">
        <f t="shared" si="28"/>
        <v>7350</v>
      </c>
      <c r="L266" s="1326">
        <f t="shared" si="23"/>
        <v>0.89090909090909087</v>
      </c>
      <c r="M266" s="2121"/>
    </row>
    <row r="267" spans="1:13" ht="15" customHeight="1">
      <c r="A267" s="1159"/>
      <c r="B267" s="1944"/>
      <c r="C267" s="1935"/>
      <c r="D267" s="1328">
        <v>4288</v>
      </c>
      <c r="E267" s="1329">
        <v>7718</v>
      </c>
      <c r="F267" s="1329">
        <v>7718</v>
      </c>
      <c r="G267" s="1329"/>
      <c r="H267" s="1329">
        <v>14620</v>
      </c>
      <c r="I267" s="1212">
        <f t="shared" si="27"/>
        <v>1.894273127753304</v>
      </c>
      <c r="J267" s="1329"/>
      <c r="K267" s="471">
        <f t="shared" si="28"/>
        <v>14620</v>
      </c>
      <c r="L267" s="1326">
        <f t="shared" si="23"/>
        <v>1.894273127753304</v>
      </c>
      <c r="M267" s="2121"/>
    </row>
    <row r="268" spans="1:13" ht="15" customHeight="1">
      <c r="A268" s="1159"/>
      <c r="B268" s="1944"/>
      <c r="C268" s="1935"/>
      <c r="D268" s="1328">
        <v>4289</v>
      </c>
      <c r="E268" s="1329">
        <v>1362</v>
      </c>
      <c r="F268" s="1329">
        <v>1362</v>
      </c>
      <c r="G268" s="1329"/>
      <c r="H268" s="1329">
        <v>2580</v>
      </c>
      <c r="I268" s="1212">
        <f t="shared" si="27"/>
        <v>1.894273127753304</v>
      </c>
      <c r="J268" s="1329"/>
      <c r="K268" s="471">
        <f t="shared" si="28"/>
        <v>2580</v>
      </c>
      <c r="L268" s="1326">
        <f t="shared" si="23"/>
        <v>1.894273127753304</v>
      </c>
      <c r="M268" s="2121"/>
    </row>
    <row r="269" spans="1:13" ht="15" customHeight="1">
      <c r="A269" s="1159"/>
      <c r="B269" s="1944"/>
      <c r="C269" s="1935"/>
      <c r="D269" s="1328">
        <v>4308</v>
      </c>
      <c r="E269" s="1329">
        <v>340425</v>
      </c>
      <c r="F269" s="1329">
        <v>312261</v>
      </c>
      <c r="G269" s="1329"/>
      <c r="H269" s="1329">
        <v>570920</v>
      </c>
      <c r="I269" s="1212">
        <f t="shared" si="27"/>
        <v>1.6770801204376882</v>
      </c>
      <c r="J269" s="1329"/>
      <c r="K269" s="471">
        <f t="shared" si="28"/>
        <v>570920</v>
      </c>
      <c r="L269" s="1326">
        <f t="shared" si="23"/>
        <v>1.6770801204376882</v>
      </c>
      <c r="M269" s="2121"/>
    </row>
    <row r="270" spans="1:13" ht="15" customHeight="1">
      <c r="A270" s="1159"/>
      <c r="B270" s="1944"/>
      <c r="C270" s="1935"/>
      <c r="D270" s="1328">
        <v>4309</v>
      </c>
      <c r="E270" s="1329">
        <v>60075</v>
      </c>
      <c r="F270" s="1329">
        <v>55105</v>
      </c>
      <c r="G270" s="1329"/>
      <c r="H270" s="1329">
        <v>100750</v>
      </c>
      <c r="I270" s="1212">
        <f t="shared" si="27"/>
        <v>1.677070328755722</v>
      </c>
      <c r="J270" s="1329"/>
      <c r="K270" s="471">
        <f t="shared" si="28"/>
        <v>100750</v>
      </c>
      <c r="L270" s="1326">
        <f t="shared" si="23"/>
        <v>1.677070328755722</v>
      </c>
      <c r="M270" s="2121"/>
    </row>
    <row r="271" spans="1:13" ht="15" customHeight="1">
      <c r="A271" s="1159"/>
      <c r="B271" s="1944"/>
      <c r="C271" s="1935"/>
      <c r="D271" s="1328">
        <v>4368</v>
      </c>
      <c r="E271" s="1329">
        <v>29750</v>
      </c>
      <c r="F271" s="1329">
        <v>29750</v>
      </c>
      <c r="G271" s="1329"/>
      <c r="H271" s="1329">
        <v>21250</v>
      </c>
      <c r="I271" s="1212">
        <f t="shared" si="27"/>
        <v>0.7142857142857143</v>
      </c>
      <c r="J271" s="1329"/>
      <c r="K271" s="471">
        <f t="shared" si="28"/>
        <v>21250</v>
      </c>
      <c r="L271" s="1326">
        <f t="shared" si="23"/>
        <v>0.7142857142857143</v>
      </c>
      <c r="M271" s="2121"/>
    </row>
    <row r="272" spans="1:13" ht="15" customHeight="1">
      <c r="A272" s="1159"/>
      <c r="B272" s="1944"/>
      <c r="C272" s="1935"/>
      <c r="D272" s="1328">
        <v>4369</v>
      </c>
      <c r="E272" s="1329">
        <v>5250</v>
      </c>
      <c r="F272" s="1329">
        <v>5250</v>
      </c>
      <c r="G272" s="1329"/>
      <c r="H272" s="1329">
        <v>3750</v>
      </c>
      <c r="I272" s="1212">
        <f t="shared" si="27"/>
        <v>0.7142857142857143</v>
      </c>
      <c r="J272" s="1329"/>
      <c r="K272" s="471">
        <f t="shared" si="28"/>
        <v>3750</v>
      </c>
      <c r="L272" s="1326">
        <f t="shared" si="23"/>
        <v>0.7142857142857143</v>
      </c>
      <c r="M272" s="2121"/>
    </row>
    <row r="273" spans="1:13" ht="15" customHeight="1">
      <c r="A273" s="1159"/>
      <c r="B273" s="1944"/>
      <c r="C273" s="1935"/>
      <c r="D273" s="1328">
        <v>4388</v>
      </c>
      <c r="E273" s="1329">
        <v>595</v>
      </c>
      <c r="F273" s="1329">
        <v>595</v>
      </c>
      <c r="G273" s="1329"/>
      <c r="H273" s="1329">
        <v>1530</v>
      </c>
      <c r="I273" s="1212">
        <f t="shared" si="27"/>
        <v>2.5714285714285716</v>
      </c>
      <c r="J273" s="1329"/>
      <c r="K273" s="471">
        <f t="shared" si="28"/>
        <v>1530</v>
      </c>
      <c r="L273" s="1326">
        <f t="shared" si="23"/>
        <v>2.5714285714285716</v>
      </c>
      <c r="M273" s="2121"/>
    </row>
    <row r="274" spans="1:13" ht="15" customHeight="1">
      <c r="A274" s="1159"/>
      <c r="B274" s="1944"/>
      <c r="C274" s="1935"/>
      <c r="D274" s="1328">
        <v>4389</v>
      </c>
      <c r="E274" s="1329">
        <v>105</v>
      </c>
      <c r="F274" s="1329">
        <v>105</v>
      </c>
      <c r="G274" s="1329"/>
      <c r="H274" s="1329">
        <v>270</v>
      </c>
      <c r="I274" s="1212">
        <f t="shared" si="27"/>
        <v>2.5714285714285716</v>
      </c>
      <c r="J274" s="1329"/>
      <c r="K274" s="471">
        <f t="shared" si="28"/>
        <v>270</v>
      </c>
      <c r="L274" s="1326">
        <f t="shared" si="23"/>
        <v>2.5714285714285716</v>
      </c>
      <c r="M274" s="2121"/>
    </row>
    <row r="275" spans="1:13" ht="15" customHeight="1">
      <c r="A275" s="1159"/>
      <c r="B275" s="1944"/>
      <c r="C275" s="1935"/>
      <c r="D275" s="1328">
        <v>4408</v>
      </c>
      <c r="E275" s="1329">
        <v>0</v>
      </c>
      <c r="F275" s="1329">
        <v>0</v>
      </c>
      <c r="G275" s="1329"/>
      <c r="H275" s="1329">
        <v>61200</v>
      </c>
      <c r="I275" s="1212"/>
      <c r="J275" s="1329"/>
      <c r="K275" s="471">
        <f t="shared" si="28"/>
        <v>61200</v>
      </c>
      <c r="L275" s="1326"/>
      <c r="M275" s="2121"/>
    </row>
    <row r="276" spans="1:13" ht="15" customHeight="1">
      <c r="A276" s="1159"/>
      <c r="B276" s="1944"/>
      <c r="C276" s="1935"/>
      <c r="D276" s="1328">
        <v>4409</v>
      </c>
      <c r="E276" s="1329">
        <v>0</v>
      </c>
      <c r="F276" s="1329">
        <v>0</v>
      </c>
      <c r="G276" s="1329"/>
      <c r="H276" s="1329">
        <v>10800</v>
      </c>
      <c r="I276" s="1212"/>
      <c r="J276" s="1329"/>
      <c r="K276" s="471">
        <f t="shared" si="28"/>
        <v>10800</v>
      </c>
      <c r="L276" s="1326"/>
      <c r="M276" s="2121"/>
    </row>
    <row r="277" spans="1:13" ht="15" customHeight="1">
      <c r="A277" s="1159"/>
      <c r="B277" s="1944"/>
      <c r="C277" s="1935"/>
      <c r="D277" s="1328">
        <v>4418</v>
      </c>
      <c r="E277" s="1329">
        <v>32300</v>
      </c>
      <c r="F277" s="1329">
        <v>32300</v>
      </c>
      <c r="G277" s="1329"/>
      <c r="H277" s="1329">
        <v>40800</v>
      </c>
      <c r="I277" s="1212">
        <f t="shared" si="27"/>
        <v>1.263157894736842</v>
      </c>
      <c r="J277" s="1329"/>
      <c r="K277" s="471">
        <f t="shared" si="28"/>
        <v>40800</v>
      </c>
      <c r="L277" s="1326">
        <f t="shared" si="23"/>
        <v>1.263157894736842</v>
      </c>
      <c r="M277" s="2121"/>
    </row>
    <row r="278" spans="1:13" ht="15" customHeight="1">
      <c r="A278" s="1159"/>
      <c r="B278" s="1944"/>
      <c r="C278" s="1935"/>
      <c r="D278" s="1328">
        <v>4419</v>
      </c>
      <c r="E278" s="1329">
        <v>5700</v>
      </c>
      <c r="F278" s="1329">
        <v>5700</v>
      </c>
      <c r="G278" s="1329"/>
      <c r="H278" s="1329">
        <v>7200</v>
      </c>
      <c r="I278" s="1212">
        <f t="shared" si="27"/>
        <v>1.263157894736842</v>
      </c>
      <c r="J278" s="1329"/>
      <c r="K278" s="471">
        <f t="shared" si="28"/>
        <v>7200</v>
      </c>
      <c r="L278" s="1326">
        <f t="shared" si="23"/>
        <v>1.263157894736842</v>
      </c>
      <c r="M278" s="2121"/>
    </row>
    <row r="279" spans="1:13" ht="15" customHeight="1">
      <c r="A279" s="1159"/>
      <c r="B279" s="1944"/>
      <c r="C279" s="1935"/>
      <c r="D279" s="1328">
        <v>4438</v>
      </c>
      <c r="E279" s="1329">
        <v>0</v>
      </c>
      <c r="F279" s="1329">
        <v>0</v>
      </c>
      <c r="G279" s="1329"/>
      <c r="H279" s="1329">
        <v>8075</v>
      </c>
      <c r="I279" s="1212"/>
      <c r="J279" s="1329"/>
      <c r="K279" s="471">
        <f t="shared" si="28"/>
        <v>8075</v>
      </c>
      <c r="L279" s="1326"/>
      <c r="M279" s="2121"/>
    </row>
    <row r="280" spans="1:13" ht="15" customHeight="1">
      <c r="A280" s="1159"/>
      <c r="B280" s="1944"/>
      <c r="C280" s="1935"/>
      <c r="D280" s="1328">
        <v>4439</v>
      </c>
      <c r="E280" s="1329">
        <v>0</v>
      </c>
      <c r="F280" s="1329">
        <v>0</v>
      </c>
      <c r="G280" s="1329"/>
      <c r="H280" s="1329">
        <v>1425</v>
      </c>
      <c r="I280" s="1212"/>
      <c r="J280" s="1329"/>
      <c r="K280" s="471">
        <f t="shared" si="28"/>
        <v>1425</v>
      </c>
      <c r="L280" s="1326"/>
      <c r="M280" s="2121"/>
    </row>
    <row r="281" spans="1:13" ht="15" customHeight="1">
      <c r="A281" s="1159"/>
      <c r="B281" s="1944"/>
      <c r="C281" s="1935"/>
      <c r="D281" s="1328">
        <v>4618</v>
      </c>
      <c r="E281" s="1329">
        <v>4250</v>
      </c>
      <c r="F281" s="1329">
        <v>4250</v>
      </c>
      <c r="G281" s="1329"/>
      <c r="H281" s="1329">
        <v>4250</v>
      </c>
      <c r="I281" s="1212">
        <f t="shared" si="27"/>
        <v>1</v>
      </c>
      <c r="J281" s="1329"/>
      <c r="K281" s="471">
        <f t="shared" si="28"/>
        <v>4250</v>
      </c>
      <c r="L281" s="1326">
        <f t="shared" ref="L281:L344" si="29">K281/E281</f>
        <v>1</v>
      </c>
      <c r="M281" s="2121"/>
    </row>
    <row r="282" spans="1:13" ht="15" customHeight="1">
      <c r="A282" s="1159"/>
      <c r="B282" s="1944"/>
      <c r="C282" s="1935"/>
      <c r="D282" s="1328">
        <v>4619</v>
      </c>
      <c r="E282" s="1329">
        <v>750</v>
      </c>
      <c r="F282" s="1329">
        <v>750</v>
      </c>
      <c r="G282" s="1329"/>
      <c r="H282" s="1329">
        <v>750</v>
      </c>
      <c r="I282" s="1212">
        <f t="shared" si="27"/>
        <v>1</v>
      </c>
      <c r="J282" s="1329"/>
      <c r="K282" s="471">
        <f t="shared" si="28"/>
        <v>750</v>
      </c>
      <c r="L282" s="1326">
        <f t="shared" si="29"/>
        <v>1</v>
      </c>
      <c r="M282" s="2121"/>
    </row>
    <row r="283" spans="1:13" ht="15" customHeight="1">
      <c r="A283" s="1159"/>
      <c r="B283" s="1944"/>
      <c r="C283" s="1935"/>
      <c r="D283" s="1328">
        <v>4708</v>
      </c>
      <c r="E283" s="1329">
        <v>133450</v>
      </c>
      <c r="F283" s="1329">
        <v>133450</v>
      </c>
      <c r="G283" s="1329"/>
      <c r="H283" s="1329">
        <v>110500</v>
      </c>
      <c r="I283" s="1212">
        <f t="shared" si="27"/>
        <v>0.82802547770700641</v>
      </c>
      <c r="J283" s="1329"/>
      <c r="K283" s="471">
        <f t="shared" si="28"/>
        <v>110500</v>
      </c>
      <c r="L283" s="1326">
        <f t="shared" si="29"/>
        <v>0.82802547770700641</v>
      </c>
      <c r="M283" s="2121"/>
    </row>
    <row r="284" spans="1:13" ht="15" customHeight="1">
      <c r="A284" s="1159"/>
      <c r="B284" s="1944"/>
      <c r="C284" s="1935"/>
      <c r="D284" s="1359">
        <v>4709</v>
      </c>
      <c r="E284" s="1329">
        <v>23550</v>
      </c>
      <c r="F284" s="1329">
        <v>23550</v>
      </c>
      <c r="G284" s="1329"/>
      <c r="H284" s="1329">
        <v>19500</v>
      </c>
      <c r="I284" s="1212">
        <f t="shared" si="27"/>
        <v>0.82802547770700641</v>
      </c>
      <c r="J284" s="1329"/>
      <c r="K284" s="471">
        <f t="shared" si="28"/>
        <v>19500</v>
      </c>
      <c r="L284" s="1326">
        <f t="shared" si="29"/>
        <v>0.82802547770700641</v>
      </c>
      <c r="M284" s="2121"/>
    </row>
    <row r="285" spans="1:13" ht="15" customHeight="1">
      <c r="A285" s="1159"/>
      <c r="B285" s="1944"/>
      <c r="C285" s="1935"/>
      <c r="D285" s="1359">
        <v>4718</v>
      </c>
      <c r="E285" s="1329">
        <v>39593</v>
      </c>
      <c r="F285" s="1329">
        <v>39593</v>
      </c>
      <c r="G285" s="1329"/>
      <c r="H285" s="1329">
        <v>53835</v>
      </c>
      <c r="I285" s="1212">
        <f t="shared" si="27"/>
        <v>1.35971004975627</v>
      </c>
      <c r="J285" s="1329"/>
      <c r="K285" s="471">
        <f t="shared" si="28"/>
        <v>53835</v>
      </c>
      <c r="L285" s="1326">
        <f t="shared" si="29"/>
        <v>1.35971004975627</v>
      </c>
      <c r="M285" s="2121"/>
    </row>
    <row r="286" spans="1:13">
      <c r="A286" s="1159"/>
      <c r="B286" s="1944"/>
      <c r="C286" s="1935"/>
      <c r="D286" s="1359">
        <v>4719</v>
      </c>
      <c r="E286" s="1329">
        <v>6987</v>
      </c>
      <c r="F286" s="1329">
        <v>6987</v>
      </c>
      <c r="G286" s="1329"/>
      <c r="H286" s="1329">
        <v>9500</v>
      </c>
      <c r="I286" s="1212">
        <f t="shared" si="27"/>
        <v>1.3596679547731501</v>
      </c>
      <c r="J286" s="1329"/>
      <c r="K286" s="471">
        <f t="shared" si="28"/>
        <v>9500</v>
      </c>
      <c r="L286" s="1326">
        <f t="shared" si="29"/>
        <v>1.3596679547731501</v>
      </c>
      <c r="M286" s="2121"/>
    </row>
    <row r="287" spans="1:13">
      <c r="A287" s="1159"/>
      <c r="B287" s="1944"/>
      <c r="C287" s="2118"/>
      <c r="D287" s="1359">
        <v>2958</v>
      </c>
      <c r="E287" s="1329">
        <v>0</v>
      </c>
      <c r="F287" s="1329">
        <v>188</v>
      </c>
      <c r="G287" s="1329"/>
      <c r="H287" s="1329">
        <v>0</v>
      </c>
      <c r="I287" s="1212"/>
      <c r="J287" s="1329"/>
      <c r="K287" s="471">
        <f t="shared" si="28"/>
        <v>0</v>
      </c>
      <c r="L287" s="1326"/>
      <c r="M287" s="2121"/>
    </row>
    <row r="288" spans="1:13">
      <c r="A288" s="1159"/>
      <c r="B288" s="1944"/>
      <c r="C288" s="904" t="s">
        <v>26</v>
      </c>
      <c r="D288" s="1325"/>
      <c r="E288" s="906"/>
      <c r="F288" s="906"/>
      <c r="G288" s="906"/>
      <c r="H288" s="906"/>
      <c r="I288" s="1211"/>
      <c r="J288" s="906"/>
      <c r="K288" s="406"/>
      <c r="L288" s="1326"/>
      <c r="M288" s="2121"/>
    </row>
    <row r="289" spans="1:16" ht="13.5" thickBot="1">
      <c r="A289" s="1174"/>
      <c r="B289" s="1945"/>
      <c r="C289" s="679" t="s">
        <v>27</v>
      </c>
      <c r="D289" s="680"/>
      <c r="E289" s="681"/>
      <c r="F289" s="681"/>
      <c r="G289" s="681"/>
      <c r="H289" s="681"/>
      <c r="I289" s="1216"/>
      <c r="J289" s="681"/>
      <c r="K289" s="627"/>
      <c r="L289" s="1326"/>
      <c r="M289" s="2123"/>
    </row>
    <row r="290" spans="1:16">
      <c r="A290" s="1159"/>
      <c r="B290" s="1944"/>
      <c r="C290" s="1217" t="s">
        <v>28</v>
      </c>
      <c r="D290" s="1218"/>
      <c r="E290" s="576">
        <f>SUM(E291,E293,E294)</f>
        <v>0</v>
      </c>
      <c r="F290" s="576">
        <f>SUM(F291,F293,F294)</f>
        <v>0</v>
      </c>
      <c r="G290" s="576"/>
      <c r="H290" s="576">
        <f>SUM(H291,H293,H294)</f>
        <v>0</v>
      </c>
      <c r="I290" s="1211"/>
      <c r="J290" s="576">
        <f>SUM(J291,J293,J294)</f>
        <v>0</v>
      </c>
      <c r="K290" s="520">
        <f>SUM(K291,K293,K294)</f>
        <v>0</v>
      </c>
      <c r="L290" s="1326"/>
      <c r="M290" s="1219"/>
    </row>
    <row r="291" spans="1:16">
      <c r="A291" s="1159"/>
      <c r="B291" s="1944"/>
      <c r="C291" s="404" t="s">
        <v>29</v>
      </c>
      <c r="D291" s="1325"/>
      <c r="E291" s="906"/>
      <c r="F291" s="906"/>
      <c r="G291" s="906"/>
      <c r="H291" s="906"/>
      <c r="I291" s="1212"/>
      <c r="J291" s="906"/>
      <c r="K291" s="406"/>
      <c r="L291" s="1326"/>
      <c r="M291" s="1219"/>
    </row>
    <row r="292" spans="1:16" ht="22.5">
      <c r="A292" s="1159"/>
      <c r="B292" s="1944"/>
      <c r="C292" s="405" t="s">
        <v>30</v>
      </c>
      <c r="D292" s="1325"/>
      <c r="E292" s="906"/>
      <c r="F292" s="906"/>
      <c r="G292" s="906"/>
      <c r="H292" s="906"/>
      <c r="I292" s="1212"/>
      <c r="J292" s="906"/>
      <c r="K292" s="406"/>
      <c r="L292" s="1326"/>
      <c r="M292" s="1219"/>
    </row>
    <row r="293" spans="1:16">
      <c r="A293" s="1159"/>
      <c r="B293" s="1944"/>
      <c r="C293" s="904" t="s">
        <v>31</v>
      </c>
      <c r="D293" s="1325"/>
      <c r="E293" s="906"/>
      <c r="F293" s="906"/>
      <c r="G293" s="906"/>
      <c r="H293" s="906"/>
      <c r="I293" s="1213"/>
      <c r="J293" s="906"/>
      <c r="K293" s="406"/>
      <c r="L293" s="1326"/>
      <c r="M293" s="1219"/>
    </row>
    <row r="294" spans="1:16" s="189" customFormat="1">
      <c r="A294" s="1159"/>
      <c r="B294" s="1973"/>
      <c r="C294" s="904" t="s">
        <v>32</v>
      </c>
      <c r="D294" s="1325"/>
      <c r="E294" s="903"/>
      <c r="F294" s="903"/>
      <c r="G294" s="903"/>
      <c r="H294" s="903"/>
      <c r="I294" s="1213"/>
      <c r="J294" s="903"/>
      <c r="K294" s="406"/>
      <c r="L294" s="1326"/>
      <c r="M294" s="1220"/>
      <c r="N294" s="289"/>
      <c r="O294" s="289"/>
      <c r="P294" s="289"/>
    </row>
    <row r="295" spans="1:16" s="189" customFormat="1" ht="20.100000000000001" customHeight="1">
      <c r="A295" s="1159"/>
      <c r="B295" s="1972" t="s">
        <v>142</v>
      </c>
      <c r="C295" s="1319" t="s">
        <v>17</v>
      </c>
      <c r="D295" s="1320"/>
      <c r="E295" s="1321">
        <f>SUM(E296,E309)</f>
        <v>5068497</v>
      </c>
      <c r="F295" s="1321">
        <f>SUM(F296,F309)</f>
        <v>5995388</v>
      </c>
      <c r="G295" s="1321"/>
      <c r="H295" s="1321">
        <f>SUM(H296,H309)</f>
        <v>2444093</v>
      </c>
      <c r="I295" s="1221">
        <f>H295/E295</f>
        <v>0.48221257702234016</v>
      </c>
      <c r="J295" s="1321">
        <f>SUM(J296,J309)</f>
        <v>0</v>
      </c>
      <c r="K295" s="445">
        <f>SUM(K296,K309)</f>
        <v>2444093</v>
      </c>
      <c r="L295" s="1322">
        <f t="shared" si="29"/>
        <v>0.48221257702234016</v>
      </c>
      <c r="M295" s="2120" t="s">
        <v>591</v>
      </c>
      <c r="N295" s="289"/>
      <c r="O295" s="289"/>
      <c r="P295" s="289"/>
    </row>
    <row r="296" spans="1:16" s="189" customFormat="1" ht="20.100000000000001" customHeight="1">
      <c r="A296" s="1159"/>
      <c r="B296" s="1944"/>
      <c r="C296" s="901" t="s">
        <v>18</v>
      </c>
      <c r="D296" s="1323"/>
      <c r="E296" s="903">
        <f>SUM(E297,E300,E305,E306,E307,E308)</f>
        <v>5065991</v>
      </c>
      <c r="F296" s="903">
        <f>SUM(F297,F300,F305,F306,F307,F308)</f>
        <v>5994123</v>
      </c>
      <c r="G296" s="903">
        <f>SUM(G297,G300,G305,G306,G307,G308)</f>
        <v>0</v>
      </c>
      <c r="H296" s="903">
        <f>SUM(H297,H300,H305,H306,H307,H308)</f>
        <v>2444093</v>
      </c>
      <c r="I296" s="1211">
        <f>H296/E296</f>
        <v>0.48245111371101923</v>
      </c>
      <c r="J296" s="903">
        <f>SUM(J297,J300,J305,J306,J307,J308)</f>
        <v>0</v>
      </c>
      <c r="K296" s="447">
        <f>SUM(K297,K300,K305,K306,K307,K308)</f>
        <v>2444093</v>
      </c>
      <c r="L296" s="1324">
        <f t="shared" si="29"/>
        <v>0.48245111371101923</v>
      </c>
      <c r="M296" s="2121"/>
      <c r="N296" s="289"/>
      <c r="O296" s="289"/>
      <c r="P296" s="289"/>
    </row>
    <row r="297" spans="1:16" ht="20.100000000000001" customHeight="1">
      <c r="A297" s="1159"/>
      <c r="B297" s="1944"/>
      <c r="C297" s="904" t="s">
        <v>19</v>
      </c>
      <c r="D297" s="1325"/>
      <c r="E297" s="906"/>
      <c r="F297" s="906"/>
      <c r="G297" s="906"/>
      <c r="H297" s="906">
        <f>SUM(H298:H299)</f>
        <v>0</v>
      </c>
      <c r="I297" s="1213"/>
      <c r="J297" s="906">
        <f>SUM(J298:J299)</f>
        <v>0</v>
      </c>
      <c r="K297" s="406"/>
      <c r="L297" s="1326"/>
      <c r="M297" s="2121"/>
    </row>
    <row r="298" spans="1:16" ht="20.100000000000001" customHeight="1">
      <c r="A298" s="1159"/>
      <c r="B298" s="1944"/>
      <c r="C298" s="904" t="s">
        <v>20</v>
      </c>
      <c r="D298" s="1325"/>
      <c r="E298" s="906"/>
      <c r="F298" s="906"/>
      <c r="G298" s="906"/>
      <c r="H298" s="906"/>
      <c r="I298" s="1213"/>
      <c r="J298" s="906"/>
      <c r="K298" s="406"/>
      <c r="L298" s="1326"/>
      <c r="M298" s="2121"/>
    </row>
    <row r="299" spans="1:16" ht="20.100000000000001" customHeight="1">
      <c r="A299" s="1159"/>
      <c r="B299" s="1944"/>
      <c r="C299" s="910" t="s">
        <v>21</v>
      </c>
      <c r="D299" s="1327"/>
      <c r="E299" s="906"/>
      <c r="F299" s="906"/>
      <c r="G299" s="906"/>
      <c r="H299" s="906"/>
      <c r="I299" s="1213"/>
      <c r="J299" s="906"/>
      <c r="K299" s="406"/>
      <c r="L299" s="1326"/>
      <c r="M299" s="2121"/>
    </row>
    <row r="300" spans="1:16" ht="20.100000000000001" customHeight="1">
      <c r="A300" s="1159"/>
      <c r="B300" s="1944"/>
      <c r="C300" s="1938" t="s">
        <v>23</v>
      </c>
      <c r="D300" s="1325" t="s">
        <v>22</v>
      </c>
      <c r="E300" s="906">
        <f>SUM(E301:E304)</f>
        <v>5065991</v>
      </c>
      <c r="F300" s="906">
        <f>SUM(F301:F304)</f>
        <v>5994123</v>
      </c>
      <c r="G300" s="906">
        <f>SUM(G301:G304)</f>
        <v>0</v>
      </c>
      <c r="H300" s="906">
        <f>SUM(H301:H304)</f>
        <v>2444093</v>
      </c>
      <c r="I300" s="1213">
        <f>H300/E300</f>
        <v>0.48245111371101923</v>
      </c>
      <c r="J300" s="906">
        <f>SUM(J301:J304)</f>
        <v>0</v>
      </c>
      <c r="K300" s="406">
        <f>SUM(K301:K304)</f>
        <v>2444093</v>
      </c>
      <c r="L300" s="1326">
        <f t="shared" si="29"/>
        <v>0.48245111371101923</v>
      </c>
      <c r="M300" s="2121"/>
    </row>
    <row r="301" spans="1:16" ht="20.100000000000001" customHeight="1">
      <c r="A301" s="1159"/>
      <c r="B301" s="1944"/>
      <c r="C301" s="1939"/>
      <c r="D301" s="1328">
        <v>2009</v>
      </c>
      <c r="E301" s="1329">
        <v>4437430</v>
      </c>
      <c r="F301" s="1329">
        <v>5343378</v>
      </c>
      <c r="G301" s="1329"/>
      <c r="H301" s="1329">
        <v>2417975</v>
      </c>
      <c r="I301" s="1213">
        <f>H301/E301</f>
        <v>0.54490437032246142</v>
      </c>
      <c r="J301" s="1329"/>
      <c r="K301" s="471">
        <f>H301+J301</f>
        <v>2417975</v>
      </c>
      <c r="L301" s="1326">
        <f t="shared" si="29"/>
        <v>0.54490437032246142</v>
      </c>
      <c r="M301" s="2121"/>
    </row>
    <row r="302" spans="1:16" ht="20.100000000000001" customHeight="1">
      <c r="A302" s="1159"/>
      <c r="B302" s="1944"/>
      <c r="C302" s="1939"/>
      <c r="D302" s="1328">
        <v>2059</v>
      </c>
      <c r="E302" s="1329">
        <v>628561</v>
      </c>
      <c r="F302" s="1329">
        <v>629826</v>
      </c>
      <c r="G302" s="1329"/>
      <c r="H302" s="1329">
        <v>26118</v>
      </c>
      <c r="I302" s="1213">
        <f>H302/E302</f>
        <v>4.1552053022697877E-2</v>
      </c>
      <c r="J302" s="1329"/>
      <c r="K302" s="471">
        <f t="shared" ref="K302:K304" si="30">H302+J302</f>
        <v>26118</v>
      </c>
      <c r="L302" s="1326">
        <f t="shared" si="29"/>
        <v>4.1552053022697877E-2</v>
      </c>
      <c r="M302" s="2121"/>
    </row>
    <row r="303" spans="1:16" ht="20.100000000000001" customHeight="1">
      <c r="A303" s="1159"/>
      <c r="B303" s="1944"/>
      <c r="C303" s="1939"/>
      <c r="D303" s="1328">
        <v>2919</v>
      </c>
      <c r="E303" s="1329">
        <v>0</v>
      </c>
      <c r="F303" s="1329">
        <v>2055</v>
      </c>
      <c r="G303" s="1329"/>
      <c r="H303" s="1329">
        <v>0</v>
      </c>
      <c r="I303" s="1213"/>
      <c r="J303" s="1329"/>
      <c r="K303" s="471">
        <f t="shared" si="30"/>
        <v>0</v>
      </c>
      <c r="L303" s="1326"/>
      <c r="M303" s="2121"/>
    </row>
    <row r="304" spans="1:16" ht="20.100000000000001" customHeight="1">
      <c r="A304" s="1159"/>
      <c r="B304" s="1944"/>
      <c r="C304" s="2117"/>
      <c r="D304" s="1328">
        <v>2959</v>
      </c>
      <c r="E304" s="1329">
        <v>0</v>
      </c>
      <c r="F304" s="1329">
        <v>18864</v>
      </c>
      <c r="G304" s="1329"/>
      <c r="H304" s="1329">
        <v>0</v>
      </c>
      <c r="I304" s="1213"/>
      <c r="J304" s="1329"/>
      <c r="K304" s="471">
        <f t="shared" si="30"/>
        <v>0</v>
      </c>
      <c r="L304" s="1326"/>
      <c r="M304" s="2121"/>
    </row>
    <row r="305" spans="1:16" ht="20.100000000000001" customHeight="1">
      <c r="A305" s="1159"/>
      <c r="B305" s="1944"/>
      <c r="C305" s="904" t="s">
        <v>24</v>
      </c>
      <c r="D305" s="1325"/>
      <c r="E305" s="906"/>
      <c r="F305" s="906"/>
      <c r="G305" s="906"/>
      <c r="H305" s="906"/>
      <c r="I305" s="1213"/>
      <c r="J305" s="906"/>
      <c r="K305" s="406"/>
      <c r="L305" s="1326"/>
      <c r="M305" s="2121"/>
    </row>
    <row r="306" spans="1:16" ht="20.100000000000001" customHeight="1">
      <c r="A306" s="1159"/>
      <c r="B306" s="1944"/>
      <c r="C306" s="174" t="s">
        <v>25</v>
      </c>
      <c r="D306" s="1325"/>
      <c r="E306" s="906"/>
      <c r="F306" s="906"/>
      <c r="G306" s="906"/>
      <c r="H306" s="906"/>
      <c r="I306" s="1213"/>
      <c r="J306" s="906"/>
      <c r="K306" s="406"/>
      <c r="L306" s="1326"/>
      <c r="M306" s="2121"/>
    </row>
    <row r="307" spans="1:16" ht="20.100000000000001" customHeight="1">
      <c r="A307" s="1159"/>
      <c r="B307" s="1944"/>
      <c r="C307" s="904" t="s">
        <v>26</v>
      </c>
      <c r="D307" s="1325"/>
      <c r="E307" s="906"/>
      <c r="F307" s="906"/>
      <c r="G307" s="906"/>
      <c r="H307" s="906"/>
      <c r="I307" s="1213"/>
      <c r="J307" s="906"/>
      <c r="K307" s="406"/>
      <c r="L307" s="1326"/>
      <c r="M307" s="2121"/>
    </row>
    <row r="308" spans="1:16" ht="20.100000000000001" customHeight="1">
      <c r="A308" s="1159"/>
      <c r="B308" s="1944"/>
      <c r="C308" s="904" t="s">
        <v>27</v>
      </c>
      <c r="D308" s="1325"/>
      <c r="E308" s="906"/>
      <c r="F308" s="906"/>
      <c r="G308" s="906"/>
      <c r="H308" s="906"/>
      <c r="I308" s="1213"/>
      <c r="J308" s="906"/>
      <c r="K308" s="406"/>
      <c r="L308" s="1326"/>
      <c r="M308" s="2121"/>
    </row>
    <row r="309" spans="1:16" ht="20.100000000000001" customHeight="1">
      <c r="A309" s="1159"/>
      <c r="B309" s="1944"/>
      <c r="C309" s="911" t="s">
        <v>28</v>
      </c>
      <c r="D309" s="1330"/>
      <c r="E309" s="903">
        <f>SUM(E310,E314,E315)</f>
        <v>2506</v>
      </c>
      <c r="F309" s="903">
        <f>SUM(F310,F314,F315)</f>
        <v>1265</v>
      </c>
      <c r="G309" s="903">
        <f>SUM(G310,G314,G315)</f>
        <v>0</v>
      </c>
      <c r="H309" s="903">
        <f>SUM(H310,H314,H315)</f>
        <v>0</v>
      </c>
      <c r="I309" s="1213"/>
      <c r="J309" s="903">
        <f>SUM(J310,J314,J315)</f>
        <v>0</v>
      </c>
      <c r="K309" s="447">
        <f>SUM(K310,K314,K315)</f>
        <v>0</v>
      </c>
      <c r="L309" s="1326">
        <f t="shared" si="29"/>
        <v>0</v>
      </c>
      <c r="M309" s="2121"/>
    </row>
    <row r="310" spans="1:16" s="977" customFormat="1" ht="20.100000000000001" customHeight="1">
      <c r="A310" s="1159"/>
      <c r="B310" s="1944"/>
      <c r="C310" s="1938" t="s">
        <v>29</v>
      </c>
      <c r="D310" s="1325" t="s">
        <v>22</v>
      </c>
      <c r="E310" s="906">
        <f t="shared" ref="E310:K310" si="31">SUM(E311:E312)</f>
        <v>2506</v>
      </c>
      <c r="F310" s="906">
        <f t="shared" si="31"/>
        <v>1265</v>
      </c>
      <c r="G310" s="906">
        <f t="shared" si="31"/>
        <v>0</v>
      </c>
      <c r="H310" s="906">
        <f t="shared" si="31"/>
        <v>0</v>
      </c>
      <c r="I310" s="906"/>
      <c r="J310" s="906">
        <f t="shared" si="31"/>
        <v>0</v>
      </c>
      <c r="K310" s="406">
        <f t="shared" si="31"/>
        <v>0</v>
      </c>
      <c r="L310" s="1326">
        <f t="shared" si="29"/>
        <v>0</v>
      </c>
      <c r="M310" s="2121"/>
      <c r="N310" s="1144"/>
      <c r="O310" s="1144"/>
      <c r="P310" s="1144"/>
    </row>
    <row r="311" spans="1:16" s="977" customFormat="1" ht="20.100000000000001" customHeight="1">
      <c r="A311" s="1159"/>
      <c r="B311" s="1944"/>
      <c r="C311" s="1939"/>
      <c r="D311" s="1328">
        <v>6259</v>
      </c>
      <c r="E311" s="1329">
        <v>2506</v>
      </c>
      <c r="F311" s="1329">
        <v>1253</v>
      </c>
      <c r="G311" s="1329"/>
      <c r="H311" s="1329">
        <v>0</v>
      </c>
      <c r="I311" s="1213"/>
      <c r="J311" s="1329"/>
      <c r="K311" s="471">
        <f>J311+H311</f>
        <v>0</v>
      </c>
      <c r="L311" s="1326">
        <f t="shared" si="29"/>
        <v>0</v>
      </c>
      <c r="M311" s="2121"/>
      <c r="N311" s="1144"/>
      <c r="O311" s="1144"/>
      <c r="P311" s="1144"/>
    </row>
    <row r="312" spans="1:16" s="977" customFormat="1" ht="20.100000000000001" customHeight="1">
      <c r="A312" s="1159"/>
      <c r="B312" s="1944"/>
      <c r="C312" s="2117"/>
      <c r="D312" s="1328">
        <v>6699</v>
      </c>
      <c r="E312" s="1329">
        <v>0</v>
      </c>
      <c r="F312" s="1329">
        <v>12</v>
      </c>
      <c r="G312" s="1329"/>
      <c r="H312" s="1329">
        <v>0</v>
      </c>
      <c r="I312" s="1213"/>
      <c r="J312" s="1329"/>
      <c r="K312" s="471">
        <f>J312+H312</f>
        <v>0</v>
      </c>
      <c r="L312" s="1326"/>
      <c r="M312" s="2121"/>
      <c r="N312" s="1144"/>
      <c r="O312" s="1144"/>
      <c r="P312" s="1144"/>
    </row>
    <row r="313" spans="1:16" ht="20.100000000000001" customHeight="1">
      <c r="A313" s="1159"/>
      <c r="B313" s="1944"/>
      <c r="C313" s="174" t="s">
        <v>30</v>
      </c>
      <c r="D313" s="1327"/>
      <c r="E313" s="906"/>
      <c r="F313" s="906"/>
      <c r="G313" s="906"/>
      <c r="H313" s="906"/>
      <c r="I313" s="1213"/>
      <c r="J313" s="906"/>
      <c r="K313" s="406"/>
      <c r="L313" s="1326"/>
      <c r="M313" s="2121"/>
    </row>
    <row r="314" spans="1:16" ht="20.100000000000001" customHeight="1">
      <c r="A314" s="1159"/>
      <c r="B314" s="1944"/>
      <c r="C314" s="904" t="s">
        <v>31</v>
      </c>
      <c r="D314" s="1325"/>
      <c r="E314" s="906"/>
      <c r="F314" s="906"/>
      <c r="G314" s="906"/>
      <c r="H314" s="906"/>
      <c r="I314" s="1213"/>
      <c r="J314" s="906"/>
      <c r="K314" s="406"/>
      <c r="L314" s="1326"/>
      <c r="M314" s="2121"/>
    </row>
    <row r="315" spans="1:16" s="189" customFormat="1" ht="20.100000000000001" customHeight="1">
      <c r="A315" s="1222"/>
      <c r="B315" s="1973"/>
      <c r="C315" s="904" t="s">
        <v>32</v>
      </c>
      <c r="D315" s="1325"/>
      <c r="E315" s="903"/>
      <c r="F315" s="903"/>
      <c r="G315" s="903"/>
      <c r="H315" s="903"/>
      <c r="I315" s="1213"/>
      <c r="J315" s="903"/>
      <c r="K315" s="406"/>
      <c r="L315" s="1326"/>
      <c r="M315" s="2122"/>
      <c r="N315" s="289"/>
      <c r="O315" s="289"/>
      <c r="P315" s="289"/>
    </row>
    <row r="316" spans="1:16" s="1044" customFormat="1" ht="20.100000000000001" hidden="1" customHeight="1">
      <c r="A316" s="1361" t="s">
        <v>69</v>
      </c>
      <c r="B316" s="1362"/>
      <c r="C316" s="1363" t="s">
        <v>70</v>
      </c>
      <c r="D316" s="1362"/>
      <c r="E316" s="1364">
        <f>E317</f>
        <v>0</v>
      </c>
      <c r="F316" s="1364">
        <f t="shared" ref="F316:K316" si="32">F317</f>
        <v>0</v>
      </c>
      <c r="G316" s="1364">
        <f t="shared" si="32"/>
        <v>0</v>
      </c>
      <c r="H316" s="1364">
        <f t="shared" si="32"/>
        <v>0</v>
      </c>
      <c r="I316" s="1364"/>
      <c r="J316" s="1364">
        <f t="shared" si="32"/>
        <v>0</v>
      </c>
      <c r="K316" s="1365">
        <f t="shared" si="32"/>
        <v>0</v>
      </c>
      <c r="L316" s="1338" t="e">
        <f t="shared" si="29"/>
        <v>#DIV/0!</v>
      </c>
      <c r="M316" s="1366"/>
      <c r="N316" s="285"/>
      <c r="O316" s="285"/>
      <c r="P316" s="285"/>
    </row>
    <row r="317" spans="1:16" s="189" customFormat="1" ht="20.100000000000001" hidden="1" customHeight="1">
      <c r="A317" s="2129"/>
      <c r="B317" s="2132" t="s">
        <v>71</v>
      </c>
      <c r="C317" s="1334" t="s">
        <v>17</v>
      </c>
      <c r="D317" s="1335"/>
      <c r="E317" s="1336">
        <f>SUM(E318,E327)</f>
        <v>0</v>
      </c>
      <c r="F317" s="1336">
        <f>SUM(F318,F327)</f>
        <v>0</v>
      </c>
      <c r="G317" s="1336"/>
      <c r="H317" s="1336">
        <f>SUM(H318,H327)</f>
        <v>0</v>
      </c>
      <c r="I317" s="1203"/>
      <c r="J317" s="1336">
        <f>SUM(J318,J327)</f>
        <v>0</v>
      </c>
      <c r="K317" s="1337">
        <f>SUM(K318,K327)</f>
        <v>0</v>
      </c>
      <c r="L317" s="1338" t="e">
        <f t="shared" si="29"/>
        <v>#DIV/0!</v>
      </c>
      <c r="M317" s="2133" t="s">
        <v>592</v>
      </c>
      <c r="N317" s="289"/>
      <c r="O317" s="289"/>
      <c r="P317" s="289"/>
    </row>
    <row r="318" spans="1:16" s="189" customFormat="1" ht="20.100000000000001" hidden="1" customHeight="1">
      <c r="A318" s="2130"/>
      <c r="B318" s="2132"/>
      <c r="C318" s="1339" t="s">
        <v>18</v>
      </c>
      <c r="D318" s="1340"/>
      <c r="E318" s="1341">
        <f>SUM(E319,E322,E323,E324,E325,E326)</f>
        <v>0</v>
      </c>
      <c r="F318" s="1341">
        <f>SUM(F319,F322,F323,F324,F325,F326)</f>
        <v>0</v>
      </c>
      <c r="G318" s="1341">
        <f>SUM(G319,G322,G323,G324,G325,G326)</f>
        <v>0</v>
      </c>
      <c r="H318" s="1341">
        <f>SUM(H319,H322,H323,H324,H325,H326)</f>
        <v>0</v>
      </c>
      <c r="I318" s="1204"/>
      <c r="J318" s="1341">
        <f>SUM(J319,J322,J323,J324,J325,J326)</f>
        <v>0</v>
      </c>
      <c r="K318" s="1342">
        <f>SUM(K319,K322,K323,K324,K325,K326)</f>
        <v>0</v>
      </c>
      <c r="L318" s="1338" t="e">
        <f t="shared" si="29"/>
        <v>#DIV/0!</v>
      </c>
      <c r="M318" s="2134"/>
      <c r="N318" s="289"/>
      <c r="O318" s="289"/>
      <c r="P318" s="289"/>
    </row>
    <row r="319" spans="1:16" ht="20.100000000000001" hidden="1" customHeight="1">
      <c r="A319" s="2130"/>
      <c r="B319" s="2132"/>
      <c r="C319" s="1343" t="s">
        <v>19</v>
      </c>
      <c r="D319" s="1344"/>
      <c r="E319" s="1345">
        <f>SUM(E320:E321)</f>
        <v>0</v>
      </c>
      <c r="F319" s="1345">
        <f>SUM(F320:F321)</f>
        <v>0</v>
      </c>
      <c r="G319" s="1345"/>
      <c r="H319" s="1345">
        <f>SUM(H320:H321)</f>
        <v>0</v>
      </c>
      <c r="I319" s="1204"/>
      <c r="J319" s="1345">
        <f>SUM(J320:J321)</f>
        <v>0</v>
      </c>
      <c r="K319" s="1346">
        <f>SUM(K320:K321)</f>
        <v>0</v>
      </c>
      <c r="L319" s="1338" t="e">
        <f t="shared" si="29"/>
        <v>#DIV/0!</v>
      </c>
      <c r="M319" s="2134"/>
    </row>
    <row r="320" spans="1:16" ht="20.100000000000001" hidden="1" customHeight="1">
      <c r="A320" s="2130"/>
      <c r="B320" s="2132"/>
      <c r="C320" s="1343" t="s">
        <v>20</v>
      </c>
      <c r="D320" s="1344"/>
      <c r="E320" s="1345"/>
      <c r="F320" s="1345"/>
      <c r="G320" s="1345"/>
      <c r="H320" s="1345"/>
      <c r="I320" s="1204"/>
      <c r="J320" s="1345"/>
      <c r="K320" s="1346">
        <f>H320+J320</f>
        <v>0</v>
      </c>
      <c r="L320" s="1338" t="e">
        <f t="shared" si="29"/>
        <v>#DIV/0!</v>
      </c>
      <c r="M320" s="2134"/>
    </row>
    <row r="321" spans="1:16" ht="20.100000000000001" hidden="1" customHeight="1">
      <c r="A321" s="2130"/>
      <c r="B321" s="2132"/>
      <c r="C321" s="1347" t="s">
        <v>21</v>
      </c>
      <c r="D321" s="1348"/>
      <c r="E321" s="1345"/>
      <c r="F321" s="1345"/>
      <c r="G321" s="1345"/>
      <c r="H321" s="1345"/>
      <c r="I321" s="1204"/>
      <c r="J321" s="1345"/>
      <c r="K321" s="1346">
        <f>H321+J321</f>
        <v>0</v>
      </c>
      <c r="L321" s="1338" t="e">
        <f t="shared" si="29"/>
        <v>#DIV/0!</v>
      </c>
      <c r="M321" s="2134"/>
    </row>
    <row r="322" spans="1:16" ht="20.100000000000001" hidden="1" customHeight="1">
      <c r="A322" s="2130"/>
      <c r="B322" s="2132"/>
      <c r="C322" s="1205" t="s">
        <v>23</v>
      </c>
      <c r="D322" s="1344"/>
      <c r="E322" s="1345"/>
      <c r="F322" s="1345"/>
      <c r="G322" s="1345"/>
      <c r="H322" s="1345"/>
      <c r="I322" s="1206"/>
      <c r="J322" s="1345"/>
      <c r="K322" s="1346">
        <f>H322+J322</f>
        <v>0</v>
      </c>
      <c r="L322" s="1338" t="e">
        <f t="shared" si="29"/>
        <v>#DIV/0!</v>
      </c>
      <c r="M322" s="2134"/>
    </row>
    <row r="323" spans="1:16" ht="20.100000000000001" hidden="1" customHeight="1">
      <c r="A323" s="2130"/>
      <c r="B323" s="2132"/>
      <c r="C323" s="1343" t="s">
        <v>24</v>
      </c>
      <c r="D323" s="1344"/>
      <c r="E323" s="1345"/>
      <c r="F323" s="1345"/>
      <c r="G323" s="1345"/>
      <c r="H323" s="1345"/>
      <c r="I323" s="1204"/>
      <c r="J323" s="1345"/>
      <c r="K323" s="1346">
        <f t="shared" ref="K323:K326" si="33">H323+J323</f>
        <v>0</v>
      </c>
      <c r="L323" s="1338" t="e">
        <f t="shared" si="29"/>
        <v>#DIV/0!</v>
      </c>
      <c r="M323" s="2134"/>
    </row>
    <row r="324" spans="1:16" ht="20.100000000000001" hidden="1" customHeight="1">
      <c r="A324" s="2130"/>
      <c r="B324" s="2132"/>
      <c r="C324" s="1207" t="s">
        <v>25</v>
      </c>
      <c r="D324" s="1344"/>
      <c r="E324" s="1345"/>
      <c r="F324" s="1345"/>
      <c r="G324" s="1345"/>
      <c r="H324" s="1345"/>
      <c r="I324" s="1204"/>
      <c r="J324" s="1345"/>
      <c r="K324" s="1346">
        <f t="shared" si="33"/>
        <v>0</v>
      </c>
      <c r="L324" s="1338" t="e">
        <f t="shared" si="29"/>
        <v>#DIV/0!</v>
      </c>
      <c r="M324" s="2134"/>
    </row>
    <row r="325" spans="1:16" ht="20.100000000000001" hidden="1" customHeight="1">
      <c r="A325" s="2130"/>
      <c r="B325" s="2132"/>
      <c r="C325" s="1343" t="s">
        <v>26</v>
      </c>
      <c r="D325" s="1344"/>
      <c r="E325" s="1345"/>
      <c r="F325" s="1345"/>
      <c r="G325" s="1345"/>
      <c r="H325" s="1345"/>
      <c r="I325" s="1204"/>
      <c r="J325" s="1345"/>
      <c r="K325" s="1346">
        <f t="shared" si="33"/>
        <v>0</v>
      </c>
      <c r="L325" s="1338" t="e">
        <f t="shared" si="29"/>
        <v>#DIV/0!</v>
      </c>
      <c r="M325" s="2134"/>
    </row>
    <row r="326" spans="1:16" ht="20.100000000000001" hidden="1" customHeight="1">
      <c r="A326" s="2130"/>
      <c r="B326" s="2132"/>
      <c r="C326" s="1343" t="s">
        <v>27</v>
      </c>
      <c r="D326" s="1344"/>
      <c r="E326" s="1345"/>
      <c r="F326" s="1345"/>
      <c r="G326" s="1345"/>
      <c r="H326" s="1345"/>
      <c r="I326" s="1204"/>
      <c r="J326" s="1345"/>
      <c r="K326" s="1346">
        <f t="shared" si="33"/>
        <v>0</v>
      </c>
      <c r="L326" s="1338" t="e">
        <f t="shared" si="29"/>
        <v>#DIV/0!</v>
      </c>
      <c r="M326" s="2134"/>
    </row>
    <row r="327" spans="1:16" ht="20.100000000000001" hidden="1" customHeight="1">
      <c r="A327" s="2130"/>
      <c r="B327" s="2132"/>
      <c r="C327" s="1349" t="s">
        <v>28</v>
      </c>
      <c r="D327" s="1350"/>
      <c r="E327" s="1341">
        <f>SUM(E328,E330,E331)</f>
        <v>0</v>
      </c>
      <c r="F327" s="1341">
        <f>SUM(F328,F330,F331)</f>
        <v>0</v>
      </c>
      <c r="G327" s="1341">
        <f t="shared" ref="G327:K327" si="34">SUM(G328,G330,G331)</f>
        <v>0</v>
      </c>
      <c r="H327" s="1341">
        <f t="shared" si="34"/>
        <v>0</v>
      </c>
      <c r="I327" s="1341"/>
      <c r="J327" s="1341">
        <f t="shared" si="34"/>
        <v>0</v>
      </c>
      <c r="K327" s="1342">
        <f t="shared" si="34"/>
        <v>0</v>
      </c>
      <c r="L327" s="1338" t="e">
        <f t="shared" si="29"/>
        <v>#DIV/0!</v>
      </c>
      <c r="M327" s="2134"/>
    </row>
    <row r="328" spans="1:16" s="977" customFormat="1" ht="20.100000000000001" hidden="1" customHeight="1">
      <c r="A328" s="2130"/>
      <c r="B328" s="2132"/>
      <c r="C328" s="1205" t="s">
        <v>29</v>
      </c>
      <c r="D328" s="1344">
        <v>6209</v>
      </c>
      <c r="E328" s="1345">
        <v>0</v>
      </c>
      <c r="F328" s="1345">
        <v>0</v>
      </c>
      <c r="G328" s="1345"/>
      <c r="H328" s="1345">
        <v>0</v>
      </c>
      <c r="I328" s="1367"/>
      <c r="J328" s="1345"/>
      <c r="K328" s="1346">
        <f>H328+J328</f>
        <v>0</v>
      </c>
      <c r="L328" s="1338" t="e">
        <f t="shared" si="29"/>
        <v>#DIV/0!</v>
      </c>
      <c r="M328" s="2134"/>
      <c r="N328" s="1144"/>
      <c r="O328" s="1144"/>
      <c r="P328" s="1144"/>
    </row>
    <row r="329" spans="1:16" ht="20.100000000000001" hidden="1" customHeight="1">
      <c r="A329" s="2130"/>
      <c r="B329" s="2132"/>
      <c r="C329" s="1207" t="s">
        <v>30</v>
      </c>
      <c r="D329" s="1348"/>
      <c r="E329" s="1345"/>
      <c r="F329" s="1345"/>
      <c r="G329" s="1345"/>
      <c r="H329" s="1345"/>
      <c r="I329" s="1204"/>
      <c r="J329" s="1345"/>
      <c r="K329" s="1346">
        <f>H329+J329</f>
        <v>0</v>
      </c>
      <c r="L329" s="1338" t="e">
        <f t="shared" si="29"/>
        <v>#DIV/0!</v>
      </c>
      <c r="M329" s="2134"/>
    </row>
    <row r="330" spans="1:16" ht="20.100000000000001" hidden="1" customHeight="1">
      <c r="A330" s="2130"/>
      <c r="B330" s="2132"/>
      <c r="C330" s="1343" t="s">
        <v>31</v>
      </c>
      <c r="D330" s="1344"/>
      <c r="E330" s="1345"/>
      <c r="F330" s="1345"/>
      <c r="G330" s="1345"/>
      <c r="H330" s="1345"/>
      <c r="I330" s="1204"/>
      <c r="J330" s="1345"/>
      <c r="K330" s="1346">
        <f>H330+J330</f>
        <v>0</v>
      </c>
      <c r="L330" s="1338" t="e">
        <f t="shared" si="29"/>
        <v>#DIV/0!</v>
      </c>
      <c r="M330" s="2134"/>
    </row>
    <row r="331" spans="1:16" s="189" customFormat="1" ht="20.100000000000001" hidden="1" customHeight="1">
      <c r="A331" s="2131"/>
      <c r="B331" s="2132"/>
      <c r="C331" s="1343" t="s">
        <v>32</v>
      </c>
      <c r="D331" s="1344"/>
      <c r="E331" s="1341"/>
      <c r="F331" s="1341"/>
      <c r="G331" s="1341"/>
      <c r="H331" s="1341"/>
      <c r="I331" s="1204"/>
      <c r="J331" s="1341"/>
      <c r="K331" s="1346">
        <f>H331+J331</f>
        <v>0</v>
      </c>
      <c r="L331" s="1338" t="e">
        <f t="shared" si="29"/>
        <v>#DIV/0!</v>
      </c>
      <c r="M331" s="2135"/>
      <c r="N331" s="289"/>
      <c r="O331" s="289"/>
      <c r="P331" s="289"/>
    </row>
    <row r="332" spans="1:16" s="1044" customFormat="1" ht="20.100000000000001" customHeight="1">
      <c r="A332" s="877" t="s">
        <v>72</v>
      </c>
      <c r="B332" s="1368"/>
      <c r="C332" s="1331" t="s">
        <v>73</v>
      </c>
      <c r="D332" s="1368"/>
      <c r="E332" s="1369">
        <f>E348+E365+E380+E333</f>
        <v>1659832</v>
      </c>
      <c r="F332" s="1369">
        <f t="shared" ref="F332:K332" si="35">F348+F365+F380+F333</f>
        <v>1433317</v>
      </c>
      <c r="G332" s="1369">
        <f t="shared" si="35"/>
        <v>0</v>
      </c>
      <c r="H332" s="1369">
        <f t="shared" si="35"/>
        <v>1061363</v>
      </c>
      <c r="I332" s="1369"/>
      <c r="J332" s="1369">
        <f t="shared" si="35"/>
        <v>0</v>
      </c>
      <c r="K332" s="495">
        <f t="shared" si="35"/>
        <v>1061363</v>
      </c>
      <c r="L332" s="1318">
        <f t="shared" si="29"/>
        <v>0.63944001561603825</v>
      </c>
      <c r="M332" s="1370"/>
      <c r="N332" s="285"/>
      <c r="O332" s="285"/>
      <c r="P332" s="285"/>
    </row>
    <row r="333" spans="1:16" s="189" customFormat="1" ht="20.100000000000001" customHeight="1">
      <c r="A333" s="1929"/>
      <c r="B333" s="2128" t="s">
        <v>74</v>
      </c>
      <c r="C333" s="1319" t="s">
        <v>75</v>
      </c>
      <c r="D333" s="1320"/>
      <c r="E333" s="1321">
        <f>SUM(E334,E343)</f>
        <v>173981</v>
      </c>
      <c r="F333" s="1321">
        <f>SUM(F334,F343)</f>
        <v>69580</v>
      </c>
      <c r="G333" s="1321"/>
      <c r="H333" s="1321">
        <f>SUM(H334,H343)</f>
        <v>177600</v>
      </c>
      <c r="I333" s="1134"/>
      <c r="J333" s="1321">
        <f>SUM(J334,J343)</f>
        <v>0</v>
      </c>
      <c r="K333" s="445">
        <f>SUM(K334,K343)</f>
        <v>177600</v>
      </c>
      <c r="L333" s="1322">
        <f t="shared" si="29"/>
        <v>1.0208011219615936</v>
      </c>
      <c r="M333" s="2120" t="s">
        <v>593</v>
      </c>
      <c r="N333" s="289"/>
      <c r="O333" s="289"/>
      <c r="P333" s="289"/>
    </row>
    <row r="334" spans="1:16" s="189" customFormat="1" ht="20.100000000000001" customHeight="1">
      <c r="A334" s="1930"/>
      <c r="B334" s="2128"/>
      <c r="C334" s="901" t="s">
        <v>18</v>
      </c>
      <c r="D334" s="1323"/>
      <c r="E334" s="903">
        <f>SUM(E335,E338,E339,E340,E341,E342)</f>
        <v>0</v>
      </c>
      <c r="F334" s="903">
        <f>SUM(F335,F338,F339,F340,F341,F342)</f>
        <v>0</v>
      </c>
      <c r="G334" s="903">
        <f>SUM(G335,G338,G339,G340,G341,G342)</f>
        <v>0</v>
      </c>
      <c r="H334" s="903">
        <f>SUM(H335,H338,H339,H340,H341,H342)</f>
        <v>0</v>
      </c>
      <c r="I334" s="808"/>
      <c r="J334" s="903">
        <f>SUM(J335,J338,J339,J340,J341,J342)</f>
        <v>0</v>
      </c>
      <c r="K334" s="447">
        <f>SUM(K335,K338,K339,K340,K341,K342)</f>
        <v>0</v>
      </c>
      <c r="L334" s="1326"/>
      <c r="M334" s="2125"/>
      <c r="N334" s="289"/>
      <c r="O334" s="289"/>
      <c r="P334" s="289"/>
    </row>
    <row r="335" spans="1:16" ht="20.100000000000001" customHeight="1">
      <c r="A335" s="1930"/>
      <c r="B335" s="2128"/>
      <c r="C335" s="904" t="s">
        <v>19</v>
      </c>
      <c r="D335" s="1325"/>
      <c r="E335" s="906"/>
      <c r="F335" s="906"/>
      <c r="G335" s="906"/>
      <c r="H335" s="906">
        <f>SUM(H336:H337)</f>
        <v>0</v>
      </c>
      <c r="I335" s="808"/>
      <c r="J335" s="906">
        <f>SUM(J336:J337)</f>
        <v>0</v>
      </c>
      <c r="K335" s="406"/>
      <c r="L335" s="1326"/>
      <c r="M335" s="2125"/>
    </row>
    <row r="336" spans="1:16" ht="20.100000000000001" customHeight="1">
      <c r="A336" s="1930"/>
      <c r="B336" s="2128"/>
      <c r="C336" s="904" t="s">
        <v>20</v>
      </c>
      <c r="D336" s="1325"/>
      <c r="E336" s="906"/>
      <c r="F336" s="906"/>
      <c r="G336" s="906"/>
      <c r="H336" s="906"/>
      <c r="I336" s="808"/>
      <c r="J336" s="906"/>
      <c r="K336" s="406"/>
      <c r="L336" s="1326"/>
      <c r="M336" s="2125"/>
    </row>
    <row r="337" spans="1:16" ht="20.100000000000001" customHeight="1">
      <c r="A337" s="1930"/>
      <c r="B337" s="2128"/>
      <c r="C337" s="910" t="s">
        <v>21</v>
      </c>
      <c r="D337" s="1327"/>
      <c r="E337" s="906"/>
      <c r="F337" s="906"/>
      <c r="G337" s="906"/>
      <c r="H337" s="906"/>
      <c r="I337" s="808"/>
      <c r="J337" s="906"/>
      <c r="K337" s="406"/>
      <c r="L337" s="1326"/>
      <c r="M337" s="2125"/>
    </row>
    <row r="338" spans="1:16" ht="20.100000000000001" customHeight="1">
      <c r="A338" s="1930"/>
      <c r="B338" s="2128"/>
      <c r="C338" s="404" t="s">
        <v>23</v>
      </c>
      <c r="D338" s="1325"/>
      <c r="E338" s="906"/>
      <c r="F338" s="906"/>
      <c r="G338" s="906"/>
      <c r="H338" s="906"/>
      <c r="I338" s="809"/>
      <c r="J338" s="906"/>
      <c r="K338" s="406"/>
      <c r="L338" s="1326"/>
      <c r="M338" s="2125"/>
    </row>
    <row r="339" spans="1:16" ht="20.100000000000001" customHeight="1">
      <c r="A339" s="1930"/>
      <c r="B339" s="2128"/>
      <c r="C339" s="904" t="s">
        <v>24</v>
      </c>
      <c r="D339" s="1325"/>
      <c r="E339" s="906"/>
      <c r="F339" s="906"/>
      <c r="G339" s="906"/>
      <c r="H339" s="906"/>
      <c r="I339" s="808"/>
      <c r="J339" s="906"/>
      <c r="K339" s="406"/>
      <c r="L339" s="1326"/>
      <c r="M339" s="2125"/>
    </row>
    <row r="340" spans="1:16" ht="20.100000000000001" customHeight="1">
      <c r="A340" s="1930"/>
      <c r="B340" s="2128"/>
      <c r="C340" s="174" t="s">
        <v>25</v>
      </c>
      <c r="D340" s="1325"/>
      <c r="E340" s="906"/>
      <c r="F340" s="906"/>
      <c r="G340" s="906"/>
      <c r="H340" s="906"/>
      <c r="I340" s="808"/>
      <c r="J340" s="906"/>
      <c r="K340" s="406"/>
      <c r="L340" s="1326"/>
      <c r="M340" s="2125"/>
    </row>
    <row r="341" spans="1:16" ht="20.100000000000001" customHeight="1">
      <c r="A341" s="1930"/>
      <c r="B341" s="2128"/>
      <c r="C341" s="904" t="s">
        <v>26</v>
      </c>
      <c r="D341" s="1325"/>
      <c r="E341" s="906"/>
      <c r="F341" s="906"/>
      <c r="G341" s="906"/>
      <c r="H341" s="906"/>
      <c r="I341" s="808"/>
      <c r="J341" s="906"/>
      <c r="K341" s="406"/>
      <c r="L341" s="1326"/>
      <c r="M341" s="2125"/>
    </row>
    <row r="342" spans="1:16" ht="20.100000000000001" customHeight="1">
      <c r="A342" s="1930"/>
      <c r="B342" s="2128"/>
      <c r="C342" s="904" t="s">
        <v>27</v>
      </c>
      <c r="D342" s="1325"/>
      <c r="E342" s="906"/>
      <c r="F342" s="906"/>
      <c r="G342" s="906"/>
      <c r="H342" s="906"/>
      <c r="I342" s="808"/>
      <c r="J342" s="906"/>
      <c r="K342" s="406"/>
      <c r="L342" s="1326"/>
      <c r="M342" s="2125"/>
    </row>
    <row r="343" spans="1:16" ht="20.100000000000001" customHeight="1">
      <c r="A343" s="1930"/>
      <c r="B343" s="2128"/>
      <c r="C343" s="911" t="s">
        <v>28</v>
      </c>
      <c r="D343" s="1330"/>
      <c r="E343" s="903">
        <f>SUM(E344,E346,E347)</f>
        <v>173981</v>
      </c>
      <c r="F343" s="903">
        <f>SUM(F344,F346,F347)</f>
        <v>69580</v>
      </c>
      <c r="G343" s="903">
        <f>SUM(G344,G346,G347)</f>
        <v>0</v>
      </c>
      <c r="H343" s="903">
        <f>SUM(H344,H346,H347)</f>
        <v>177600</v>
      </c>
      <c r="I343" s="808"/>
      <c r="J343" s="903">
        <f>SUM(J344,J346,J347)</f>
        <v>0</v>
      </c>
      <c r="K343" s="447">
        <f>SUM(K344,K346,K347)</f>
        <v>177600</v>
      </c>
      <c r="L343" s="1324">
        <f t="shared" si="29"/>
        <v>1.0208011219615936</v>
      </c>
      <c r="M343" s="2125"/>
    </row>
    <row r="344" spans="1:16" s="977" customFormat="1" ht="20.100000000000001" customHeight="1">
      <c r="A344" s="1930"/>
      <c r="B344" s="2128"/>
      <c r="C344" s="404" t="s">
        <v>29</v>
      </c>
      <c r="D344" s="1325">
        <v>6259</v>
      </c>
      <c r="E344" s="906">
        <v>173981</v>
      </c>
      <c r="F344" s="906">
        <v>69580</v>
      </c>
      <c r="G344" s="906"/>
      <c r="H344" s="906">
        <v>177600</v>
      </c>
      <c r="I344" s="1371"/>
      <c r="J344" s="906"/>
      <c r="K344" s="406">
        <f>H344+J344</f>
        <v>177600</v>
      </c>
      <c r="L344" s="1326">
        <f t="shared" si="29"/>
        <v>1.0208011219615936</v>
      </c>
      <c r="M344" s="2125"/>
      <c r="N344" s="1144"/>
      <c r="O344" s="1144"/>
      <c r="P344" s="1144"/>
    </row>
    <row r="345" spans="1:16" ht="20.100000000000001" customHeight="1">
      <c r="A345" s="1930"/>
      <c r="B345" s="2128"/>
      <c r="C345" s="174" t="s">
        <v>30</v>
      </c>
      <c r="D345" s="1327"/>
      <c r="E345" s="906"/>
      <c r="F345" s="906"/>
      <c r="G345" s="906"/>
      <c r="H345" s="906"/>
      <c r="I345" s="808"/>
      <c r="J345" s="906"/>
      <c r="K345" s="406"/>
      <c r="L345" s="1326"/>
      <c r="M345" s="2125"/>
    </row>
    <row r="346" spans="1:16" ht="20.100000000000001" customHeight="1">
      <c r="A346" s="1930"/>
      <c r="B346" s="2128"/>
      <c r="C346" s="904" t="s">
        <v>31</v>
      </c>
      <c r="D346" s="1325"/>
      <c r="E346" s="906"/>
      <c r="F346" s="906"/>
      <c r="G346" s="906"/>
      <c r="H346" s="906"/>
      <c r="I346" s="808"/>
      <c r="J346" s="906"/>
      <c r="K346" s="406"/>
      <c r="L346" s="1326"/>
      <c r="M346" s="2125"/>
    </row>
    <row r="347" spans="1:16" s="189" customFormat="1" ht="20.100000000000001" customHeight="1">
      <c r="A347" s="2119"/>
      <c r="B347" s="2128"/>
      <c r="C347" s="904" t="s">
        <v>32</v>
      </c>
      <c r="D347" s="1325"/>
      <c r="E347" s="903"/>
      <c r="F347" s="903"/>
      <c r="G347" s="903"/>
      <c r="H347" s="903"/>
      <c r="I347" s="808"/>
      <c r="J347" s="903"/>
      <c r="K347" s="406"/>
      <c r="L347" s="1326"/>
      <c r="M347" s="2126"/>
      <c r="N347" s="289"/>
      <c r="O347" s="289"/>
      <c r="P347" s="289"/>
    </row>
    <row r="348" spans="1:16" s="189" customFormat="1" ht="20.100000000000001" customHeight="1">
      <c r="A348" s="1929"/>
      <c r="B348" s="2128" t="s">
        <v>533</v>
      </c>
      <c r="C348" s="1319" t="s">
        <v>534</v>
      </c>
      <c r="D348" s="1320"/>
      <c r="E348" s="1321">
        <f>SUM(E349,E358)</f>
        <v>0</v>
      </c>
      <c r="F348" s="1321">
        <f>SUM(F349,F358)</f>
        <v>73517</v>
      </c>
      <c r="G348" s="1321"/>
      <c r="H348" s="1321">
        <f>SUM(H349,H358)</f>
        <v>0</v>
      </c>
      <c r="I348" s="1134"/>
      <c r="J348" s="1321">
        <f>SUM(J349,J358)</f>
        <v>0</v>
      </c>
      <c r="K348" s="445">
        <f>SUM(K349,K358)</f>
        <v>0</v>
      </c>
      <c r="L348" s="1333"/>
      <c r="M348" s="2120"/>
      <c r="N348" s="289"/>
      <c r="O348" s="289"/>
      <c r="P348" s="289"/>
    </row>
    <row r="349" spans="1:16" s="189" customFormat="1" ht="20.100000000000001" customHeight="1">
      <c r="A349" s="1930"/>
      <c r="B349" s="2128"/>
      <c r="C349" s="901" t="s">
        <v>18</v>
      </c>
      <c r="D349" s="1323"/>
      <c r="E349" s="903">
        <f>SUM(E350,E353,E354,E355,E356,E357)</f>
        <v>0</v>
      </c>
      <c r="F349" s="903">
        <f>SUM(F350,F353,F354,F355,F356,F357)</f>
        <v>0</v>
      </c>
      <c r="G349" s="903">
        <f>SUM(G350,G353,G354,G355,G356,G357)</f>
        <v>0</v>
      </c>
      <c r="H349" s="903">
        <f>SUM(H350,H353,H354,H355,H356,H357)</f>
        <v>0</v>
      </c>
      <c r="I349" s="808"/>
      <c r="J349" s="903">
        <f>SUM(J350,J353,J354,J355,J356,J357)</f>
        <v>0</v>
      </c>
      <c r="K349" s="447">
        <f>SUM(K350,K353,K354,K355,K356,K357)</f>
        <v>0</v>
      </c>
      <c r="L349" s="1326"/>
      <c r="M349" s="2125"/>
      <c r="N349" s="289"/>
      <c r="O349" s="289"/>
      <c r="P349" s="289"/>
    </row>
    <row r="350" spans="1:16" ht="20.100000000000001" customHeight="1">
      <c r="A350" s="1930"/>
      <c r="B350" s="2128"/>
      <c r="C350" s="904" t="s">
        <v>19</v>
      </c>
      <c r="D350" s="1325"/>
      <c r="E350" s="906"/>
      <c r="F350" s="906"/>
      <c r="G350" s="906"/>
      <c r="H350" s="906">
        <f>SUM(H351:H352)</f>
        <v>0</v>
      </c>
      <c r="I350" s="808"/>
      <c r="J350" s="906">
        <f>SUM(J351:J352)</f>
        <v>0</v>
      </c>
      <c r="K350" s="406"/>
      <c r="L350" s="1326"/>
      <c r="M350" s="2125"/>
    </row>
    <row r="351" spans="1:16" ht="20.100000000000001" customHeight="1">
      <c r="A351" s="1930"/>
      <c r="B351" s="2128"/>
      <c r="C351" s="904" t="s">
        <v>20</v>
      </c>
      <c r="D351" s="1325"/>
      <c r="E351" s="906"/>
      <c r="F351" s="906"/>
      <c r="G351" s="906"/>
      <c r="H351" s="906"/>
      <c r="I351" s="808"/>
      <c r="J351" s="906"/>
      <c r="K351" s="406"/>
      <c r="L351" s="1326"/>
      <c r="M351" s="2125"/>
    </row>
    <row r="352" spans="1:16" ht="20.100000000000001" customHeight="1">
      <c r="A352" s="1930"/>
      <c r="B352" s="2128"/>
      <c r="C352" s="910" t="s">
        <v>21</v>
      </c>
      <c r="D352" s="1327"/>
      <c r="E352" s="906"/>
      <c r="F352" s="906"/>
      <c r="G352" s="906"/>
      <c r="H352" s="906"/>
      <c r="I352" s="808"/>
      <c r="J352" s="906"/>
      <c r="K352" s="406"/>
      <c r="L352" s="1326"/>
      <c r="M352" s="2125"/>
    </row>
    <row r="353" spans="1:16" ht="20.100000000000001" customHeight="1">
      <c r="A353" s="1930"/>
      <c r="B353" s="2128"/>
      <c r="C353" s="404" t="s">
        <v>23</v>
      </c>
      <c r="D353" s="1325"/>
      <c r="E353" s="906"/>
      <c r="F353" s="906"/>
      <c r="G353" s="906"/>
      <c r="H353" s="906"/>
      <c r="I353" s="809"/>
      <c r="J353" s="906"/>
      <c r="K353" s="406"/>
      <c r="L353" s="1326"/>
      <c r="M353" s="2125"/>
    </row>
    <row r="354" spans="1:16" ht="20.100000000000001" customHeight="1">
      <c r="A354" s="1930"/>
      <c r="B354" s="2128"/>
      <c r="C354" s="904" t="s">
        <v>24</v>
      </c>
      <c r="D354" s="1325"/>
      <c r="E354" s="906"/>
      <c r="F354" s="906"/>
      <c r="G354" s="906"/>
      <c r="H354" s="906"/>
      <c r="I354" s="808"/>
      <c r="J354" s="906"/>
      <c r="K354" s="406"/>
      <c r="L354" s="1326"/>
      <c r="M354" s="2125"/>
    </row>
    <row r="355" spans="1:16" ht="20.100000000000001" customHeight="1">
      <c r="A355" s="1930"/>
      <c r="B355" s="2128"/>
      <c r="C355" s="174" t="s">
        <v>25</v>
      </c>
      <c r="D355" s="1325"/>
      <c r="E355" s="906"/>
      <c r="F355" s="906"/>
      <c r="G355" s="906"/>
      <c r="H355" s="906"/>
      <c r="I355" s="808"/>
      <c r="J355" s="906"/>
      <c r="K355" s="406"/>
      <c r="L355" s="1326"/>
      <c r="M355" s="2125"/>
    </row>
    <row r="356" spans="1:16" ht="20.100000000000001" customHeight="1">
      <c r="A356" s="1930"/>
      <c r="B356" s="2128"/>
      <c r="C356" s="904" t="s">
        <v>26</v>
      </c>
      <c r="D356" s="1325"/>
      <c r="E356" s="906"/>
      <c r="F356" s="906"/>
      <c r="G356" s="906"/>
      <c r="H356" s="906"/>
      <c r="I356" s="808"/>
      <c r="J356" s="906"/>
      <c r="K356" s="406"/>
      <c r="L356" s="1326"/>
      <c r="M356" s="2125"/>
    </row>
    <row r="357" spans="1:16" ht="20.100000000000001" customHeight="1">
      <c r="A357" s="1930"/>
      <c r="B357" s="2128"/>
      <c r="C357" s="904" t="s">
        <v>27</v>
      </c>
      <c r="D357" s="1325"/>
      <c r="E357" s="906"/>
      <c r="F357" s="906"/>
      <c r="G357" s="906"/>
      <c r="H357" s="906"/>
      <c r="I357" s="808"/>
      <c r="J357" s="906"/>
      <c r="K357" s="406"/>
      <c r="L357" s="1326"/>
      <c r="M357" s="2125"/>
    </row>
    <row r="358" spans="1:16" ht="20.100000000000001" customHeight="1">
      <c r="A358" s="1930"/>
      <c r="B358" s="2128"/>
      <c r="C358" s="911" t="s">
        <v>28</v>
      </c>
      <c r="D358" s="1330"/>
      <c r="E358" s="903">
        <f>SUM(E359,E363,E364)</f>
        <v>0</v>
      </c>
      <c r="F358" s="903">
        <f>SUM(F359,F363,F364)</f>
        <v>73517</v>
      </c>
      <c r="G358" s="903">
        <f>SUM(G359,G363,G364)</f>
        <v>0</v>
      </c>
      <c r="H358" s="903">
        <f>SUM(H359,H363,H364)</f>
        <v>0</v>
      </c>
      <c r="I358" s="808"/>
      <c r="J358" s="903">
        <f>SUM(J359,J363,J364)</f>
        <v>0</v>
      </c>
      <c r="K358" s="447">
        <f>SUM(K359,K363,K364)</f>
        <v>0</v>
      </c>
      <c r="L358" s="1326"/>
      <c r="M358" s="2125"/>
    </row>
    <row r="359" spans="1:16" s="977" customFormat="1" ht="19.5" hidden="1" customHeight="1">
      <c r="A359" s="1930"/>
      <c r="B359" s="2128"/>
      <c r="C359" s="1938" t="s">
        <v>29</v>
      </c>
      <c r="D359" s="1325" t="s">
        <v>22</v>
      </c>
      <c r="E359" s="906">
        <f>SUM(E360:E361)</f>
        <v>0</v>
      </c>
      <c r="F359" s="906">
        <f t="shared" ref="F359:K359" si="36">SUM(F360:F361)</f>
        <v>73517</v>
      </c>
      <c r="G359" s="906">
        <f t="shared" si="36"/>
        <v>0</v>
      </c>
      <c r="H359" s="906">
        <f t="shared" si="36"/>
        <v>0</v>
      </c>
      <c r="I359" s="1371"/>
      <c r="J359" s="906">
        <f t="shared" si="36"/>
        <v>0</v>
      </c>
      <c r="K359" s="406">
        <f t="shared" si="36"/>
        <v>0</v>
      </c>
      <c r="L359" s="1326"/>
      <c r="M359" s="2125"/>
      <c r="N359" s="1144"/>
      <c r="O359" s="1144"/>
      <c r="P359" s="1144"/>
    </row>
    <row r="360" spans="1:16" s="977" customFormat="1" ht="20.100000000000001" customHeight="1">
      <c r="A360" s="1930"/>
      <c r="B360" s="2128"/>
      <c r="C360" s="1939"/>
      <c r="D360" s="1325">
        <v>6209</v>
      </c>
      <c r="E360" s="906">
        <v>0</v>
      </c>
      <c r="F360" s="906">
        <v>73517</v>
      </c>
      <c r="G360" s="906"/>
      <c r="H360" s="906">
        <v>0</v>
      </c>
      <c r="I360" s="1371"/>
      <c r="J360" s="906"/>
      <c r="K360" s="406">
        <f>J360+H360</f>
        <v>0</v>
      </c>
      <c r="L360" s="1326"/>
      <c r="M360" s="2125"/>
      <c r="N360" s="1144"/>
      <c r="O360" s="1144"/>
      <c r="P360" s="1144"/>
    </row>
    <row r="361" spans="1:16" s="977" customFormat="1" ht="20.100000000000001" hidden="1" customHeight="1">
      <c r="A361" s="1930"/>
      <c r="B361" s="2128"/>
      <c r="C361" s="2117"/>
      <c r="D361" s="1325">
        <v>6259</v>
      </c>
      <c r="E361" s="906">
        <v>0</v>
      </c>
      <c r="F361" s="906">
        <v>0</v>
      </c>
      <c r="G361" s="906"/>
      <c r="H361" s="906">
        <v>0</v>
      </c>
      <c r="I361" s="1371"/>
      <c r="J361" s="906"/>
      <c r="K361" s="406">
        <f>J361+H361</f>
        <v>0</v>
      </c>
      <c r="L361" s="1326"/>
      <c r="M361" s="2125"/>
      <c r="N361" s="1144"/>
      <c r="O361" s="1144"/>
      <c r="P361" s="1144"/>
    </row>
    <row r="362" spans="1:16" ht="22.5">
      <c r="A362" s="1930"/>
      <c r="B362" s="2128"/>
      <c r="C362" s="174" t="s">
        <v>30</v>
      </c>
      <c r="D362" s="1327"/>
      <c r="E362" s="906"/>
      <c r="F362" s="906"/>
      <c r="G362" s="906"/>
      <c r="H362" s="906"/>
      <c r="I362" s="808"/>
      <c r="J362" s="906"/>
      <c r="K362" s="406"/>
      <c r="L362" s="1326"/>
      <c r="M362" s="2125"/>
    </row>
    <row r="363" spans="1:16" ht="20.100000000000001" customHeight="1">
      <c r="A363" s="1930"/>
      <c r="B363" s="2128"/>
      <c r="C363" s="904" t="s">
        <v>31</v>
      </c>
      <c r="D363" s="1325"/>
      <c r="E363" s="906"/>
      <c r="F363" s="906"/>
      <c r="G363" s="906"/>
      <c r="H363" s="906"/>
      <c r="I363" s="808"/>
      <c r="J363" s="906"/>
      <c r="K363" s="406"/>
      <c r="L363" s="1326"/>
      <c r="M363" s="2125"/>
    </row>
    <row r="364" spans="1:16" s="189" customFormat="1" ht="20.100000000000001" customHeight="1">
      <c r="A364" s="2119"/>
      <c r="B364" s="2128"/>
      <c r="C364" s="904" t="s">
        <v>32</v>
      </c>
      <c r="D364" s="1325"/>
      <c r="E364" s="903"/>
      <c r="F364" s="903"/>
      <c r="G364" s="903"/>
      <c r="H364" s="903"/>
      <c r="I364" s="808"/>
      <c r="J364" s="903"/>
      <c r="K364" s="406"/>
      <c r="L364" s="1326"/>
      <c r="M364" s="2126"/>
      <c r="N364" s="289"/>
      <c r="O364" s="289"/>
      <c r="P364" s="289"/>
    </row>
    <row r="365" spans="1:16" s="189" customFormat="1" ht="20.100000000000001" customHeight="1">
      <c r="A365" s="1929"/>
      <c r="B365" s="2128" t="s">
        <v>123</v>
      </c>
      <c r="C365" s="1319" t="s">
        <v>124</v>
      </c>
      <c r="D365" s="1320"/>
      <c r="E365" s="1321">
        <f>SUM(E366,E375)</f>
        <v>0</v>
      </c>
      <c r="F365" s="1321">
        <f>SUM(F366,F375)</f>
        <v>33207</v>
      </c>
      <c r="G365" s="1321"/>
      <c r="H365" s="1321">
        <f>SUM(H366,H375)</f>
        <v>0</v>
      </c>
      <c r="I365" s="1134"/>
      <c r="J365" s="1321">
        <f>SUM(J366,J375)</f>
        <v>0</v>
      </c>
      <c r="K365" s="445">
        <f>SUM(K366,K375)</f>
        <v>0</v>
      </c>
      <c r="L365" s="1333"/>
      <c r="M365" s="2120"/>
      <c r="N365" s="289"/>
      <c r="O365" s="289"/>
      <c r="P365" s="289"/>
    </row>
    <row r="366" spans="1:16" s="189" customFormat="1">
      <c r="A366" s="1930"/>
      <c r="B366" s="2128"/>
      <c r="C366" s="901" t="s">
        <v>18</v>
      </c>
      <c r="D366" s="1323"/>
      <c r="E366" s="903">
        <f>SUM(E367,E370,E371,E372,E373,E374)</f>
        <v>0</v>
      </c>
      <c r="F366" s="903">
        <f>SUM(F367,F370,F371,F372,F373,F374)</f>
        <v>0</v>
      </c>
      <c r="G366" s="903">
        <f>SUM(G367,G370,G371,G372,G373,G374)</f>
        <v>0</v>
      </c>
      <c r="H366" s="903">
        <f>SUM(H367,H370,H371,H372,H373,H374)</f>
        <v>0</v>
      </c>
      <c r="I366" s="808"/>
      <c r="J366" s="903">
        <f>SUM(J367,J370,J371,J372,J373,J374)</f>
        <v>0</v>
      </c>
      <c r="K366" s="447">
        <f>SUM(K367,K370,K371,K372,K373,K374)</f>
        <v>0</v>
      </c>
      <c r="L366" s="1326"/>
      <c r="M366" s="2125"/>
      <c r="N366" s="289"/>
      <c r="O366" s="289"/>
      <c r="P366" s="289"/>
    </row>
    <row r="367" spans="1:16">
      <c r="A367" s="1930"/>
      <c r="B367" s="2128"/>
      <c r="C367" s="904" t="s">
        <v>19</v>
      </c>
      <c r="D367" s="1325"/>
      <c r="E367" s="906"/>
      <c r="F367" s="906"/>
      <c r="G367" s="906"/>
      <c r="H367" s="906">
        <f>SUM(H368:H369)</f>
        <v>0</v>
      </c>
      <c r="I367" s="808"/>
      <c r="J367" s="906">
        <f>SUM(J368:J369)</f>
        <v>0</v>
      </c>
      <c r="K367" s="406"/>
      <c r="L367" s="1326"/>
      <c r="M367" s="2125"/>
    </row>
    <row r="368" spans="1:16">
      <c r="A368" s="1930"/>
      <c r="B368" s="2128"/>
      <c r="C368" s="904" t="s">
        <v>20</v>
      </c>
      <c r="D368" s="1325"/>
      <c r="E368" s="906"/>
      <c r="F368" s="906"/>
      <c r="G368" s="906"/>
      <c r="H368" s="906"/>
      <c r="I368" s="808"/>
      <c r="J368" s="906"/>
      <c r="K368" s="406"/>
      <c r="L368" s="1326"/>
      <c r="M368" s="2125"/>
    </row>
    <row r="369" spans="1:16" ht="13.5" customHeight="1">
      <c r="A369" s="1930"/>
      <c r="B369" s="2128"/>
      <c r="C369" s="910" t="s">
        <v>21</v>
      </c>
      <c r="D369" s="1327"/>
      <c r="E369" s="906"/>
      <c r="F369" s="906"/>
      <c r="G369" s="906"/>
      <c r="H369" s="906"/>
      <c r="I369" s="808"/>
      <c r="J369" s="906"/>
      <c r="K369" s="406"/>
      <c r="L369" s="1326"/>
      <c r="M369" s="2125"/>
    </row>
    <row r="370" spans="1:16">
      <c r="A370" s="1930"/>
      <c r="B370" s="2128"/>
      <c r="C370" s="404" t="s">
        <v>23</v>
      </c>
      <c r="D370" s="1325"/>
      <c r="E370" s="906"/>
      <c r="F370" s="906"/>
      <c r="G370" s="906"/>
      <c r="H370" s="906"/>
      <c r="I370" s="809"/>
      <c r="J370" s="906"/>
      <c r="K370" s="406"/>
      <c r="L370" s="1326"/>
      <c r="M370" s="2125"/>
    </row>
    <row r="371" spans="1:16">
      <c r="A371" s="1930"/>
      <c r="B371" s="2128"/>
      <c r="C371" s="904" t="s">
        <v>24</v>
      </c>
      <c r="D371" s="1325"/>
      <c r="E371" s="906"/>
      <c r="F371" s="906"/>
      <c r="G371" s="906"/>
      <c r="H371" s="906"/>
      <c r="I371" s="808"/>
      <c r="J371" s="906"/>
      <c r="K371" s="406"/>
      <c r="L371" s="1326"/>
      <c r="M371" s="2125"/>
    </row>
    <row r="372" spans="1:16" ht="22.5">
      <c r="A372" s="1930"/>
      <c r="B372" s="2128"/>
      <c r="C372" s="174" t="s">
        <v>25</v>
      </c>
      <c r="D372" s="1325"/>
      <c r="E372" s="906"/>
      <c r="F372" s="906"/>
      <c r="G372" s="906"/>
      <c r="H372" s="906"/>
      <c r="I372" s="808"/>
      <c r="J372" s="906"/>
      <c r="K372" s="406"/>
      <c r="L372" s="1326"/>
      <c r="M372" s="2125"/>
    </row>
    <row r="373" spans="1:16">
      <c r="A373" s="1930"/>
      <c r="B373" s="2128"/>
      <c r="C373" s="904" t="s">
        <v>26</v>
      </c>
      <c r="D373" s="1325"/>
      <c r="E373" s="906"/>
      <c r="F373" s="906"/>
      <c r="G373" s="906"/>
      <c r="H373" s="906"/>
      <c r="I373" s="808"/>
      <c r="J373" s="906"/>
      <c r="K373" s="406"/>
      <c r="L373" s="1326"/>
      <c r="M373" s="2125"/>
    </row>
    <row r="374" spans="1:16">
      <c r="A374" s="1930"/>
      <c r="B374" s="2128"/>
      <c r="C374" s="904" t="s">
        <v>27</v>
      </c>
      <c r="D374" s="1325"/>
      <c r="E374" s="906"/>
      <c r="F374" s="906"/>
      <c r="G374" s="906"/>
      <c r="H374" s="906"/>
      <c r="I374" s="808"/>
      <c r="J374" s="906"/>
      <c r="K374" s="406"/>
      <c r="L374" s="1326"/>
      <c r="M374" s="2125"/>
    </row>
    <row r="375" spans="1:16" ht="20.100000000000001" customHeight="1">
      <c r="A375" s="1930"/>
      <c r="B375" s="2128"/>
      <c r="C375" s="911" t="s">
        <v>28</v>
      </c>
      <c r="D375" s="1330"/>
      <c r="E375" s="903">
        <f>SUM(E376,E378,E379)</f>
        <v>0</v>
      </c>
      <c r="F375" s="903">
        <f>SUM(F376,F378,F379)</f>
        <v>33207</v>
      </c>
      <c r="G375" s="903">
        <f>SUM(G376,G378,G379)</f>
        <v>0</v>
      </c>
      <c r="H375" s="903">
        <f>SUM(H376,H378,H379)</f>
        <v>0</v>
      </c>
      <c r="I375" s="808"/>
      <c r="J375" s="903">
        <f>SUM(J376,J378,J379)</f>
        <v>0</v>
      </c>
      <c r="K375" s="447">
        <f>SUM(K376,K378,K379)</f>
        <v>0</v>
      </c>
      <c r="L375" s="1326"/>
      <c r="M375" s="2125"/>
    </row>
    <row r="376" spans="1:16" s="977" customFormat="1">
      <c r="A376" s="1930"/>
      <c r="B376" s="2128"/>
      <c r="C376" s="404" t="s">
        <v>29</v>
      </c>
      <c r="D376" s="1325">
        <v>6259</v>
      </c>
      <c r="E376" s="906">
        <v>0</v>
      </c>
      <c r="F376" s="906">
        <v>33207</v>
      </c>
      <c r="G376" s="906"/>
      <c r="H376" s="906">
        <v>0</v>
      </c>
      <c r="I376" s="809"/>
      <c r="J376" s="906"/>
      <c r="K376" s="406">
        <f>J376+H376</f>
        <v>0</v>
      </c>
      <c r="L376" s="1326"/>
      <c r="M376" s="2125"/>
      <c r="N376" s="1144"/>
      <c r="O376" s="1144"/>
      <c r="P376" s="1144"/>
    </row>
    <row r="377" spans="1:16" ht="22.5">
      <c r="A377" s="1930"/>
      <c r="B377" s="2128"/>
      <c r="C377" s="174" t="s">
        <v>30</v>
      </c>
      <c r="D377" s="1327"/>
      <c r="E377" s="906"/>
      <c r="F377" s="906"/>
      <c r="G377" s="906"/>
      <c r="H377" s="906"/>
      <c r="I377" s="808"/>
      <c r="J377" s="906"/>
      <c r="K377" s="406"/>
      <c r="L377" s="1326"/>
      <c r="M377" s="2125"/>
    </row>
    <row r="378" spans="1:16">
      <c r="A378" s="1930"/>
      <c r="B378" s="2128"/>
      <c r="C378" s="904" t="s">
        <v>31</v>
      </c>
      <c r="D378" s="1325"/>
      <c r="E378" s="906"/>
      <c r="F378" s="906"/>
      <c r="G378" s="906"/>
      <c r="H378" s="906"/>
      <c r="I378" s="808"/>
      <c r="J378" s="906"/>
      <c r="K378" s="406"/>
      <c r="L378" s="1326"/>
      <c r="M378" s="2125"/>
    </row>
    <row r="379" spans="1:16" s="189" customFormat="1">
      <c r="A379" s="2119"/>
      <c r="B379" s="2128"/>
      <c r="C379" s="904" t="s">
        <v>32</v>
      </c>
      <c r="D379" s="1325"/>
      <c r="E379" s="903"/>
      <c r="F379" s="903"/>
      <c r="G379" s="903"/>
      <c r="H379" s="903"/>
      <c r="I379" s="808"/>
      <c r="J379" s="903"/>
      <c r="K379" s="406"/>
      <c r="L379" s="1326"/>
      <c r="M379" s="2126"/>
      <c r="N379" s="289"/>
      <c r="O379" s="289"/>
      <c r="P379" s="289"/>
    </row>
    <row r="380" spans="1:16" s="189" customFormat="1" ht="20.100000000000001" customHeight="1">
      <c r="A380" s="1929"/>
      <c r="B380" s="2128" t="s">
        <v>76</v>
      </c>
      <c r="C380" s="1319" t="s">
        <v>17</v>
      </c>
      <c r="D380" s="1320"/>
      <c r="E380" s="1321">
        <f>SUM(E381,E390)</f>
        <v>1485851</v>
      </c>
      <c r="F380" s="1321">
        <f>SUM(F381,F390)</f>
        <v>1257013</v>
      </c>
      <c r="G380" s="1321"/>
      <c r="H380" s="1321">
        <f>SUM(H381,H390)</f>
        <v>883763</v>
      </c>
      <c r="I380" s="1134">
        <f>H380/E380</f>
        <v>0.59478574904213144</v>
      </c>
      <c r="J380" s="1321">
        <f>SUM(J381,J390)</f>
        <v>0</v>
      </c>
      <c r="K380" s="445">
        <f>SUM(K381,K390)</f>
        <v>883763</v>
      </c>
      <c r="L380" s="1333">
        <f t="shared" ref="L380" si="37">K380/E380</f>
        <v>0.59478574904213144</v>
      </c>
      <c r="M380" s="2120" t="s">
        <v>594</v>
      </c>
      <c r="N380" s="289"/>
      <c r="O380" s="289"/>
      <c r="P380" s="289"/>
    </row>
    <row r="381" spans="1:16" s="189" customFormat="1" ht="15.75" customHeight="1">
      <c r="A381" s="1930"/>
      <c r="B381" s="2128"/>
      <c r="C381" s="901" t="s">
        <v>18</v>
      </c>
      <c r="D381" s="1323"/>
      <c r="E381" s="903">
        <f>SUM(E382,E385,E386,E387,E388,E389)</f>
        <v>0</v>
      </c>
      <c r="F381" s="903">
        <f>SUM(F382,F385,F386,F387,F388,F389)</f>
        <v>0</v>
      </c>
      <c r="G381" s="903">
        <f>SUM(G382,G385,G386,G387,G388,G389)</f>
        <v>0</v>
      </c>
      <c r="H381" s="903">
        <f>SUM(H382,H385,H386,H387,H388,H389)</f>
        <v>0</v>
      </c>
      <c r="I381" s="808"/>
      <c r="J381" s="903">
        <f>SUM(J382,J385,J386,J387,J388,J389)</f>
        <v>0</v>
      </c>
      <c r="K381" s="447">
        <f>SUM(K382,K385,K386,K387,K388,K389)</f>
        <v>0</v>
      </c>
      <c r="L381" s="1326"/>
      <c r="M381" s="2125"/>
      <c r="N381" s="289"/>
      <c r="O381" s="289"/>
      <c r="P381" s="289"/>
    </row>
    <row r="382" spans="1:16" ht="17.25" customHeight="1">
      <c r="A382" s="1930"/>
      <c r="B382" s="2128"/>
      <c r="C382" s="904" t="s">
        <v>19</v>
      </c>
      <c r="D382" s="1325"/>
      <c r="E382" s="906"/>
      <c r="F382" s="906"/>
      <c r="G382" s="906"/>
      <c r="H382" s="906">
        <f>SUM(H383:H384)</f>
        <v>0</v>
      </c>
      <c r="I382" s="808"/>
      <c r="J382" s="906">
        <f>SUM(J383:J384)</f>
        <v>0</v>
      </c>
      <c r="K382" s="406"/>
      <c r="L382" s="1326"/>
      <c r="M382" s="2125"/>
    </row>
    <row r="383" spans="1:16" ht="16.5" customHeight="1">
      <c r="A383" s="1930"/>
      <c r="B383" s="2128"/>
      <c r="C383" s="904" t="s">
        <v>20</v>
      </c>
      <c r="D383" s="1325"/>
      <c r="E383" s="906"/>
      <c r="F383" s="906"/>
      <c r="G383" s="906"/>
      <c r="H383" s="906"/>
      <c r="I383" s="808"/>
      <c r="J383" s="906"/>
      <c r="K383" s="406"/>
      <c r="L383" s="1326"/>
      <c r="M383" s="2125"/>
    </row>
    <row r="384" spans="1:16" ht="16.5" customHeight="1">
      <c r="A384" s="1930"/>
      <c r="B384" s="2128"/>
      <c r="C384" s="910" t="s">
        <v>21</v>
      </c>
      <c r="D384" s="1327"/>
      <c r="E384" s="906"/>
      <c r="F384" s="906"/>
      <c r="G384" s="906"/>
      <c r="H384" s="906"/>
      <c r="I384" s="808"/>
      <c r="J384" s="906"/>
      <c r="K384" s="406"/>
      <c r="L384" s="1326"/>
      <c r="M384" s="2125"/>
    </row>
    <row r="385" spans="1:16" ht="16.5" customHeight="1">
      <c r="A385" s="1930"/>
      <c r="B385" s="2128"/>
      <c r="C385" s="404" t="s">
        <v>23</v>
      </c>
      <c r="D385" s="1325"/>
      <c r="E385" s="906"/>
      <c r="F385" s="906"/>
      <c r="G385" s="906"/>
      <c r="H385" s="906"/>
      <c r="I385" s="809"/>
      <c r="J385" s="906"/>
      <c r="K385" s="406"/>
      <c r="L385" s="1326"/>
      <c r="M385" s="2125"/>
    </row>
    <row r="386" spans="1:16" ht="16.5" customHeight="1">
      <c r="A386" s="1930"/>
      <c r="B386" s="2128"/>
      <c r="C386" s="904" t="s">
        <v>24</v>
      </c>
      <c r="D386" s="1325"/>
      <c r="E386" s="906"/>
      <c r="F386" s="906"/>
      <c r="G386" s="906"/>
      <c r="H386" s="906"/>
      <c r="I386" s="808"/>
      <c r="J386" s="906"/>
      <c r="K386" s="406"/>
      <c r="L386" s="1326"/>
      <c r="M386" s="2125"/>
    </row>
    <row r="387" spans="1:16" ht="20.100000000000001" customHeight="1">
      <c r="A387" s="1930"/>
      <c r="B387" s="2128"/>
      <c r="C387" s="174" t="s">
        <v>25</v>
      </c>
      <c r="D387" s="1325"/>
      <c r="E387" s="906"/>
      <c r="F387" s="906"/>
      <c r="G387" s="906"/>
      <c r="H387" s="906"/>
      <c r="I387" s="808"/>
      <c r="J387" s="906"/>
      <c r="K387" s="406"/>
      <c r="L387" s="1326"/>
      <c r="M387" s="2125"/>
    </row>
    <row r="388" spans="1:16" ht="17.25" customHeight="1">
      <c r="A388" s="1930"/>
      <c r="B388" s="2128"/>
      <c r="C388" s="904" t="s">
        <v>26</v>
      </c>
      <c r="D388" s="1325"/>
      <c r="E388" s="906"/>
      <c r="F388" s="906"/>
      <c r="G388" s="906"/>
      <c r="H388" s="906"/>
      <c r="I388" s="808"/>
      <c r="J388" s="906"/>
      <c r="K388" s="406"/>
      <c r="L388" s="1326"/>
      <c r="M388" s="2125"/>
    </row>
    <row r="389" spans="1:16" ht="16.5" customHeight="1">
      <c r="A389" s="1930"/>
      <c r="B389" s="2128"/>
      <c r="C389" s="904" t="s">
        <v>27</v>
      </c>
      <c r="D389" s="1325"/>
      <c r="E389" s="906"/>
      <c r="F389" s="906"/>
      <c r="G389" s="906"/>
      <c r="H389" s="906"/>
      <c r="I389" s="808"/>
      <c r="J389" s="906"/>
      <c r="K389" s="406"/>
      <c r="L389" s="1326"/>
      <c r="M389" s="2125"/>
    </row>
    <row r="390" spans="1:16" ht="18" customHeight="1">
      <c r="A390" s="1930"/>
      <c r="B390" s="2128"/>
      <c r="C390" s="911" t="s">
        <v>28</v>
      </c>
      <c r="D390" s="1330"/>
      <c r="E390" s="903">
        <f>SUM(E391,E393,E394)</f>
        <v>1485851</v>
      </c>
      <c r="F390" s="903">
        <f>SUM(F391,F393,F394)</f>
        <v>1257013</v>
      </c>
      <c r="G390" s="903">
        <f>SUM(G391,G393,G394)</f>
        <v>0</v>
      </c>
      <c r="H390" s="903">
        <f>SUM(H391,H393,H394)</f>
        <v>883763</v>
      </c>
      <c r="I390" s="808">
        <f>H390/E390</f>
        <v>0.59478574904213144</v>
      </c>
      <c r="J390" s="903">
        <f>SUM(J391,J393,J394)</f>
        <v>0</v>
      </c>
      <c r="K390" s="447">
        <f>SUM(K391,K393,K394)</f>
        <v>883763</v>
      </c>
      <c r="L390" s="1326">
        <f t="shared" ref="L390:L395" si="38">K390/E390</f>
        <v>0.59478574904213144</v>
      </c>
      <c r="M390" s="2125"/>
    </row>
    <row r="391" spans="1:16" s="977" customFormat="1" ht="14.25" customHeight="1">
      <c r="A391" s="1930"/>
      <c r="B391" s="2128"/>
      <c r="C391" s="404" t="s">
        <v>29</v>
      </c>
      <c r="D391" s="1325">
        <v>6259</v>
      </c>
      <c r="E391" s="906">
        <v>1485851</v>
      </c>
      <c r="F391" s="906">
        <v>1257013</v>
      </c>
      <c r="G391" s="906"/>
      <c r="H391" s="906">
        <v>883763</v>
      </c>
      <c r="I391" s="809">
        <f>H391/E391</f>
        <v>0.59478574904213144</v>
      </c>
      <c r="J391" s="906"/>
      <c r="K391" s="406">
        <f>J391+H391</f>
        <v>883763</v>
      </c>
      <c r="L391" s="1326">
        <f t="shared" si="38"/>
        <v>0.59478574904213144</v>
      </c>
      <c r="M391" s="2125"/>
      <c r="N391" s="1144"/>
      <c r="O391" s="1144"/>
      <c r="P391" s="1144"/>
    </row>
    <row r="392" spans="1:16" ht="20.100000000000001" customHeight="1">
      <c r="A392" s="1930"/>
      <c r="B392" s="2128"/>
      <c r="C392" s="174" t="s">
        <v>30</v>
      </c>
      <c r="D392" s="1327"/>
      <c r="E392" s="906"/>
      <c r="F392" s="906"/>
      <c r="G392" s="906"/>
      <c r="H392" s="906"/>
      <c r="I392" s="808"/>
      <c r="J392" s="906"/>
      <c r="K392" s="406"/>
      <c r="L392" s="1326"/>
      <c r="M392" s="2125"/>
    </row>
    <row r="393" spans="1:16" ht="20.100000000000001" customHeight="1">
      <c r="A393" s="1930"/>
      <c r="B393" s="2128"/>
      <c r="C393" s="904" t="s">
        <v>31</v>
      </c>
      <c r="D393" s="1325"/>
      <c r="E393" s="906"/>
      <c r="F393" s="906"/>
      <c r="G393" s="906"/>
      <c r="H393" s="906"/>
      <c r="I393" s="808"/>
      <c r="J393" s="906"/>
      <c r="K393" s="406"/>
      <c r="L393" s="1326"/>
      <c r="M393" s="2125"/>
    </row>
    <row r="394" spans="1:16" s="189" customFormat="1" ht="20.100000000000001" customHeight="1" thickBot="1">
      <c r="A394" s="1930"/>
      <c r="B394" s="1972"/>
      <c r="C394" s="169" t="s">
        <v>32</v>
      </c>
      <c r="D394" s="810"/>
      <c r="E394" s="172"/>
      <c r="F394" s="172"/>
      <c r="G394" s="172"/>
      <c r="H394" s="172"/>
      <c r="I394" s="811"/>
      <c r="J394" s="172"/>
      <c r="K394" s="455"/>
      <c r="L394" s="1190"/>
      <c r="M394" s="2125"/>
      <c r="N394" s="289"/>
      <c r="O394" s="289"/>
      <c r="P394" s="289"/>
    </row>
    <row r="395" spans="1:16" s="1225" customFormat="1" ht="20.100000000000001" customHeight="1" thickBot="1">
      <c r="A395" s="2109" t="s">
        <v>33</v>
      </c>
      <c r="B395" s="2110"/>
      <c r="C395" s="2111"/>
      <c r="D395" s="793"/>
      <c r="E395" s="1191">
        <f>E5+E23+E39+E70+E115+E161+E179+E240+E316+E332</f>
        <v>70268622</v>
      </c>
      <c r="F395" s="1191">
        <f>F5+F23+F39+F70+F115+F161+F179+F240+F316+F332</f>
        <v>73576353</v>
      </c>
      <c r="G395" s="1191">
        <f>G5+G23+G39+G70+G115+G161+G179+G240+G316+G332</f>
        <v>0</v>
      </c>
      <c r="H395" s="1191">
        <f>H5+H23+H39+H70+H115+H161+H179+H240+H316+H332</f>
        <v>79299453</v>
      </c>
      <c r="I395" s="1223">
        <f>H395/E395</f>
        <v>1.128518686477159</v>
      </c>
      <c r="J395" s="1191">
        <f>J5+J23+J39+J70+J115+J161+J179+J240+J316+J332</f>
        <v>0</v>
      </c>
      <c r="K395" s="1192">
        <f>K5+K23+K39+K70+K115+K161+K179+K240+K316+K332</f>
        <v>79299453</v>
      </c>
      <c r="L395" s="1194">
        <f t="shared" si="38"/>
        <v>1.128518686477159</v>
      </c>
      <c r="M395" s="1224"/>
    </row>
    <row r="396" spans="1:16">
      <c r="A396" s="178"/>
      <c r="B396" s="178"/>
      <c r="C396" s="178"/>
      <c r="D396" s="1198"/>
      <c r="E396" s="178"/>
      <c r="F396" s="178"/>
      <c r="G396" s="178"/>
      <c r="H396" s="178"/>
      <c r="I396" s="1198"/>
      <c r="J396" s="178"/>
      <c r="K396" s="178"/>
      <c r="L396" s="1082"/>
      <c r="M396" s="178"/>
    </row>
    <row r="397" spans="1:16">
      <c r="A397" s="178"/>
      <c r="B397" s="178"/>
      <c r="C397" s="178"/>
      <c r="D397" s="1198"/>
      <c r="E397" s="419"/>
      <c r="F397" s="419"/>
      <c r="G397" s="419"/>
      <c r="H397" s="419"/>
      <c r="I397" s="1226"/>
      <c r="J397" s="419"/>
      <c r="K397" s="419"/>
      <c r="L397" s="717"/>
      <c r="M397" s="178"/>
    </row>
    <row r="398" spans="1:16">
      <c r="A398" s="178"/>
      <c r="B398" s="178"/>
      <c r="C398" s="178"/>
      <c r="D398" s="1198"/>
      <c r="E398" s="178"/>
      <c r="F398" s="178"/>
      <c r="G398" s="178"/>
      <c r="H398" s="178"/>
      <c r="I398" s="1198"/>
      <c r="J398" s="178"/>
      <c r="K398" s="178"/>
      <c r="L398" s="1082"/>
      <c r="M398" s="178"/>
    </row>
  </sheetData>
  <mergeCells count="73">
    <mergeCell ref="A1:M1"/>
    <mergeCell ref="B4:C4"/>
    <mergeCell ref="A6:A22"/>
    <mergeCell ref="B6:B22"/>
    <mergeCell ref="M6:M22"/>
    <mergeCell ref="C11:C13"/>
    <mergeCell ref="A24:A38"/>
    <mergeCell ref="B24:B38"/>
    <mergeCell ref="M24:M38"/>
    <mergeCell ref="A40:A54"/>
    <mergeCell ref="B40:B54"/>
    <mergeCell ref="M40:M54"/>
    <mergeCell ref="A55:A69"/>
    <mergeCell ref="B55:B69"/>
    <mergeCell ref="M55:M69"/>
    <mergeCell ref="A71:A91"/>
    <mergeCell ref="B71:B91"/>
    <mergeCell ref="M71:M91"/>
    <mergeCell ref="C78:C84"/>
    <mergeCell ref="A92:A114"/>
    <mergeCell ref="B92:B114"/>
    <mergeCell ref="M92:M114"/>
    <mergeCell ref="C99:C101"/>
    <mergeCell ref="C105:C109"/>
    <mergeCell ref="C110:C112"/>
    <mergeCell ref="A138:A160"/>
    <mergeCell ref="B138:B160"/>
    <mergeCell ref="M138:M160"/>
    <mergeCell ref="C143:C147"/>
    <mergeCell ref="C153:C157"/>
    <mergeCell ref="A116:A137"/>
    <mergeCell ref="B116:B137"/>
    <mergeCell ref="M116:M137"/>
    <mergeCell ref="C121:C125"/>
    <mergeCell ref="C131:C134"/>
    <mergeCell ref="A162:A178"/>
    <mergeCell ref="B162:B178"/>
    <mergeCell ref="M162:M178"/>
    <mergeCell ref="C173:C175"/>
    <mergeCell ref="A180:A216"/>
    <mergeCell ref="B180:B216"/>
    <mergeCell ref="M180:M216"/>
    <mergeCell ref="C187:C209"/>
    <mergeCell ref="A317:A331"/>
    <mergeCell ref="B317:B331"/>
    <mergeCell ref="M317:M331"/>
    <mergeCell ref="A217:A239"/>
    <mergeCell ref="B217:B239"/>
    <mergeCell ref="M217:M239"/>
    <mergeCell ref="C222:C226"/>
    <mergeCell ref="C232:C236"/>
    <mergeCell ref="B241:B289"/>
    <mergeCell ref="M241:M289"/>
    <mergeCell ref="C248:C287"/>
    <mergeCell ref="B290:B294"/>
    <mergeCell ref="B295:B315"/>
    <mergeCell ref="M295:M315"/>
    <mergeCell ref="C300:C304"/>
    <mergeCell ref="C310:C312"/>
    <mergeCell ref="A333:A347"/>
    <mergeCell ref="B333:B347"/>
    <mergeCell ref="M333:M347"/>
    <mergeCell ref="A348:A364"/>
    <mergeCell ref="B348:B364"/>
    <mergeCell ref="M348:M364"/>
    <mergeCell ref="C359:C361"/>
    <mergeCell ref="A395:C395"/>
    <mergeCell ref="A365:A379"/>
    <mergeCell ref="B365:B379"/>
    <mergeCell ref="M365:M379"/>
    <mergeCell ref="A380:A394"/>
    <mergeCell ref="B380:B394"/>
    <mergeCell ref="M380:M394"/>
  </mergeCells>
  <printOptions horizontalCentered="1"/>
  <pageMargins left="0.19685039370078741" right="0.19685039370078741" top="0.39370078740157483" bottom="0.39370078740157483" header="0.51181102362204722" footer="0.43307086614173229"/>
  <pageSetup paperSize="9" scale="80" orientation="landscape" r:id="rId1"/>
  <headerFooter alignWithMargins="0"/>
  <rowBreaks count="3" manualBreakCount="3">
    <brk id="38" max="12" man="1"/>
    <brk id="91" max="12" man="1"/>
    <brk id="16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FF"/>
  </sheetPr>
  <dimension ref="A1:Y296"/>
  <sheetViews>
    <sheetView view="pageBreakPreview" topLeftCell="A143" zoomScaleSheetLayoutView="100" workbookViewId="0">
      <selection activeCell="M198" sqref="M198:M231"/>
    </sheetView>
  </sheetViews>
  <sheetFormatPr defaultRowHeight="12.75"/>
  <cols>
    <col min="1" max="1" width="4.5703125" style="1197" bestFit="1" customWidth="1"/>
    <col min="2" max="2" width="7.42578125" style="257" bestFit="1" customWidth="1"/>
    <col min="3" max="3" width="41.85546875" style="257" customWidth="1"/>
    <col min="4" max="4" width="5.28515625" style="1197" bestFit="1" customWidth="1"/>
    <col min="5" max="6" width="12.140625" style="257" customWidth="1"/>
    <col min="7" max="8" width="12.140625" style="257" hidden="1" customWidth="1"/>
    <col min="9" max="9" width="9.42578125" style="257" hidden="1" customWidth="1"/>
    <col min="10" max="10" width="12.140625" style="257" hidden="1" customWidth="1"/>
    <col min="11" max="11" width="12.140625" style="257" customWidth="1"/>
    <col min="12" max="12" width="7.85546875" style="1199" hidden="1" customWidth="1"/>
    <col min="13" max="13" width="76.140625" style="257" customWidth="1"/>
    <col min="14" max="25" width="9.140625" style="257"/>
    <col min="26" max="237" width="9.140625" style="178"/>
    <col min="238" max="238" width="4.28515625" style="178" bestFit="1" customWidth="1"/>
    <col min="239" max="239" width="6.85546875" style="178" bestFit="1" customWidth="1"/>
    <col min="240" max="240" width="11" style="178" customWidth="1"/>
    <col min="241" max="241" width="11.140625" style="178" bestFit="1" customWidth="1"/>
    <col min="242" max="242" width="10.85546875" style="178" customWidth="1"/>
    <col min="243" max="243" width="11.5703125" style="178" customWidth="1"/>
    <col min="244" max="244" width="11.140625" style="178" bestFit="1" customWidth="1"/>
    <col min="245" max="245" width="11" style="178" customWidth="1"/>
    <col min="246" max="246" width="10.42578125" style="178" customWidth="1"/>
    <col min="247" max="247" width="11.28515625" style="178" customWidth="1"/>
    <col min="248" max="249" width="9.140625" style="178" bestFit="1" customWidth="1"/>
    <col min="250" max="251" width="11.140625" style="178" bestFit="1" customWidth="1"/>
    <col min="252" max="252" width="11.5703125" style="178" bestFit="1" customWidth="1"/>
    <col min="253" max="253" width="9.140625" style="178" bestFit="1" customWidth="1"/>
    <col min="254" max="254" width="10.28515625" style="178" customWidth="1"/>
    <col min="255" max="493" width="9.140625" style="178"/>
    <col min="494" max="494" width="4.28515625" style="178" bestFit="1" customWidth="1"/>
    <col min="495" max="495" width="6.85546875" style="178" bestFit="1" customWidth="1"/>
    <col min="496" max="496" width="11" style="178" customWidth="1"/>
    <col min="497" max="497" width="11.140625" style="178" bestFit="1" customWidth="1"/>
    <col min="498" max="498" width="10.85546875" style="178" customWidth="1"/>
    <col min="499" max="499" width="11.5703125" style="178" customWidth="1"/>
    <col min="500" max="500" width="11.140625" style="178" bestFit="1" customWidth="1"/>
    <col min="501" max="501" width="11" style="178" customWidth="1"/>
    <col min="502" max="502" width="10.42578125" style="178" customWidth="1"/>
    <col min="503" max="503" width="11.28515625" style="178" customWidth="1"/>
    <col min="504" max="505" width="9.140625" style="178" bestFit="1" customWidth="1"/>
    <col min="506" max="507" width="11.140625" style="178" bestFit="1" customWidth="1"/>
    <col min="508" max="508" width="11.5703125" style="178" bestFit="1" customWidth="1"/>
    <col min="509" max="509" width="9.140625" style="178" bestFit="1" customWidth="1"/>
    <col min="510" max="510" width="10.28515625" style="178" customWidth="1"/>
    <col min="511" max="749" width="9.140625" style="178"/>
    <col min="750" max="750" width="4.28515625" style="178" bestFit="1" customWidth="1"/>
    <col min="751" max="751" width="6.85546875" style="178" bestFit="1" customWidth="1"/>
    <col min="752" max="752" width="11" style="178" customWidth="1"/>
    <col min="753" max="753" width="11.140625" style="178" bestFit="1" customWidth="1"/>
    <col min="754" max="754" width="10.85546875" style="178" customWidth="1"/>
    <col min="755" max="755" width="11.5703125" style="178" customWidth="1"/>
    <col min="756" max="756" width="11.140625" style="178" bestFit="1" customWidth="1"/>
    <col min="757" max="757" width="11" style="178" customWidth="1"/>
    <col min="758" max="758" width="10.42578125" style="178" customWidth="1"/>
    <col min="759" max="759" width="11.28515625" style="178" customWidth="1"/>
    <col min="760" max="761" width="9.140625" style="178" bestFit="1" customWidth="1"/>
    <col min="762" max="763" width="11.140625" style="178" bestFit="1" customWidth="1"/>
    <col min="764" max="764" width="11.5703125" style="178" bestFit="1" customWidth="1"/>
    <col min="765" max="765" width="9.140625" style="178" bestFit="1" customWidth="1"/>
    <col min="766" max="766" width="10.28515625" style="178" customWidth="1"/>
    <col min="767" max="1005" width="9.140625" style="178"/>
    <col min="1006" max="1006" width="4.28515625" style="178" bestFit="1" customWidth="1"/>
    <col min="1007" max="1007" width="6.85546875" style="178" bestFit="1" customWidth="1"/>
    <col min="1008" max="1008" width="11" style="178" customWidth="1"/>
    <col min="1009" max="1009" width="11.140625" style="178" bestFit="1" customWidth="1"/>
    <col min="1010" max="1010" width="10.85546875" style="178" customWidth="1"/>
    <col min="1011" max="1011" width="11.5703125" style="178" customWidth="1"/>
    <col min="1012" max="1012" width="11.140625" style="178" bestFit="1" customWidth="1"/>
    <col min="1013" max="1013" width="11" style="178" customWidth="1"/>
    <col min="1014" max="1014" width="10.42578125" style="178" customWidth="1"/>
    <col min="1015" max="1015" width="11.28515625" style="178" customWidth="1"/>
    <col min="1016" max="1017" width="9.140625" style="178" bestFit="1" customWidth="1"/>
    <col min="1018" max="1019" width="11.140625" style="178" bestFit="1" customWidth="1"/>
    <col min="1020" max="1020" width="11.5703125" style="178" bestFit="1" customWidth="1"/>
    <col min="1021" max="1021" width="9.140625" style="178" bestFit="1" customWidth="1"/>
    <col min="1022" max="1022" width="10.28515625" style="178" customWidth="1"/>
    <col min="1023" max="1261" width="9.140625" style="178"/>
    <col min="1262" max="1262" width="4.28515625" style="178" bestFit="1" customWidth="1"/>
    <col min="1263" max="1263" width="6.85546875" style="178" bestFit="1" customWidth="1"/>
    <col min="1264" max="1264" width="11" style="178" customWidth="1"/>
    <col min="1265" max="1265" width="11.140625" style="178" bestFit="1" customWidth="1"/>
    <col min="1266" max="1266" width="10.85546875" style="178" customWidth="1"/>
    <col min="1267" max="1267" width="11.5703125" style="178" customWidth="1"/>
    <col min="1268" max="1268" width="11.140625" style="178" bestFit="1" customWidth="1"/>
    <col min="1269" max="1269" width="11" style="178" customWidth="1"/>
    <col min="1270" max="1270" width="10.42578125" style="178" customWidth="1"/>
    <col min="1271" max="1271" width="11.28515625" style="178" customWidth="1"/>
    <col min="1272" max="1273" width="9.140625" style="178" bestFit="1" customWidth="1"/>
    <col min="1274" max="1275" width="11.140625" style="178" bestFit="1" customWidth="1"/>
    <col min="1276" max="1276" width="11.5703125" style="178" bestFit="1" customWidth="1"/>
    <col min="1277" max="1277" width="9.140625" style="178" bestFit="1" customWidth="1"/>
    <col min="1278" max="1278" width="10.28515625" style="178" customWidth="1"/>
    <col min="1279" max="1517" width="9.140625" style="178"/>
    <col min="1518" max="1518" width="4.28515625" style="178" bestFit="1" customWidth="1"/>
    <col min="1519" max="1519" width="6.85546875" style="178" bestFit="1" customWidth="1"/>
    <col min="1520" max="1520" width="11" style="178" customWidth="1"/>
    <col min="1521" max="1521" width="11.140625" style="178" bestFit="1" customWidth="1"/>
    <col min="1522" max="1522" width="10.85546875" style="178" customWidth="1"/>
    <col min="1523" max="1523" width="11.5703125" style="178" customWidth="1"/>
    <col min="1524" max="1524" width="11.140625" style="178" bestFit="1" customWidth="1"/>
    <col min="1525" max="1525" width="11" style="178" customWidth="1"/>
    <col min="1526" max="1526" width="10.42578125" style="178" customWidth="1"/>
    <col min="1527" max="1527" width="11.28515625" style="178" customWidth="1"/>
    <col min="1528" max="1529" width="9.140625" style="178" bestFit="1" customWidth="1"/>
    <col min="1530" max="1531" width="11.140625" style="178" bestFit="1" customWidth="1"/>
    <col min="1532" max="1532" width="11.5703125" style="178" bestFit="1" customWidth="1"/>
    <col min="1533" max="1533" width="9.140625" style="178" bestFit="1" customWidth="1"/>
    <col min="1534" max="1534" width="10.28515625" style="178" customWidth="1"/>
    <col min="1535" max="1773" width="9.140625" style="178"/>
    <col min="1774" max="1774" width="4.28515625" style="178" bestFit="1" customWidth="1"/>
    <col min="1775" max="1775" width="6.85546875" style="178" bestFit="1" customWidth="1"/>
    <col min="1776" max="1776" width="11" style="178" customWidth="1"/>
    <col min="1777" max="1777" width="11.140625" style="178" bestFit="1" customWidth="1"/>
    <col min="1778" max="1778" width="10.85546875" style="178" customWidth="1"/>
    <col min="1779" max="1779" width="11.5703125" style="178" customWidth="1"/>
    <col min="1780" max="1780" width="11.140625" style="178" bestFit="1" customWidth="1"/>
    <col min="1781" max="1781" width="11" style="178" customWidth="1"/>
    <col min="1782" max="1782" width="10.42578125" style="178" customWidth="1"/>
    <col min="1783" max="1783" width="11.28515625" style="178" customWidth="1"/>
    <col min="1784" max="1785" width="9.140625" style="178" bestFit="1" customWidth="1"/>
    <col min="1786" max="1787" width="11.140625" style="178" bestFit="1" customWidth="1"/>
    <col min="1788" max="1788" width="11.5703125" style="178" bestFit="1" customWidth="1"/>
    <col min="1789" max="1789" width="9.140625" style="178" bestFit="1" customWidth="1"/>
    <col min="1790" max="1790" width="10.28515625" style="178" customWidth="1"/>
    <col min="1791" max="2029" width="9.140625" style="178"/>
    <col min="2030" max="2030" width="4.28515625" style="178" bestFit="1" customWidth="1"/>
    <col min="2031" max="2031" width="6.85546875" style="178" bestFit="1" customWidth="1"/>
    <col min="2032" max="2032" width="11" style="178" customWidth="1"/>
    <col min="2033" max="2033" width="11.140625" style="178" bestFit="1" customWidth="1"/>
    <col min="2034" max="2034" width="10.85546875" style="178" customWidth="1"/>
    <col min="2035" max="2035" width="11.5703125" style="178" customWidth="1"/>
    <col min="2036" max="2036" width="11.140625" style="178" bestFit="1" customWidth="1"/>
    <col min="2037" max="2037" width="11" style="178" customWidth="1"/>
    <col min="2038" max="2038" width="10.42578125" style="178" customWidth="1"/>
    <col min="2039" max="2039" width="11.28515625" style="178" customWidth="1"/>
    <col min="2040" max="2041" width="9.140625" style="178" bestFit="1" customWidth="1"/>
    <col min="2042" max="2043" width="11.140625" style="178" bestFit="1" customWidth="1"/>
    <col min="2044" max="2044" width="11.5703125" style="178" bestFit="1" customWidth="1"/>
    <col min="2045" max="2045" width="9.140625" style="178" bestFit="1" customWidth="1"/>
    <col min="2046" max="2046" width="10.28515625" style="178" customWidth="1"/>
    <col min="2047" max="2285" width="9.140625" style="178"/>
    <col min="2286" max="2286" width="4.28515625" style="178" bestFit="1" customWidth="1"/>
    <col min="2287" max="2287" width="6.85546875" style="178" bestFit="1" customWidth="1"/>
    <col min="2288" max="2288" width="11" style="178" customWidth="1"/>
    <col min="2289" max="2289" width="11.140625" style="178" bestFit="1" customWidth="1"/>
    <col min="2290" max="2290" width="10.85546875" style="178" customWidth="1"/>
    <col min="2291" max="2291" width="11.5703125" style="178" customWidth="1"/>
    <col min="2292" max="2292" width="11.140625" style="178" bestFit="1" customWidth="1"/>
    <col min="2293" max="2293" width="11" style="178" customWidth="1"/>
    <col min="2294" max="2294" width="10.42578125" style="178" customWidth="1"/>
    <col min="2295" max="2295" width="11.28515625" style="178" customWidth="1"/>
    <col min="2296" max="2297" width="9.140625" style="178" bestFit="1" customWidth="1"/>
    <col min="2298" max="2299" width="11.140625" style="178" bestFit="1" customWidth="1"/>
    <col min="2300" max="2300" width="11.5703125" style="178" bestFit="1" customWidth="1"/>
    <col min="2301" max="2301" width="9.140625" style="178" bestFit="1" customWidth="1"/>
    <col min="2302" max="2302" width="10.28515625" style="178" customWidth="1"/>
    <col min="2303" max="2541" width="9.140625" style="178"/>
    <col min="2542" max="2542" width="4.28515625" style="178" bestFit="1" customWidth="1"/>
    <col min="2543" max="2543" width="6.85546875" style="178" bestFit="1" customWidth="1"/>
    <col min="2544" max="2544" width="11" style="178" customWidth="1"/>
    <col min="2545" max="2545" width="11.140625" style="178" bestFit="1" customWidth="1"/>
    <col min="2546" max="2546" width="10.85546875" style="178" customWidth="1"/>
    <col min="2547" max="2547" width="11.5703125" style="178" customWidth="1"/>
    <col min="2548" max="2548" width="11.140625" style="178" bestFit="1" customWidth="1"/>
    <col min="2549" max="2549" width="11" style="178" customWidth="1"/>
    <col min="2550" max="2550" width="10.42578125" style="178" customWidth="1"/>
    <col min="2551" max="2551" width="11.28515625" style="178" customWidth="1"/>
    <col min="2552" max="2553" width="9.140625" style="178" bestFit="1" customWidth="1"/>
    <col min="2554" max="2555" width="11.140625" style="178" bestFit="1" customWidth="1"/>
    <col min="2556" max="2556" width="11.5703125" style="178" bestFit="1" customWidth="1"/>
    <col min="2557" max="2557" width="9.140625" style="178" bestFit="1" customWidth="1"/>
    <col min="2558" max="2558" width="10.28515625" style="178" customWidth="1"/>
    <col min="2559" max="2797" width="9.140625" style="178"/>
    <col min="2798" max="2798" width="4.28515625" style="178" bestFit="1" customWidth="1"/>
    <col min="2799" max="2799" width="6.85546875" style="178" bestFit="1" customWidth="1"/>
    <col min="2800" max="2800" width="11" style="178" customWidth="1"/>
    <col min="2801" max="2801" width="11.140625" style="178" bestFit="1" customWidth="1"/>
    <col min="2802" max="2802" width="10.85546875" style="178" customWidth="1"/>
    <col min="2803" max="2803" width="11.5703125" style="178" customWidth="1"/>
    <col min="2804" max="2804" width="11.140625" style="178" bestFit="1" customWidth="1"/>
    <col min="2805" max="2805" width="11" style="178" customWidth="1"/>
    <col min="2806" max="2806" width="10.42578125" style="178" customWidth="1"/>
    <col min="2807" max="2807" width="11.28515625" style="178" customWidth="1"/>
    <col min="2808" max="2809" width="9.140625" style="178" bestFit="1" customWidth="1"/>
    <col min="2810" max="2811" width="11.140625" style="178" bestFit="1" customWidth="1"/>
    <col min="2812" max="2812" width="11.5703125" style="178" bestFit="1" customWidth="1"/>
    <col min="2813" max="2813" width="9.140625" style="178" bestFit="1" customWidth="1"/>
    <col min="2814" max="2814" width="10.28515625" style="178" customWidth="1"/>
    <col min="2815" max="3053" width="9.140625" style="178"/>
    <col min="3054" max="3054" width="4.28515625" style="178" bestFit="1" customWidth="1"/>
    <col min="3055" max="3055" width="6.85546875" style="178" bestFit="1" customWidth="1"/>
    <col min="3056" max="3056" width="11" style="178" customWidth="1"/>
    <col min="3057" max="3057" width="11.140625" style="178" bestFit="1" customWidth="1"/>
    <col min="3058" max="3058" width="10.85546875" style="178" customWidth="1"/>
    <col min="3059" max="3059" width="11.5703125" style="178" customWidth="1"/>
    <col min="3060" max="3060" width="11.140625" style="178" bestFit="1" customWidth="1"/>
    <col min="3061" max="3061" width="11" style="178" customWidth="1"/>
    <col min="3062" max="3062" width="10.42578125" style="178" customWidth="1"/>
    <col min="3063" max="3063" width="11.28515625" style="178" customWidth="1"/>
    <col min="3064" max="3065" width="9.140625" style="178" bestFit="1" customWidth="1"/>
    <col min="3066" max="3067" width="11.140625" style="178" bestFit="1" customWidth="1"/>
    <col min="3068" max="3068" width="11.5703125" style="178" bestFit="1" customWidth="1"/>
    <col min="3069" max="3069" width="9.140625" style="178" bestFit="1" customWidth="1"/>
    <col min="3070" max="3070" width="10.28515625" style="178" customWidth="1"/>
    <col min="3071" max="3309" width="9.140625" style="178"/>
    <col min="3310" max="3310" width="4.28515625" style="178" bestFit="1" customWidth="1"/>
    <col min="3311" max="3311" width="6.85546875" style="178" bestFit="1" customWidth="1"/>
    <col min="3312" max="3312" width="11" style="178" customWidth="1"/>
    <col min="3313" max="3313" width="11.140625" style="178" bestFit="1" customWidth="1"/>
    <col min="3314" max="3314" width="10.85546875" style="178" customWidth="1"/>
    <col min="3315" max="3315" width="11.5703125" style="178" customWidth="1"/>
    <col min="3316" max="3316" width="11.140625" style="178" bestFit="1" customWidth="1"/>
    <col min="3317" max="3317" width="11" style="178" customWidth="1"/>
    <col min="3318" max="3318" width="10.42578125" style="178" customWidth="1"/>
    <col min="3319" max="3319" width="11.28515625" style="178" customWidth="1"/>
    <col min="3320" max="3321" width="9.140625" style="178" bestFit="1" customWidth="1"/>
    <col min="3322" max="3323" width="11.140625" style="178" bestFit="1" customWidth="1"/>
    <col min="3324" max="3324" width="11.5703125" style="178" bestFit="1" customWidth="1"/>
    <col min="3325" max="3325" width="9.140625" style="178" bestFit="1" customWidth="1"/>
    <col min="3326" max="3326" width="10.28515625" style="178" customWidth="1"/>
    <col min="3327" max="3565" width="9.140625" style="178"/>
    <col min="3566" max="3566" width="4.28515625" style="178" bestFit="1" customWidth="1"/>
    <col min="3567" max="3567" width="6.85546875" style="178" bestFit="1" customWidth="1"/>
    <col min="3568" max="3568" width="11" style="178" customWidth="1"/>
    <col min="3569" max="3569" width="11.140625" style="178" bestFit="1" customWidth="1"/>
    <col min="3570" max="3570" width="10.85546875" style="178" customWidth="1"/>
    <col min="3571" max="3571" width="11.5703125" style="178" customWidth="1"/>
    <col min="3572" max="3572" width="11.140625" style="178" bestFit="1" customWidth="1"/>
    <col min="3573" max="3573" width="11" style="178" customWidth="1"/>
    <col min="3574" max="3574" width="10.42578125" style="178" customWidth="1"/>
    <col min="3575" max="3575" width="11.28515625" style="178" customWidth="1"/>
    <col min="3576" max="3577" width="9.140625" style="178" bestFit="1" customWidth="1"/>
    <col min="3578" max="3579" width="11.140625" style="178" bestFit="1" customWidth="1"/>
    <col min="3580" max="3580" width="11.5703125" style="178" bestFit="1" customWidth="1"/>
    <col min="3581" max="3581" width="9.140625" style="178" bestFit="1" customWidth="1"/>
    <col min="3582" max="3582" width="10.28515625" style="178" customWidth="1"/>
    <col min="3583" max="3821" width="9.140625" style="178"/>
    <col min="3822" max="3822" width="4.28515625" style="178" bestFit="1" customWidth="1"/>
    <col min="3823" max="3823" width="6.85546875" style="178" bestFit="1" customWidth="1"/>
    <col min="3824" max="3824" width="11" style="178" customWidth="1"/>
    <col min="3825" max="3825" width="11.140625" style="178" bestFit="1" customWidth="1"/>
    <col min="3826" max="3826" width="10.85546875" style="178" customWidth="1"/>
    <col min="3827" max="3827" width="11.5703125" style="178" customWidth="1"/>
    <col min="3828" max="3828" width="11.140625" style="178" bestFit="1" customWidth="1"/>
    <col min="3829" max="3829" width="11" style="178" customWidth="1"/>
    <col min="3830" max="3830" width="10.42578125" style="178" customWidth="1"/>
    <col min="3831" max="3831" width="11.28515625" style="178" customWidth="1"/>
    <col min="3832" max="3833" width="9.140625" style="178" bestFit="1" customWidth="1"/>
    <col min="3834" max="3835" width="11.140625" style="178" bestFit="1" customWidth="1"/>
    <col min="3836" max="3836" width="11.5703125" style="178" bestFit="1" customWidth="1"/>
    <col min="3837" max="3837" width="9.140625" style="178" bestFit="1" customWidth="1"/>
    <col min="3838" max="3838" width="10.28515625" style="178" customWidth="1"/>
    <col min="3839" max="4077" width="9.140625" style="178"/>
    <col min="4078" max="4078" width="4.28515625" style="178" bestFit="1" customWidth="1"/>
    <col min="4079" max="4079" width="6.85546875" style="178" bestFit="1" customWidth="1"/>
    <col min="4080" max="4080" width="11" style="178" customWidth="1"/>
    <col min="4081" max="4081" width="11.140625" style="178" bestFit="1" customWidth="1"/>
    <col min="4082" max="4082" width="10.85546875" style="178" customWidth="1"/>
    <col min="4083" max="4083" width="11.5703125" style="178" customWidth="1"/>
    <col min="4084" max="4084" width="11.140625" style="178" bestFit="1" customWidth="1"/>
    <col min="4085" max="4085" width="11" style="178" customWidth="1"/>
    <col min="4086" max="4086" width="10.42578125" style="178" customWidth="1"/>
    <col min="4087" max="4087" width="11.28515625" style="178" customWidth="1"/>
    <col min="4088" max="4089" width="9.140625" style="178" bestFit="1" customWidth="1"/>
    <col min="4090" max="4091" width="11.140625" style="178" bestFit="1" customWidth="1"/>
    <col min="4092" max="4092" width="11.5703125" style="178" bestFit="1" customWidth="1"/>
    <col min="4093" max="4093" width="9.140625" style="178" bestFit="1" customWidth="1"/>
    <col min="4094" max="4094" width="10.28515625" style="178" customWidth="1"/>
    <col min="4095" max="4333" width="9.140625" style="178"/>
    <col min="4334" max="4334" width="4.28515625" style="178" bestFit="1" customWidth="1"/>
    <col min="4335" max="4335" width="6.85546875" style="178" bestFit="1" customWidth="1"/>
    <col min="4336" max="4336" width="11" style="178" customWidth="1"/>
    <col min="4337" max="4337" width="11.140625" style="178" bestFit="1" customWidth="1"/>
    <col min="4338" max="4338" width="10.85546875" style="178" customWidth="1"/>
    <col min="4339" max="4339" width="11.5703125" style="178" customWidth="1"/>
    <col min="4340" max="4340" width="11.140625" style="178" bestFit="1" customWidth="1"/>
    <col min="4341" max="4341" width="11" style="178" customWidth="1"/>
    <col min="4342" max="4342" width="10.42578125" style="178" customWidth="1"/>
    <col min="4343" max="4343" width="11.28515625" style="178" customWidth="1"/>
    <col min="4344" max="4345" width="9.140625" style="178" bestFit="1" customWidth="1"/>
    <col min="4346" max="4347" width="11.140625" style="178" bestFit="1" customWidth="1"/>
    <col min="4348" max="4348" width="11.5703125" style="178" bestFit="1" customWidth="1"/>
    <col min="4349" max="4349" width="9.140625" style="178" bestFit="1" customWidth="1"/>
    <col min="4350" max="4350" width="10.28515625" style="178" customWidth="1"/>
    <col min="4351" max="4589" width="9.140625" style="178"/>
    <col min="4590" max="4590" width="4.28515625" style="178" bestFit="1" customWidth="1"/>
    <col min="4591" max="4591" width="6.85546875" style="178" bestFit="1" customWidth="1"/>
    <col min="4592" max="4592" width="11" style="178" customWidth="1"/>
    <col min="4593" max="4593" width="11.140625" style="178" bestFit="1" customWidth="1"/>
    <col min="4594" max="4594" width="10.85546875" style="178" customWidth="1"/>
    <col min="4595" max="4595" width="11.5703125" style="178" customWidth="1"/>
    <col min="4596" max="4596" width="11.140625" style="178" bestFit="1" customWidth="1"/>
    <col min="4597" max="4597" width="11" style="178" customWidth="1"/>
    <col min="4598" max="4598" width="10.42578125" style="178" customWidth="1"/>
    <col min="4599" max="4599" width="11.28515625" style="178" customWidth="1"/>
    <col min="4600" max="4601" width="9.140625" style="178" bestFit="1" customWidth="1"/>
    <col min="4602" max="4603" width="11.140625" style="178" bestFit="1" customWidth="1"/>
    <col min="4604" max="4604" width="11.5703125" style="178" bestFit="1" customWidth="1"/>
    <col min="4605" max="4605" width="9.140625" style="178" bestFit="1" customWidth="1"/>
    <col min="4606" max="4606" width="10.28515625" style="178" customWidth="1"/>
    <col min="4607" max="4845" width="9.140625" style="178"/>
    <col min="4846" max="4846" width="4.28515625" style="178" bestFit="1" customWidth="1"/>
    <col min="4847" max="4847" width="6.85546875" style="178" bestFit="1" customWidth="1"/>
    <col min="4848" max="4848" width="11" style="178" customWidth="1"/>
    <col min="4849" max="4849" width="11.140625" style="178" bestFit="1" customWidth="1"/>
    <col min="4850" max="4850" width="10.85546875" style="178" customWidth="1"/>
    <col min="4851" max="4851" width="11.5703125" style="178" customWidth="1"/>
    <col min="4852" max="4852" width="11.140625" style="178" bestFit="1" customWidth="1"/>
    <col min="4853" max="4853" width="11" style="178" customWidth="1"/>
    <col min="4854" max="4854" width="10.42578125" style="178" customWidth="1"/>
    <col min="4855" max="4855" width="11.28515625" style="178" customWidth="1"/>
    <col min="4856" max="4857" width="9.140625" style="178" bestFit="1" customWidth="1"/>
    <col min="4858" max="4859" width="11.140625" style="178" bestFit="1" customWidth="1"/>
    <col min="4860" max="4860" width="11.5703125" style="178" bestFit="1" customWidth="1"/>
    <col min="4861" max="4861" width="9.140625" style="178" bestFit="1" customWidth="1"/>
    <col min="4862" max="4862" width="10.28515625" style="178" customWidth="1"/>
    <col min="4863" max="5101" width="9.140625" style="178"/>
    <col min="5102" max="5102" width="4.28515625" style="178" bestFit="1" customWidth="1"/>
    <col min="5103" max="5103" width="6.85546875" style="178" bestFit="1" customWidth="1"/>
    <col min="5104" max="5104" width="11" style="178" customWidth="1"/>
    <col min="5105" max="5105" width="11.140625" style="178" bestFit="1" customWidth="1"/>
    <col min="5106" max="5106" width="10.85546875" style="178" customWidth="1"/>
    <col min="5107" max="5107" width="11.5703125" style="178" customWidth="1"/>
    <col min="5108" max="5108" width="11.140625" style="178" bestFit="1" customWidth="1"/>
    <col min="5109" max="5109" width="11" style="178" customWidth="1"/>
    <col min="5110" max="5110" width="10.42578125" style="178" customWidth="1"/>
    <col min="5111" max="5111" width="11.28515625" style="178" customWidth="1"/>
    <col min="5112" max="5113" width="9.140625" style="178" bestFit="1" customWidth="1"/>
    <col min="5114" max="5115" width="11.140625" style="178" bestFit="1" customWidth="1"/>
    <col min="5116" max="5116" width="11.5703125" style="178" bestFit="1" customWidth="1"/>
    <col min="5117" max="5117" width="9.140625" style="178" bestFit="1" customWidth="1"/>
    <col min="5118" max="5118" width="10.28515625" style="178" customWidth="1"/>
    <col min="5119" max="5357" width="9.140625" style="178"/>
    <col min="5358" max="5358" width="4.28515625" style="178" bestFit="1" customWidth="1"/>
    <col min="5359" max="5359" width="6.85546875" style="178" bestFit="1" customWidth="1"/>
    <col min="5360" max="5360" width="11" style="178" customWidth="1"/>
    <col min="5361" max="5361" width="11.140625" style="178" bestFit="1" customWidth="1"/>
    <col min="5362" max="5362" width="10.85546875" style="178" customWidth="1"/>
    <col min="5363" max="5363" width="11.5703125" style="178" customWidth="1"/>
    <col min="5364" max="5364" width="11.140625" style="178" bestFit="1" customWidth="1"/>
    <col min="5365" max="5365" width="11" style="178" customWidth="1"/>
    <col min="5366" max="5366" width="10.42578125" style="178" customWidth="1"/>
    <col min="5367" max="5367" width="11.28515625" style="178" customWidth="1"/>
    <col min="5368" max="5369" width="9.140625" style="178" bestFit="1" customWidth="1"/>
    <col min="5370" max="5371" width="11.140625" style="178" bestFit="1" customWidth="1"/>
    <col min="5372" max="5372" width="11.5703125" style="178" bestFit="1" customWidth="1"/>
    <col min="5373" max="5373" width="9.140625" style="178" bestFit="1" customWidth="1"/>
    <col min="5374" max="5374" width="10.28515625" style="178" customWidth="1"/>
    <col min="5375" max="5613" width="9.140625" style="178"/>
    <col min="5614" max="5614" width="4.28515625" style="178" bestFit="1" customWidth="1"/>
    <col min="5615" max="5615" width="6.85546875" style="178" bestFit="1" customWidth="1"/>
    <col min="5616" max="5616" width="11" style="178" customWidth="1"/>
    <col min="5617" max="5617" width="11.140625" style="178" bestFit="1" customWidth="1"/>
    <col min="5618" max="5618" width="10.85546875" style="178" customWidth="1"/>
    <col min="5619" max="5619" width="11.5703125" style="178" customWidth="1"/>
    <col min="5620" max="5620" width="11.140625" style="178" bestFit="1" customWidth="1"/>
    <col min="5621" max="5621" width="11" style="178" customWidth="1"/>
    <col min="5622" max="5622" width="10.42578125" style="178" customWidth="1"/>
    <col min="5623" max="5623" width="11.28515625" style="178" customWidth="1"/>
    <col min="5624" max="5625" width="9.140625" style="178" bestFit="1" customWidth="1"/>
    <col min="5626" max="5627" width="11.140625" style="178" bestFit="1" customWidth="1"/>
    <col min="5628" max="5628" width="11.5703125" style="178" bestFit="1" customWidth="1"/>
    <col min="5629" max="5629" width="9.140625" style="178" bestFit="1" customWidth="1"/>
    <col min="5630" max="5630" width="10.28515625" style="178" customWidth="1"/>
    <col min="5631" max="5869" width="9.140625" style="178"/>
    <col min="5870" max="5870" width="4.28515625" style="178" bestFit="1" customWidth="1"/>
    <col min="5871" max="5871" width="6.85546875" style="178" bestFit="1" customWidth="1"/>
    <col min="5872" max="5872" width="11" style="178" customWidth="1"/>
    <col min="5873" max="5873" width="11.140625" style="178" bestFit="1" customWidth="1"/>
    <col min="5874" max="5874" width="10.85546875" style="178" customWidth="1"/>
    <col min="5875" max="5875" width="11.5703125" style="178" customWidth="1"/>
    <col min="5876" max="5876" width="11.140625" style="178" bestFit="1" customWidth="1"/>
    <col min="5877" max="5877" width="11" style="178" customWidth="1"/>
    <col min="5878" max="5878" width="10.42578125" style="178" customWidth="1"/>
    <col min="5879" max="5879" width="11.28515625" style="178" customWidth="1"/>
    <col min="5880" max="5881" width="9.140625" style="178" bestFit="1" customWidth="1"/>
    <col min="5882" max="5883" width="11.140625" style="178" bestFit="1" customWidth="1"/>
    <col min="5884" max="5884" width="11.5703125" style="178" bestFit="1" customWidth="1"/>
    <col min="5885" max="5885" width="9.140625" style="178" bestFit="1" customWidth="1"/>
    <col min="5886" max="5886" width="10.28515625" style="178" customWidth="1"/>
    <col min="5887" max="6125" width="9.140625" style="178"/>
    <col min="6126" max="6126" width="4.28515625" style="178" bestFit="1" customWidth="1"/>
    <col min="6127" max="6127" width="6.85546875" style="178" bestFit="1" customWidth="1"/>
    <col min="6128" max="6128" width="11" style="178" customWidth="1"/>
    <col min="6129" max="6129" width="11.140625" style="178" bestFit="1" customWidth="1"/>
    <col min="6130" max="6130" width="10.85546875" style="178" customWidth="1"/>
    <col min="6131" max="6131" width="11.5703125" style="178" customWidth="1"/>
    <col min="6132" max="6132" width="11.140625" style="178" bestFit="1" customWidth="1"/>
    <col min="6133" max="6133" width="11" style="178" customWidth="1"/>
    <col min="6134" max="6134" width="10.42578125" style="178" customWidth="1"/>
    <col min="6135" max="6135" width="11.28515625" style="178" customWidth="1"/>
    <col min="6136" max="6137" width="9.140625" style="178" bestFit="1" customWidth="1"/>
    <col min="6138" max="6139" width="11.140625" style="178" bestFit="1" customWidth="1"/>
    <col min="6140" max="6140" width="11.5703125" style="178" bestFit="1" customWidth="1"/>
    <col min="6141" max="6141" width="9.140625" style="178" bestFit="1" customWidth="1"/>
    <col min="6142" max="6142" width="10.28515625" style="178" customWidth="1"/>
    <col min="6143" max="6381" width="9.140625" style="178"/>
    <col min="6382" max="6382" width="4.28515625" style="178" bestFit="1" customWidth="1"/>
    <col min="6383" max="6383" width="6.85546875" style="178" bestFit="1" customWidth="1"/>
    <col min="6384" max="6384" width="11" style="178" customWidth="1"/>
    <col min="6385" max="6385" width="11.140625" style="178" bestFit="1" customWidth="1"/>
    <col min="6386" max="6386" width="10.85546875" style="178" customWidth="1"/>
    <col min="6387" max="6387" width="11.5703125" style="178" customWidth="1"/>
    <col min="6388" max="6388" width="11.140625" style="178" bestFit="1" customWidth="1"/>
    <col min="6389" max="6389" width="11" style="178" customWidth="1"/>
    <col min="6390" max="6390" width="10.42578125" style="178" customWidth="1"/>
    <col min="6391" max="6391" width="11.28515625" style="178" customWidth="1"/>
    <col min="6392" max="6393" width="9.140625" style="178" bestFit="1" customWidth="1"/>
    <col min="6394" max="6395" width="11.140625" style="178" bestFit="1" customWidth="1"/>
    <col min="6396" max="6396" width="11.5703125" style="178" bestFit="1" customWidth="1"/>
    <col min="6397" max="6397" width="9.140625" style="178" bestFit="1" customWidth="1"/>
    <col min="6398" max="6398" width="10.28515625" style="178" customWidth="1"/>
    <col min="6399" max="6637" width="9.140625" style="178"/>
    <col min="6638" max="6638" width="4.28515625" style="178" bestFit="1" customWidth="1"/>
    <col min="6639" max="6639" width="6.85546875" style="178" bestFit="1" customWidth="1"/>
    <col min="6640" max="6640" width="11" style="178" customWidth="1"/>
    <col min="6641" max="6641" width="11.140625" style="178" bestFit="1" customWidth="1"/>
    <col min="6642" max="6642" width="10.85546875" style="178" customWidth="1"/>
    <col min="6643" max="6643" width="11.5703125" style="178" customWidth="1"/>
    <col min="6644" max="6644" width="11.140625" style="178" bestFit="1" customWidth="1"/>
    <col min="6645" max="6645" width="11" style="178" customWidth="1"/>
    <col min="6646" max="6646" width="10.42578125" style="178" customWidth="1"/>
    <col min="6647" max="6647" width="11.28515625" style="178" customWidth="1"/>
    <col min="6648" max="6649" width="9.140625" style="178" bestFit="1" customWidth="1"/>
    <col min="6650" max="6651" width="11.140625" style="178" bestFit="1" customWidth="1"/>
    <col min="6652" max="6652" width="11.5703125" style="178" bestFit="1" customWidth="1"/>
    <col min="6653" max="6653" width="9.140625" style="178" bestFit="1" customWidth="1"/>
    <col min="6654" max="6654" width="10.28515625" style="178" customWidth="1"/>
    <col min="6655" max="6893" width="9.140625" style="178"/>
    <col min="6894" max="6894" width="4.28515625" style="178" bestFit="1" customWidth="1"/>
    <col min="6895" max="6895" width="6.85546875" style="178" bestFit="1" customWidth="1"/>
    <col min="6896" max="6896" width="11" style="178" customWidth="1"/>
    <col min="6897" max="6897" width="11.140625" style="178" bestFit="1" customWidth="1"/>
    <col min="6898" max="6898" width="10.85546875" style="178" customWidth="1"/>
    <col min="6899" max="6899" width="11.5703125" style="178" customWidth="1"/>
    <col min="6900" max="6900" width="11.140625" style="178" bestFit="1" customWidth="1"/>
    <col min="6901" max="6901" width="11" style="178" customWidth="1"/>
    <col min="6902" max="6902" width="10.42578125" style="178" customWidth="1"/>
    <col min="6903" max="6903" width="11.28515625" style="178" customWidth="1"/>
    <col min="6904" max="6905" width="9.140625" style="178" bestFit="1" customWidth="1"/>
    <col min="6906" max="6907" width="11.140625" style="178" bestFit="1" customWidth="1"/>
    <col min="6908" max="6908" width="11.5703125" style="178" bestFit="1" customWidth="1"/>
    <col min="6909" max="6909" width="9.140625" style="178" bestFit="1" customWidth="1"/>
    <col min="6910" max="6910" width="10.28515625" style="178" customWidth="1"/>
    <col min="6911" max="7149" width="9.140625" style="178"/>
    <col min="7150" max="7150" width="4.28515625" style="178" bestFit="1" customWidth="1"/>
    <col min="7151" max="7151" width="6.85546875" style="178" bestFit="1" customWidth="1"/>
    <col min="7152" max="7152" width="11" style="178" customWidth="1"/>
    <col min="7153" max="7153" width="11.140625" style="178" bestFit="1" customWidth="1"/>
    <col min="7154" max="7154" width="10.85546875" style="178" customWidth="1"/>
    <col min="7155" max="7155" width="11.5703125" style="178" customWidth="1"/>
    <col min="7156" max="7156" width="11.140625" style="178" bestFit="1" customWidth="1"/>
    <col min="7157" max="7157" width="11" style="178" customWidth="1"/>
    <col min="7158" max="7158" width="10.42578125" style="178" customWidth="1"/>
    <col min="7159" max="7159" width="11.28515625" style="178" customWidth="1"/>
    <col min="7160" max="7161" width="9.140625" style="178" bestFit="1" customWidth="1"/>
    <col min="7162" max="7163" width="11.140625" style="178" bestFit="1" customWidth="1"/>
    <col min="7164" max="7164" width="11.5703125" style="178" bestFit="1" customWidth="1"/>
    <col min="7165" max="7165" width="9.140625" style="178" bestFit="1" customWidth="1"/>
    <col min="7166" max="7166" width="10.28515625" style="178" customWidth="1"/>
    <col min="7167" max="7405" width="9.140625" style="178"/>
    <col min="7406" max="7406" width="4.28515625" style="178" bestFit="1" customWidth="1"/>
    <col min="7407" max="7407" width="6.85546875" style="178" bestFit="1" customWidth="1"/>
    <col min="7408" max="7408" width="11" style="178" customWidth="1"/>
    <col min="7409" max="7409" width="11.140625" style="178" bestFit="1" customWidth="1"/>
    <col min="7410" max="7410" width="10.85546875" style="178" customWidth="1"/>
    <col min="7411" max="7411" width="11.5703125" style="178" customWidth="1"/>
    <col min="7412" max="7412" width="11.140625" style="178" bestFit="1" customWidth="1"/>
    <col min="7413" max="7413" width="11" style="178" customWidth="1"/>
    <col min="7414" max="7414" width="10.42578125" style="178" customWidth="1"/>
    <col min="7415" max="7415" width="11.28515625" style="178" customWidth="1"/>
    <col min="7416" max="7417" width="9.140625" style="178" bestFit="1" customWidth="1"/>
    <col min="7418" max="7419" width="11.140625" style="178" bestFit="1" customWidth="1"/>
    <col min="7420" max="7420" width="11.5703125" style="178" bestFit="1" customWidth="1"/>
    <col min="7421" max="7421" width="9.140625" style="178" bestFit="1" customWidth="1"/>
    <col min="7422" max="7422" width="10.28515625" style="178" customWidth="1"/>
    <col min="7423" max="7661" width="9.140625" style="178"/>
    <col min="7662" max="7662" width="4.28515625" style="178" bestFit="1" customWidth="1"/>
    <col min="7663" max="7663" width="6.85546875" style="178" bestFit="1" customWidth="1"/>
    <col min="7664" max="7664" width="11" style="178" customWidth="1"/>
    <col min="7665" max="7665" width="11.140625" style="178" bestFit="1" customWidth="1"/>
    <col min="7666" max="7666" width="10.85546875" style="178" customWidth="1"/>
    <col min="7667" max="7667" width="11.5703125" style="178" customWidth="1"/>
    <col min="7668" max="7668" width="11.140625" style="178" bestFit="1" customWidth="1"/>
    <col min="7669" max="7669" width="11" style="178" customWidth="1"/>
    <col min="7670" max="7670" width="10.42578125" style="178" customWidth="1"/>
    <col min="7671" max="7671" width="11.28515625" style="178" customWidth="1"/>
    <col min="7672" max="7673" width="9.140625" style="178" bestFit="1" customWidth="1"/>
    <col min="7674" max="7675" width="11.140625" style="178" bestFit="1" customWidth="1"/>
    <col min="7676" max="7676" width="11.5703125" style="178" bestFit="1" customWidth="1"/>
    <col min="7677" max="7677" width="9.140625" style="178" bestFit="1" customWidth="1"/>
    <col min="7678" max="7678" width="10.28515625" style="178" customWidth="1"/>
    <col min="7679" max="7917" width="9.140625" style="178"/>
    <col min="7918" max="7918" width="4.28515625" style="178" bestFit="1" customWidth="1"/>
    <col min="7919" max="7919" width="6.85546875" style="178" bestFit="1" customWidth="1"/>
    <col min="7920" max="7920" width="11" style="178" customWidth="1"/>
    <col min="7921" max="7921" width="11.140625" style="178" bestFit="1" customWidth="1"/>
    <col min="7922" max="7922" width="10.85546875" style="178" customWidth="1"/>
    <col min="7923" max="7923" width="11.5703125" style="178" customWidth="1"/>
    <col min="7924" max="7924" width="11.140625" style="178" bestFit="1" customWidth="1"/>
    <col min="7925" max="7925" width="11" style="178" customWidth="1"/>
    <col min="7926" max="7926" width="10.42578125" style="178" customWidth="1"/>
    <col min="7927" max="7927" width="11.28515625" style="178" customWidth="1"/>
    <col min="7928" max="7929" width="9.140625" style="178" bestFit="1" customWidth="1"/>
    <col min="7930" max="7931" width="11.140625" style="178" bestFit="1" customWidth="1"/>
    <col min="7932" max="7932" width="11.5703125" style="178" bestFit="1" customWidth="1"/>
    <col min="7933" max="7933" width="9.140625" style="178" bestFit="1" customWidth="1"/>
    <col min="7934" max="7934" width="10.28515625" style="178" customWidth="1"/>
    <col min="7935" max="8173" width="9.140625" style="178"/>
    <col min="8174" max="8174" width="4.28515625" style="178" bestFit="1" customWidth="1"/>
    <col min="8175" max="8175" width="6.85546875" style="178" bestFit="1" customWidth="1"/>
    <col min="8176" max="8176" width="11" style="178" customWidth="1"/>
    <col min="8177" max="8177" width="11.140625" style="178" bestFit="1" customWidth="1"/>
    <col min="8178" max="8178" width="10.85546875" style="178" customWidth="1"/>
    <col min="8179" max="8179" width="11.5703125" style="178" customWidth="1"/>
    <col min="8180" max="8180" width="11.140625" style="178" bestFit="1" customWidth="1"/>
    <col min="8181" max="8181" width="11" style="178" customWidth="1"/>
    <col min="8182" max="8182" width="10.42578125" style="178" customWidth="1"/>
    <col min="8183" max="8183" width="11.28515625" style="178" customWidth="1"/>
    <col min="8184" max="8185" width="9.140625" style="178" bestFit="1" customWidth="1"/>
    <col min="8186" max="8187" width="11.140625" style="178" bestFit="1" customWidth="1"/>
    <col min="8188" max="8188" width="11.5703125" style="178" bestFit="1" customWidth="1"/>
    <col min="8189" max="8189" width="9.140625" style="178" bestFit="1" customWidth="1"/>
    <col min="8190" max="8190" width="10.28515625" style="178" customWidth="1"/>
    <col min="8191" max="8429" width="9.140625" style="178"/>
    <col min="8430" max="8430" width="4.28515625" style="178" bestFit="1" customWidth="1"/>
    <col min="8431" max="8431" width="6.85546875" style="178" bestFit="1" customWidth="1"/>
    <col min="8432" max="8432" width="11" style="178" customWidth="1"/>
    <col min="8433" max="8433" width="11.140625" style="178" bestFit="1" customWidth="1"/>
    <col min="8434" max="8434" width="10.85546875" style="178" customWidth="1"/>
    <col min="8435" max="8435" width="11.5703125" style="178" customWidth="1"/>
    <col min="8436" max="8436" width="11.140625" style="178" bestFit="1" customWidth="1"/>
    <col min="8437" max="8437" width="11" style="178" customWidth="1"/>
    <col min="8438" max="8438" width="10.42578125" style="178" customWidth="1"/>
    <col min="8439" max="8439" width="11.28515625" style="178" customWidth="1"/>
    <col min="8440" max="8441" width="9.140625" style="178" bestFit="1" customWidth="1"/>
    <col min="8442" max="8443" width="11.140625" style="178" bestFit="1" customWidth="1"/>
    <col min="8444" max="8444" width="11.5703125" style="178" bestFit="1" customWidth="1"/>
    <col min="8445" max="8445" width="9.140625" style="178" bestFit="1" customWidth="1"/>
    <col min="8446" max="8446" width="10.28515625" style="178" customWidth="1"/>
    <col min="8447" max="8685" width="9.140625" style="178"/>
    <col min="8686" max="8686" width="4.28515625" style="178" bestFit="1" customWidth="1"/>
    <col min="8687" max="8687" width="6.85546875" style="178" bestFit="1" customWidth="1"/>
    <col min="8688" max="8688" width="11" style="178" customWidth="1"/>
    <col min="8689" max="8689" width="11.140625" style="178" bestFit="1" customWidth="1"/>
    <col min="8690" max="8690" width="10.85546875" style="178" customWidth="1"/>
    <col min="8691" max="8691" width="11.5703125" style="178" customWidth="1"/>
    <col min="8692" max="8692" width="11.140625" style="178" bestFit="1" customWidth="1"/>
    <col min="8693" max="8693" width="11" style="178" customWidth="1"/>
    <col min="8694" max="8694" width="10.42578125" style="178" customWidth="1"/>
    <col min="8695" max="8695" width="11.28515625" style="178" customWidth="1"/>
    <col min="8696" max="8697" width="9.140625" style="178" bestFit="1" customWidth="1"/>
    <col min="8698" max="8699" width="11.140625" style="178" bestFit="1" customWidth="1"/>
    <col min="8700" max="8700" width="11.5703125" style="178" bestFit="1" customWidth="1"/>
    <col min="8701" max="8701" width="9.140625" style="178" bestFit="1" customWidth="1"/>
    <col min="8702" max="8702" width="10.28515625" style="178" customWidth="1"/>
    <col min="8703" max="8941" width="9.140625" style="178"/>
    <col min="8942" max="8942" width="4.28515625" style="178" bestFit="1" customWidth="1"/>
    <col min="8943" max="8943" width="6.85546875" style="178" bestFit="1" customWidth="1"/>
    <col min="8944" max="8944" width="11" style="178" customWidth="1"/>
    <col min="8945" max="8945" width="11.140625" style="178" bestFit="1" customWidth="1"/>
    <col min="8946" max="8946" width="10.85546875" style="178" customWidth="1"/>
    <col min="8947" max="8947" width="11.5703125" style="178" customWidth="1"/>
    <col min="8948" max="8948" width="11.140625" style="178" bestFit="1" customWidth="1"/>
    <col min="8949" max="8949" width="11" style="178" customWidth="1"/>
    <col min="8950" max="8950" width="10.42578125" style="178" customWidth="1"/>
    <col min="8951" max="8951" width="11.28515625" style="178" customWidth="1"/>
    <col min="8952" max="8953" width="9.140625" style="178" bestFit="1" customWidth="1"/>
    <col min="8954" max="8955" width="11.140625" style="178" bestFit="1" customWidth="1"/>
    <col min="8956" max="8956" width="11.5703125" style="178" bestFit="1" customWidth="1"/>
    <col min="8957" max="8957" width="9.140625" style="178" bestFit="1" customWidth="1"/>
    <col min="8958" max="8958" width="10.28515625" style="178" customWidth="1"/>
    <col min="8959" max="9197" width="9.140625" style="178"/>
    <col min="9198" max="9198" width="4.28515625" style="178" bestFit="1" customWidth="1"/>
    <col min="9199" max="9199" width="6.85546875" style="178" bestFit="1" customWidth="1"/>
    <col min="9200" max="9200" width="11" style="178" customWidth="1"/>
    <col min="9201" max="9201" width="11.140625" style="178" bestFit="1" customWidth="1"/>
    <col min="9202" max="9202" width="10.85546875" style="178" customWidth="1"/>
    <col min="9203" max="9203" width="11.5703125" style="178" customWidth="1"/>
    <col min="9204" max="9204" width="11.140625" style="178" bestFit="1" customWidth="1"/>
    <col min="9205" max="9205" width="11" style="178" customWidth="1"/>
    <col min="9206" max="9206" width="10.42578125" style="178" customWidth="1"/>
    <col min="9207" max="9207" width="11.28515625" style="178" customWidth="1"/>
    <col min="9208" max="9209" width="9.140625" style="178" bestFit="1" customWidth="1"/>
    <col min="9210" max="9211" width="11.140625" style="178" bestFit="1" customWidth="1"/>
    <col min="9212" max="9212" width="11.5703125" style="178" bestFit="1" customWidth="1"/>
    <col min="9213" max="9213" width="9.140625" style="178" bestFit="1" customWidth="1"/>
    <col min="9214" max="9214" width="10.28515625" style="178" customWidth="1"/>
    <col min="9215" max="9453" width="9.140625" style="178"/>
    <col min="9454" max="9454" width="4.28515625" style="178" bestFit="1" customWidth="1"/>
    <col min="9455" max="9455" width="6.85546875" style="178" bestFit="1" customWidth="1"/>
    <col min="9456" max="9456" width="11" style="178" customWidth="1"/>
    <col min="9457" max="9457" width="11.140625" style="178" bestFit="1" customWidth="1"/>
    <col min="9458" max="9458" width="10.85546875" style="178" customWidth="1"/>
    <col min="9459" max="9459" width="11.5703125" style="178" customWidth="1"/>
    <col min="9460" max="9460" width="11.140625" style="178" bestFit="1" customWidth="1"/>
    <col min="9461" max="9461" width="11" style="178" customWidth="1"/>
    <col min="9462" max="9462" width="10.42578125" style="178" customWidth="1"/>
    <col min="9463" max="9463" width="11.28515625" style="178" customWidth="1"/>
    <col min="9464" max="9465" width="9.140625" style="178" bestFit="1" customWidth="1"/>
    <col min="9466" max="9467" width="11.140625" style="178" bestFit="1" customWidth="1"/>
    <col min="9468" max="9468" width="11.5703125" style="178" bestFit="1" customWidth="1"/>
    <col min="9469" max="9469" width="9.140625" style="178" bestFit="1" customWidth="1"/>
    <col min="9470" max="9470" width="10.28515625" style="178" customWidth="1"/>
    <col min="9471" max="9709" width="9.140625" style="178"/>
    <col min="9710" max="9710" width="4.28515625" style="178" bestFit="1" customWidth="1"/>
    <col min="9711" max="9711" width="6.85546875" style="178" bestFit="1" customWidth="1"/>
    <col min="9712" max="9712" width="11" style="178" customWidth="1"/>
    <col min="9713" max="9713" width="11.140625" style="178" bestFit="1" customWidth="1"/>
    <col min="9714" max="9714" width="10.85546875" style="178" customWidth="1"/>
    <col min="9715" max="9715" width="11.5703125" style="178" customWidth="1"/>
    <col min="9716" max="9716" width="11.140625" style="178" bestFit="1" customWidth="1"/>
    <col min="9717" max="9717" width="11" style="178" customWidth="1"/>
    <col min="9718" max="9718" width="10.42578125" style="178" customWidth="1"/>
    <col min="9719" max="9719" width="11.28515625" style="178" customWidth="1"/>
    <col min="9720" max="9721" width="9.140625" style="178" bestFit="1" customWidth="1"/>
    <col min="9722" max="9723" width="11.140625" style="178" bestFit="1" customWidth="1"/>
    <col min="9724" max="9724" width="11.5703125" style="178" bestFit="1" customWidth="1"/>
    <col min="9725" max="9725" width="9.140625" style="178" bestFit="1" customWidth="1"/>
    <col min="9726" max="9726" width="10.28515625" style="178" customWidth="1"/>
    <col min="9727" max="9965" width="9.140625" style="178"/>
    <col min="9966" max="9966" width="4.28515625" style="178" bestFit="1" customWidth="1"/>
    <col min="9967" max="9967" width="6.85546875" style="178" bestFit="1" customWidth="1"/>
    <col min="9968" max="9968" width="11" style="178" customWidth="1"/>
    <col min="9969" max="9969" width="11.140625" style="178" bestFit="1" customWidth="1"/>
    <col min="9970" max="9970" width="10.85546875" style="178" customWidth="1"/>
    <col min="9971" max="9971" width="11.5703125" style="178" customWidth="1"/>
    <col min="9972" max="9972" width="11.140625" style="178" bestFit="1" customWidth="1"/>
    <col min="9973" max="9973" width="11" style="178" customWidth="1"/>
    <col min="9974" max="9974" width="10.42578125" style="178" customWidth="1"/>
    <col min="9975" max="9975" width="11.28515625" style="178" customWidth="1"/>
    <col min="9976" max="9977" width="9.140625" style="178" bestFit="1" customWidth="1"/>
    <col min="9978" max="9979" width="11.140625" style="178" bestFit="1" customWidth="1"/>
    <col min="9980" max="9980" width="11.5703125" style="178" bestFit="1" customWidth="1"/>
    <col min="9981" max="9981" width="9.140625" style="178" bestFit="1" customWidth="1"/>
    <col min="9982" max="9982" width="10.28515625" style="178" customWidth="1"/>
    <col min="9983" max="10221" width="9.140625" style="178"/>
    <col min="10222" max="10222" width="4.28515625" style="178" bestFit="1" customWidth="1"/>
    <col min="10223" max="10223" width="6.85546875" style="178" bestFit="1" customWidth="1"/>
    <col min="10224" max="10224" width="11" style="178" customWidth="1"/>
    <col min="10225" max="10225" width="11.140625" style="178" bestFit="1" customWidth="1"/>
    <col min="10226" max="10226" width="10.85546875" style="178" customWidth="1"/>
    <col min="10227" max="10227" width="11.5703125" style="178" customWidth="1"/>
    <col min="10228" max="10228" width="11.140625" style="178" bestFit="1" customWidth="1"/>
    <col min="10229" max="10229" width="11" style="178" customWidth="1"/>
    <col min="10230" max="10230" width="10.42578125" style="178" customWidth="1"/>
    <col min="10231" max="10231" width="11.28515625" style="178" customWidth="1"/>
    <col min="10232" max="10233" width="9.140625" style="178" bestFit="1" customWidth="1"/>
    <col min="10234" max="10235" width="11.140625" style="178" bestFit="1" customWidth="1"/>
    <col min="10236" max="10236" width="11.5703125" style="178" bestFit="1" customWidth="1"/>
    <col min="10237" max="10237" width="9.140625" style="178" bestFit="1" customWidth="1"/>
    <col min="10238" max="10238" width="10.28515625" style="178" customWidth="1"/>
    <col min="10239" max="10477" width="9.140625" style="178"/>
    <col min="10478" max="10478" width="4.28515625" style="178" bestFit="1" customWidth="1"/>
    <col min="10479" max="10479" width="6.85546875" style="178" bestFit="1" customWidth="1"/>
    <col min="10480" max="10480" width="11" style="178" customWidth="1"/>
    <col min="10481" max="10481" width="11.140625" style="178" bestFit="1" customWidth="1"/>
    <col min="10482" max="10482" width="10.85546875" style="178" customWidth="1"/>
    <col min="10483" max="10483" width="11.5703125" style="178" customWidth="1"/>
    <col min="10484" max="10484" width="11.140625" style="178" bestFit="1" customWidth="1"/>
    <col min="10485" max="10485" width="11" style="178" customWidth="1"/>
    <col min="10486" max="10486" width="10.42578125" style="178" customWidth="1"/>
    <col min="10487" max="10487" width="11.28515625" style="178" customWidth="1"/>
    <col min="10488" max="10489" width="9.140625" style="178" bestFit="1" customWidth="1"/>
    <col min="10490" max="10491" width="11.140625" style="178" bestFit="1" customWidth="1"/>
    <col min="10492" max="10492" width="11.5703125" style="178" bestFit="1" customWidth="1"/>
    <col min="10493" max="10493" width="9.140625" style="178" bestFit="1" customWidth="1"/>
    <col min="10494" max="10494" width="10.28515625" style="178" customWidth="1"/>
    <col min="10495" max="10733" width="9.140625" style="178"/>
    <col min="10734" max="10734" width="4.28515625" style="178" bestFit="1" customWidth="1"/>
    <col min="10735" max="10735" width="6.85546875" style="178" bestFit="1" customWidth="1"/>
    <col min="10736" max="10736" width="11" style="178" customWidth="1"/>
    <col min="10737" max="10737" width="11.140625" style="178" bestFit="1" customWidth="1"/>
    <col min="10738" max="10738" width="10.85546875" style="178" customWidth="1"/>
    <col min="10739" max="10739" width="11.5703125" style="178" customWidth="1"/>
    <col min="10740" max="10740" width="11.140625" style="178" bestFit="1" customWidth="1"/>
    <col min="10741" max="10741" width="11" style="178" customWidth="1"/>
    <col min="10742" max="10742" width="10.42578125" style="178" customWidth="1"/>
    <col min="10743" max="10743" width="11.28515625" style="178" customWidth="1"/>
    <col min="10744" max="10745" width="9.140625" style="178" bestFit="1" customWidth="1"/>
    <col min="10746" max="10747" width="11.140625" style="178" bestFit="1" customWidth="1"/>
    <col min="10748" max="10748" width="11.5703125" style="178" bestFit="1" customWidth="1"/>
    <col min="10749" max="10749" width="9.140625" style="178" bestFit="1" customWidth="1"/>
    <col min="10750" max="10750" width="10.28515625" style="178" customWidth="1"/>
    <col min="10751" max="10989" width="9.140625" style="178"/>
    <col min="10990" max="10990" width="4.28515625" style="178" bestFit="1" customWidth="1"/>
    <col min="10991" max="10991" width="6.85546875" style="178" bestFit="1" customWidth="1"/>
    <col min="10992" max="10992" width="11" style="178" customWidth="1"/>
    <col min="10993" max="10993" width="11.140625" style="178" bestFit="1" customWidth="1"/>
    <col min="10994" max="10994" width="10.85546875" style="178" customWidth="1"/>
    <col min="10995" max="10995" width="11.5703125" style="178" customWidth="1"/>
    <col min="10996" max="10996" width="11.140625" style="178" bestFit="1" customWidth="1"/>
    <col min="10997" max="10997" width="11" style="178" customWidth="1"/>
    <col min="10998" max="10998" width="10.42578125" style="178" customWidth="1"/>
    <col min="10999" max="10999" width="11.28515625" style="178" customWidth="1"/>
    <col min="11000" max="11001" width="9.140625" style="178" bestFit="1" customWidth="1"/>
    <col min="11002" max="11003" width="11.140625" style="178" bestFit="1" customWidth="1"/>
    <col min="11004" max="11004" width="11.5703125" style="178" bestFit="1" customWidth="1"/>
    <col min="11005" max="11005" width="9.140625" style="178" bestFit="1" customWidth="1"/>
    <col min="11006" max="11006" width="10.28515625" style="178" customWidth="1"/>
    <col min="11007" max="11245" width="9.140625" style="178"/>
    <col min="11246" max="11246" width="4.28515625" style="178" bestFit="1" customWidth="1"/>
    <col min="11247" max="11247" width="6.85546875" style="178" bestFit="1" customWidth="1"/>
    <col min="11248" max="11248" width="11" style="178" customWidth="1"/>
    <col min="11249" max="11249" width="11.140625" style="178" bestFit="1" customWidth="1"/>
    <col min="11250" max="11250" width="10.85546875" style="178" customWidth="1"/>
    <col min="11251" max="11251" width="11.5703125" style="178" customWidth="1"/>
    <col min="11252" max="11252" width="11.140625" style="178" bestFit="1" customWidth="1"/>
    <col min="11253" max="11253" width="11" style="178" customWidth="1"/>
    <col min="11254" max="11254" width="10.42578125" style="178" customWidth="1"/>
    <col min="11255" max="11255" width="11.28515625" style="178" customWidth="1"/>
    <col min="11256" max="11257" width="9.140625" style="178" bestFit="1" customWidth="1"/>
    <col min="11258" max="11259" width="11.140625" style="178" bestFit="1" customWidth="1"/>
    <col min="11260" max="11260" width="11.5703125" style="178" bestFit="1" customWidth="1"/>
    <col min="11261" max="11261" width="9.140625" style="178" bestFit="1" customWidth="1"/>
    <col min="11262" max="11262" width="10.28515625" style="178" customWidth="1"/>
    <col min="11263" max="11501" width="9.140625" style="178"/>
    <col min="11502" max="11502" width="4.28515625" style="178" bestFit="1" customWidth="1"/>
    <col min="11503" max="11503" width="6.85546875" style="178" bestFit="1" customWidth="1"/>
    <col min="11504" max="11504" width="11" style="178" customWidth="1"/>
    <col min="11505" max="11505" width="11.140625" style="178" bestFit="1" customWidth="1"/>
    <col min="11506" max="11506" width="10.85546875" style="178" customWidth="1"/>
    <col min="11507" max="11507" width="11.5703125" style="178" customWidth="1"/>
    <col min="11508" max="11508" width="11.140625" style="178" bestFit="1" customWidth="1"/>
    <col min="11509" max="11509" width="11" style="178" customWidth="1"/>
    <col min="11510" max="11510" width="10.42578125" style="178" customWidth="1"/>
    <col min="11511" max="11511" width="11.28515625" style="178" customWidth="1"/>
    <col min="11512" max="11513" width="9.140625" style="178" bestFit="1" customWidth="1"/>
    <col min="11514" max="11515" width="11.140625" style="178" bestFit="1" customWidth="1"/>
    <col min="11516" max="11516" width="11.5703125" style="178" bestFit="1" customWidth="1"/>
    <col min="11517" max="11517" width="9.140625" style="178" bestFit="1" customWidth="1"/>
    <col min="11518" max="11518" width="10.28515625" style="178" customWidth="1"/>
    <col min="11519" max="11757" width="9.140625" style="178"/>
    <col min="11758" max="11758" width="4.28515625" style="178" bestFit="1" customWidth="1"/>
    <col min="11759" max="11759" width="6.85546875" style="178" bestFit="1" customWidth="1"/>
    <col min="11760" max="11760" width="11" style="178" customWidth="1"/>
    <col min="11761" max="11761" width="11.140625" style="178" bestFit="1" customWidth="1"/>
    <col min="11762" max="11762" width="10.85546875" style="178" customWidth="1"/>
    <col min="11763" max="11763" width="11.5703125" style="178" customWidth="1"/>
    <col min="11764" max="11764" width="11.140625" style="178" bestFit="1" customWidth="1"/>
    <col min="11765" max="11765" width="11" style="178" customWidth="1"/>
    <col min="11766" max="11766" width="10.42578125" style="178" customWidth="1"/>
    <col min="11767" max="11767" width="11.28515625" style="178" customWidth="1"/>
    <col min="11768" max="11769" width="9.140625" style="178" bestFit="1" customWidth="1"/>
    <col min="11770" max="11771" width="11.140625" style="178" bestFit="1" customWidth="1"/>
    <col min="11772" max="11772" width="11.5703125" style="178" bestFit="1" customWidth="1"/>
    <col min="11773" max="11773" width="9.140625" style="178" bestFit="1" customWidth="1"/>
    <col min="11774" max="11774" width="10.28515625" style="178" customWidth="1"/>
    <col min="11775" max="12013" width="9.140625" style="178"/>
    <col min="12014" max="12014" width="4.28515625" style="178" bestFit="1" customWidth="1"/>
    <col min="12015" max="12015" width="6.85546875" style="178" bestFit="1" customWidth="1"/>
    <col min="12016" max="12016" width="11" style="178" customWidth="1"/>
    <col min="12017" max="12017" width="11.140625" style="178" bestFit="1" customWidth="1"/>
    <col min="12018" max="12018" width="10.85546875" style="178" customWidth="1"/>
    <col min="12019" max="12019" width="11.5703125" style="178" customWidth="1"/>
    <col min="12020" max="12020" width="11.140625" style="178" bestFit="1" customWidth="1"/>
    <col min="12021" max="12021" width="11" style="178" customWidth="1"/>
    <col min="12022" max="12022" width="10.42578125" style="178" customWidth="1"/>
    <col min="12023" max="12023" width="11.28515625" style="178" customWidth="1"/>
    <col min="12024" max="12025" width="9.140625" style="178" bestFit="1" customWidth="1"/>
    <col min="12026" max="12027" width="11.140625" style="178" bestFit="1" customWidth="1"/>
    <col min="12028" max="12028" width="11.5703125" style="178" bestFit="1" customWidth="1"/>
    <col min="12029" max="12029" width="9.140625" style="178" bestFit="1" customWidth="1"/>
    <col min="12030" max="12030" width="10.28515625" style="178" customWidth="1"/>
    <col min="12031" max="12269" width="9.140625" style="178"/>
    <col min="12270" max="12270" width="4.28515625" style="178" bestFit="1" customWidth="1"/>
    <col min="12271" max="12271" width="6.85546875" style="178" bestFit="1" customWidth="1"/>
    <col min="12272" max="12272" width="11" style="178" customWidth="1"/>
    <col min="12273" max="12273" width="11.140625" style="178" bestFit="1" customWidth="1"/>
    <col min="12274" max="12274" width="10.85546875" style="178" customWidth="1"/>
    <col min="12275" max="12275" width="11.5703125" style="178" customWidth="1"/>
    <col min="12276" max="12276" width="11.140625" style="178" bestFit="1" customWidth="1"/>
    <col min="12277" max="12277" width="11" style="178" customWidth="1"/>
    <col min="12278" max="12278" width="10.42578125" style="178" customWidth="1"/>
    <col min="12279" max="12279" width="11.28515625" style="178" customWidth="1"/>
    <col min="12280" max="12281" width="9.140625" style="178" bestFit="1" customWidth="1"/>
    <col min="12282" max="12283" width="11.140625" style="178" bestFit="1" customWidth="1"/>
    <col min="12284" max="12284" width="11.5703125" style="178" bestFit="1" customWidth="1"/>
    <col min="12285" max="12285" width="9.140625" style="178" bestFit="1" customWidth="1"/>
    <col min="12286" max="12286" width="10.28515625" style="178" customWidth="1"/>
    <col min="12287" max="12525" width="9.140625" style="178"/>
    <col min="12526" max="12526" width="4.28515625" style="178" bestFit="1" customWidth="1"/>
    <col min="12527" max="12527" width="6.85546875" style="178" bestFit="1" customWidth="1"/>
    <col min="12528" max="12528" width="11" style="178" customWidth="1"/>
    <col min="12529" max="12529" width="11.140625" style="178" bestFit="1" customWidth="1"/>
    <col min="12530" max="12530" width="10.85546875" style="178" customWidth="1"/>
    <col min="12531" max="12531" width="11.5703125" style="178" customWidth="1"/>
    <col min="12532" max="12532" width="11.140625" style="178" bestFit="1" customWidth="1"/>
    <col min="12533" max="12533" width="11" style="178" customWidth="1"/>
    <col min="12534" max="12534" width="10.42578125" style="178" customWidth="1"/>
    <col min="12535" max="12535" width="11.28515625" style="178" customWidth="1"/>
    <col min="12536" max="12537" width="9.140625" style="178" bestFit="1" customWidth="1"/>
    <col min="12538" max="12539" width="11.140625" style="178" bestFit="1" customWidth="1"/>
    <col min="12540" max="12540" width="11.5703125" style="178" bestFit="1" customWidth="1"/>
    <col min="12541" max="12541" width="9.140625" style="178" bestFit="1" customWidth="1"/>
    <col min="12542" max="12542" width="10.28515625" style="178" customWidth="1"/>
    <col min="12543" max="12781" width="9.140625" style="178"/>
    <col min="12782" max="12782" width="4.28515625" style="178" bestFit="1" customWidth="1"/>
    <col min="12783" max="12783" width="6.85546875" style="178" bestFit="1" customWidth="1"/>
    <col min="12784" max="12784" width="11" style="178" customWidth="1"/>
    <col min="12785" max="12785" width="11.140625" style="178" bestFit="1" customWidth="1"/>
    <col min="12786" max="12786" width="10.85546875" style="178" customWidth="1"/>
    <col min="12787" max="12787" width="11.5703125" style="178" customWidth="1"/>
    <col min="12788" max="12788" width="11.140625" style="178" bestFit="1" customWidth="1"/>
    <col min="12789" max="12789" width="11" style="178" customWidth="1"/>
    <col min="12790" max="12790" width="10.42578125" style="178" customWidth="1"/>
    <col min="12791" max="12791" width="11.28515625" style="178" customWidth="1"/>
    <col min="12792" max="12793" width="9.140625" style="178" bestFit="1" customWidth="1"/>
    <col min="12794" max="12795" width="11.140625" style="178" bestFit="1" customWidth="1"/>
    <col min="12796" max="12796" width="11.5703125" style="178" bestFit="1" customWidth="1"/>
    <col min="12797" max="12797" width="9.140625" style="178" bestFit="1" customWidth="1"/>
    <col min="12798" max="12798" width="10.28515625" style="178" customWidth="1"/>
    <col min="12799" max="13037" width="9.140625" style="178"/>
    <col min="13038" max="13038" width="4.28515625" style="178" bestFit="1" customWidth="1"/>
    <col min="13039" max="13039" width="6.85546875" style="178" bestFit="1" customWidth="1"/>
    <col min="13040" max="13040" width="11" style="178" customWidth="1"/>
    <col min="13041" max="13041" width="11.140625" style="178" bestFit="1" customWidth="1"/>
    <col min="13042" max="13042" width="10.85546875" style="178" customWidth="1"/>
    <col min="13043" max="13043" width="11.5703125" style="178" customWidth="1"/>
    <col min="13044" max="13044" width="11.140625" style="178" bestFit="1" customWidth="1"/>
    <col min="13045" max="13045" width="11" style="178" customWidth="1"/>
    <col min="13046" max="13046" width="10.42578125" style="178" customWidth="1"/>
    <col min="13047" max="13047" width="11.28515625" style="178" customWidth="1"/>
    <col min="13048" max="13049" width="9.140625" style="178" bestFit="1" customWidth="1"/>
    <col min="13050" max="13051" width="11.140625" style="178" bestFit="1" customWidth="1"/>
    <col min="13052" max="13052" width="11.5703125" style="178" bestFit="1" customWidth="1"/>
    <col min="13053" max="13053" width="9.140625" style="178" bestFit="1" customWidth="1"/>
    <col min="13054" max="13054" width="10.28515625" style="178" customWidth="1"/>
    <col min="13055" max="13293" width="9.140625" style="178"/>
    <col min="13294" max="13294" width="4.28515625" style="178" bestFit="1" customWidth="1"/>
    <col min="13295" max="13295" width="6.85546875" style="178" bestFit="1" customWidth="1"/>
    <col min="13296" max="13296" width="11" style="178" customWidth="1"/>
    <col min="13297" max="13297" width="11.140625" style="178" bestFit="1" customWidth="1"/>
    <col min="13298" max="13298" width="10.85546875" style="178" customWidth="1"/>
    <col min="13299" max="13299" width="11.5703125" style="178" customWidth="1"/>
    <col min="13300" max="13300" width="11.140625" style="178" bestFit="1" customWidth="1"/>
    <col min="13301" max="13301" width="11" style="178" customWidth="1"/>
    <col min="13302" max="13302" width="10.42578125" style="178" customWidth="1"/>
    <col min="13303" max="13303" width="11.28515625" style="178" customWidth="1"/>
    <col min="13304" max="13305" width="9.140625" style="178" bestFit="1" customWidth="1"/>
    <col min="13306" max="13307" width="11.140625" style="178" bestFit="1" customWidth="1"/>
    <col min="13308" max="13308" width="11.5703125" style="178" bestFit="1" customWidth="1"/>
    <col min="13309" max="13309" width="9.140625" style="178" bestFit="1" customWidth="1"/>
    <col min="13310" max="13310" width="10.28515625" style="178" customWidth="1"/>
    <col min="13311" max="13549" width="9.140625" style="178"/>
    <col min="13550" max="13550" width="4.28515625" style="178" bestFit="1" customWidth="1"/>
    <col min="13551" max="13551" width="6.85546875" style="178" bestFit="1" customWidth="1"/>
    <col min="13552" max="13552" width="11" style="178" customWidth="1"/>
    <col min="13553" max="13553" width="11.140625" style="178" bestFit="1" customWidth="1"/>
    <col min="13554" max="13554" width="10.85546875" style="178" customWidth="1"/>
    <col min="13555" max="13555" width="11.5703125" style="178" customWidth="1"/>
    <col min="13556" max="13556" width="11.140625" style="178" bestFit="1" customWidth="1"/>
    <col min="13557" max="13557" width="11" style="178" customWidth="1"/>
    <col min="13558" max="13558" width="10.42578125" style="178" customWidth="1"/>
    <col min="13559" max="13559" width="11.28515625" style="178" customWidth="1"/>
    <col min="13560" max="13561" width="9.140625" style="178" bestFit="1" customWidth="1"/>
    <col min="13562" max="13563" width="11.140625" style="178" bestFit="1" customWidth="1"/>
    <col min="13564" max="13564" width="11.5703125" style="178" bestFit="1" customWidth="1"/>
    <col min="13565" max="13565" width="9.140625" style="178" bestFit="1" customWidth="1"/>
    <col min="13566" max="13566" width="10.28515625" style="178" customWidth="1"/>
    <col min="13567" max="13805" width="9.140625" style="178"/>
    <col min="13806" max="13806" width="4.28515625" style="178" bestFit="1" customWidth="1"/>
    <col min="13807" max="13807" width="6.85546875" style="178" bestFit="1" customWidth="1"/>
    <col min="13808" max="13808" width="11" style="178" customWidth="1"/>
    <col min="13809" max="13809" width="11.140625" style="178" bestFit="1" customWidth="1"/>
    <col min="13810" max="13810" width="10.85546875" style="178" customWidth="1"/>
    <col min="13811" max="13811" width="11.5703125" style="178" customWidth="1"/>
    <col min="13812" max="13812" width="11.140625" style="178" bestFit="1" customWidth="1"/>
    <col min="13813" max="13813" width="11" style="178" customWidth="1"/>
    <col min="13814" max="13814" width="10.42578125" style="178" customWidth="1"/>
    <col min="13815" max="13815" width="11.28515625" style="178" customWidth="1"/>
    <col min="13816" max="13817" width="9.140625" style="178" bestFit="1" customWidth="1"/>
    <col min="13818" max="13819" width="11.140625" style="178" bestFit="1" customWidth="1"/>
    <col min="13820" max="13820" width="11.5703125" style="178" bestFit="1" customWidth="1"/>
    <col min="13821" max="13821" width="9.140625" style="178" bestFit="1" customWidth="1"/>
    <col min="13822" max="13822" width="10.28515625" style="178" customWidth="1"/>
    <col min="13823" max="14061" width="9.140625" style="178"/>
    <col min="14062" max="14062" width="4.28515625" style="178" bestFit="1" customWidth="1"/>
    <col min="14063" max="14063" width="6.85546875" style="178" bestFit="1" customWidth="1"/>
    <col min="14064" max="14064" width="11" style="178" customWidth="1"/>
    <col min="14065" max="14065" width="11.140625" style="178" bestFit="1" customWidth="1"/>
    <col min="14066" max="14066" width="10.85546875" style="178" customWidth="1"/>
    <col min="14067" max="14067" width="11.5703125" style="178" customWidth="1"/>
    <col min="14068" max="14068" width="11.140625" style="178" bestFit="1" customWidth="1"/>
    <col min="14069" max="14069" width="11" style="178" customWidth="1"/>
    <col min="14070" max="14070" width="10.42578125" style="178" customWidth="1"/>
    <col min="14071" max="14071" width="11.28515625" style="178" customWidth="1"/>
    <col min="14072" max="14073" width="9.140625" style="178" bestFit="1" customWidth="1"/>
    <col min="14074" max="14075" width="11.140625" style="178" bestFit="1" customWidth="1"/>
    <col min="14076" max="14076" width="11.5703125" style="178" bestFit="1" customWidth="1"/>
    <col min="14077" max="14077" width="9.140625" style="178" bestFit="1" customWidth="1"/>
    <col min="14078" max="14078" width="10.28515625" style="178" customWidth="1"/>
    <col min="14079" max="14317" width="9.140625" style="178"/>
    <col min="14318" max="14318" width="4.28515625" style="178" bestFit="1" customWidth="1"/>
    <col min="14319" max="14319" width="6.85546875" style="178" bestFit="1" customWidth="1"/>
    <col min="14320" max="14320" width="11" style="178" customWidth="1"/>
    <col min="14321" max="14321" width="11.140625" style="178" bestFit="1" customWidth="1"/>
    <col min="14322" max="14322" width="10.85546875" style="178" customWidth="1"/>
    <col min="14323" max="14323" width="11.5703125" style="178" customWidth="1"/>
    <col min="14324" max="14324" width="11.140625" style="178" bestFit="1" customWidth="1"/>
    <col min="14325" max="14325" width="11" style="178" customWidth="1"/>
    <col min="14326" max="14326" width="10.42578125" style="178" customWidth="1"/>
    <col min="14327" max="14327" width="11.28515625" style="178" customWidth="1"/>
    <col min="14328" max="14329" width="9.140625" style="178" bestFit="1" customWidth="1"/>
    <col min="14330" max="14331" width="11.140625" style="178" bestFit="1" customWidth="1"/>
    <col min="14332" max="14332" width="11.5703125" style="178" bestFit="1" customWidth="1"/>
    <col min="14333" max="14333" width="9.140625" style="178" bestFit="1" customWidth="1"/>
    <col min="14334" max="14334" width="10.28515625" style="178" customWidth="1"/>
    <col min="14335" max="14573" width="9.140625" style="178"/>
    <col min="14574" max="14574" width="4.28515625" style="178" bestFit="1" customWidth="1"/>
    <col min="14575" max="14575" width="6.85546875" style="178" bestFit="1" customWidth="1"/>
    <col min="14576" max="14576" width="11" style="178" customWidth="1"/>
    <col min="14577" max="14577" width="11.140625" style="178" bestFit="1" customWidth="1"/>
    <col min="14578" max="14578" width="10.85546875" style="178" customWidth="1"/>
    <col min="14579" max="14579" width="11.5703125" style="178" customWidth="1"/>
    <col min="14580" max="14580" width="11.140625" style="178" bestFit="1" customWidth="1"/>
    <col min="14581" max="14581" width="11" style="178" customWidth="1"/>
    <col min="14582" max="14582" width="10.42578125" style="178" customWidth="1"/>
    <col min="14583" max="14583" width="11.28515625" style="178" customWidth="1"/>
    <col min="14584" max="14585" width="9.140625" style="178" bestFit="1" customWidth="1"/>
    <col min="14586" max="14587" width="11.140625" style="178" bestFit="1" customWidth="1"/>
    <col min="14588" max="14588" width="11.5703125" style="178" bestFit="1" customWidth="1"/>
    <col min="14589" max="14589" width="9.140625" style="178" bestFit="1" customWidth="1"/>
    <col min="14590" max="14590" width="10.28515625" style="178" customWidth="1"/>
    <col min="14591" max="14829" width="9.140625" style="178"/>
    <col min="14830" max="14830" width="4.28515625" style="178" bestFit="1" customWidth="1"/>
    <col min="14831" max="14831" width="6.85546875" style="178" bestFit="1" customWidth="1"/>
    <col min="14832" max="14832" width="11" style="178" customWidth="1"/>
    <col min="14833" max="14833" width="11.140625" style="178" bestFit="1" customWidth="1"/>
    <col min="14834" max="14834" width="10.85546875" style="178" customWidth="1"/>
    <col min="14835" max="14835" width="11.5703125" style="178" customWidth="1"/>
    <col min="14836" max="14836" width="11.140625" style="178" bestFit="1" customWidth="1"/>
    <col min="14837" max="14837" width="11" style="178" customWidth="1"/>
    <col min="14838" max="14838" width="10.42578125" style="178" customWidth="1"/>
    <col min="14839" max="14839" width="11.28515625" style="178" customWidth="1"/>
    <col min="14840" max="14841" width="9.140625" style="178" bestFit="1" customWidth="1"/>
    <col min="14842" max="14843" width="11.140625" style="178" bestFit="1" customWidth="1"/>
    <col min="14844" max="14844" width="11.5703125" style="178" bestFit="1" customWidth="1"/>
    <col min="14845" max="14845" width="9.140625" style="178" bestFit="1" customWidth="1"/>
    <col min="14846" max="14846" width="10.28515625" style="178" customWidth="1"/>
    <col min="14847" max="15085" width="9.140625" style="178"/>
    <col min="15086" max="15086" width="4.28515625" style="178" bestFit="1" customWidth="1"/>
    <col min="15087" max="15087" width="6.85546875" style="178" bestFit="1" customWidth="1"/>
    <col min="15088" max="15088" width="11" style="178" customWidth="1"/>
    <col min="15089" max="15089" width="11.140625" style="178" bestFit="1" customWidth="1"/>
    <col min="15090" max="15090" width="10.85546875" style="178" customWidth="1"/>
    <col min="15091" max="15091" width="11.5703125" style="178" customWidth="1"/>
    <col min="15092" max="15092" width="11.140625" style="178" bestFit="1" customWidth="1"/>
    <col min="15093" max="15093" width="11" style="178" customWidth="1"/>
    <col min="15094" max="15094" width="10.42578125" style="178" customWidth="1"/>
    <col min="15095" max="15095" width="11.28515625" style="178" customWidth="1"/>
    <col min="15096" max="15097" width="9.140625" style="178" bestFit="1" customWidth="1"/>
    <col min="15098" max="15099" width="11.140625" style="178" bestFit="1" customWidth="1"/>
    <col min="15100" max="15100" width="11.5703125" style="178" bestFit="1" customWidth="1"/>
    <col min="15101" max="15101" width="9.140625" style="178" bestFit="1" customWidth="1"/>
    <col min="15102" max="15102" width="10.28515625" style="178" customWidth="1"/>
    <col min="15103" max="15341" width="9.140625" style="178"/>
    <col min="15342" max="15342" width="4.28515625" style="178" bestFit="1" customWidth="1"/>
    <col min="15343" max="15343" width="6.85546875" style="178" bestFit="1" customWidth="1"/>
    <col min="15344" max="15344" width="11" style="178" customWidth="1"/>
    <col min="15345" max="15345" width="11.140625" style="178" bestFit="1" customWidth="1"/>
    <col min="15346" max="15346" width="10.85546875" style="178" customWidth="1"/>
    <col min="15347" max="15347" width="11.5703125" style="178" customWidth="1"/>
    <col min="15348" max="15348" width="11.140625" style="178" bestFit="1" customWidth="1"/>
    <col min="15349" max="15349" width="11" style="178" customWidth="1"/>
    <col min="15350" max="15350" width="10.42578125" style="178" customWidth="1"/>
    <col min="15351" max="15351" width="11.28515625" style="178" customWidth="1"/>
    <col min="15352" max="15353" width="9.140625" style="178" bestFit="1" customWidth="1"/>
    <col min="15354" max="15355" width="11.140625" style="178" bestFit="1" customWidth="1"/>
    <col min="15356" max="15356" width="11.5703125" style="178" bestFit="1" customWidth="1"/>
    <col min="15357" max="15357" width="9.140625" style="178" bestFit="1" customWidth="1"/>
    <col min="15358" max="15358" width="10.28515625" style="178" customWidth="1"/>
    <col min="15359" max="15597" width="9.140625" style="178"/>
    <col min="15598" max="15598" width="4.28515625" style="178" bestFit="1" customWidth="1"/>
    <col min="15599" max="15599" width="6.85546875" style="178" bestFit="1" customWidth="1"/>
    <col min="15600" max="15600" width="11" style="178" customWidth="1"/>
    <col min="15601" max="15601" width="11.140625" style="178" bestFit="1" customWidth="1"/>
    <col min="15602" max="15602" width="10.85546875" style="178" customWidth="1"/>
    <col min="15603" max="15603" width="11.5703125" style="178" customWidth="1"/>
    <col min="15604" max="15604" width="11.140625" style="178" bestFit="1" customWidth="1"/>
    <col min="15605" max="15605" width="11" style="178" customWidth="1"/>
    <col min="15606" max="15606" width="10.42578125" style="178" customWidth="1"/>
    <col min="15607" max="15607" width="11.28515625" style="178" customWidth="1"/>
    <col min="15608" max="15609" width="9.140625" style="178" bestFit="1" customWidth="1"/>
    <col min="15610" max="15611" width="11.140625" style="178" bestFit="1" customWidth="1"/>
    <col min="15612" max="15612" width="11.5703125" style="178" bestFit="1" customWidth="1"/>
    <col min="15613" max="15613" width="9.140625" style="178" bestFit="1" customWidth="1"/>
    <col min="15614" max="15614" width="10.28515625" style="178" customWidth="1"/>
    <col min="15615" max="15853" width="9.140625" style="178"/>
    <col min="15854" max="15854" width="4.28515625" style="178" bestFit="1" customWidth="1"/>
    <col min="15855" max="15855" width="6.85546875" style="178" bestFit="1" customWidth="1"/>
    <col min="15856" max="15856" width="11" style="178" customWidth="1"/>
    <col min="15857" max="15857" width="11.140625" style="178" bestFit="1" customWidth="1"/>
    <col min="15858" max="15858" width="10.85546875" style="178" customWidth="1"/>
    <col min="15859" max="15859" width="11.5703125" style="178" customWidth="1"/>
    <col min="15860" max="15860" width="11.140625" style="178" bestFit="1" customWidth="1"/>
    <col min="15861" max="15861" width="11" style="178" customWidth="1"/>
    <col min="15862" max="15862" width="10.42578125" style="178" customWidth="1"/>
    <col min="15863" max="15863" width="11.28515625" style="178" customWidth="1"/>
    <col min="15864" max="15865" width="9.140625" style="178" bestFit="1" customWidth="1"/>
    <col min="15866" max="15867" width="11.140625" style="178" bestFit="1" customWidth="1"/>
    <col min="15868" max="15868" width="11.5703125" style="178" bestFit="1" customWidth="1"/>
    <col min="15869" max="15869" width="9.140625" style="178" bestFit="1" customWidth="1"/>
    <col min="15870" max="15870" width="10.28515625" style="178" customWidth="1"/>
    <col min="15871" max="16109" width="9.140625" style="178"/>
    <col min="16110" max="16110" width="4.28515625" style="178" bestFit="1" customWidth="1"/>
    <col min="16111" max="16111" width="6.85546875" style="178" bestFit="1" customWidth="1"/>
    <col min="16112" max="16112" width="11" style="178" customWidth="1"/>
    <col min="16113" max="16113" width="11.140625" style="178" bestFit="1" customWidth="1"/>
    <col min="16114" max="16114" width="10.85546875" style="178" customWidth="1"/>
    <col min="16115" max="16115" width="11.5703125" style="178" customWidth="1"/>
    <col min="16116" max="16116" width="11.140625" style="178" bestFit="1" customWidth="1"/>
    <col min="16117" max="16117" width="11" style="178" customWidth="1"/>
    <col min="16118" max="16118" width="10.42578125" style="178" customWidth="1"/>
    <col min="16119" max="16119" width="11.28515625" style="178" customWidth="1"/>
    <col min="16120" max="16121" width="9.140625" style="178" bestFit="1" customWidth="1"/>
    <col min="16122" max="16123" width="11.140625" style="178" bestFit="1" customWidth="1"/>
    <col min="16124" max="16124" width="11.5703125" style="178" bestFit="1" customWidth="1"/>
    <col min="16125" max="16125" width="9.140625" style="178" bestFit="1" customWidth="1"/>
    <col min="16126" max="16126" width="10.28515625" style="178" customWidth="1"/>
    <col min="16127" max="16384" width="9.140625" style="178"/>
  </cols>
  <sheetData>
    <row r="1" spans="1:25" ht="64.5" customHeight="1">
      <c r="A1" s="1983" t="s">
        <v>595</v>
      </c>
      <c r="B1" s="1984"/>
      <c r="C1" s="1984"/>
      <c r="D1" s="1984"/>
      <c r="E1" s="1984"/>
      <c r="F1" s="1984"/>
      <c r="G1" s="1984"/>
      <c r="H1" s="1984"/>
      <c r="I1" s="1984"/>
      <c r="J1" s="1984"/>
      <c r="K1" s="1984"/>
      <c r="L1" s="1984"/>
      <c r="M1" s="1984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ht="16.5" customHeight="1" thickBot="1">
      <c r="A2" s="795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1120" t="s">
        <v>0</v>
      </c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s="1125" customFormat="1" ht="90.75" thickBot="1">
      <c r="A3" s="1121" t="s">
        <v>1</v>
      </c>
      <c r="B3" s="1122" t="s">
        <v>2</v>
      </c>
      <c r="C3" s="1121" t="s">
        <v>3</v>
      </c>
      <c r="D3" s="1123" t="s">
        <v>4</v>
      </c>
      <c r="E3" s="1124" t="s">
        <v>557</v>
      </c>
      <c r="F3" s="1124" t="s">
        <v>153</v>
      </c>
      <c r="G3" s="1124"/>
      <c r="H3" s="1124" t="s">
        <v>180</v>
      </c>
      <c r="I3" s="1124" t="s">
        <v>5</v>
      </c>
      <c r="J3" s="1124" t="s">
        <v>178</v>
      </c>
      <c r="K3" s="1124" t="s">
        <v>558</v>
      </c>
      <c r="L3" s="1124" t="s">
        <v>517</v>
      </c>
      <c r="M3" s="1124" t="s">
        <v>358</v>
      </c>
    </row>
    <row r="4" spans="1:25" s="1132" customFormat="1" ht="10.5" thickBot="1">
      <c r="A4" s="1126" t="s">
        <v>6</v>
      </c>
      <c r="B4" s="2127" t="s">
        <v>7</v>
      </c>
      <c r="C4" s="2127"/>
      <c r="D4" s="1127" t="s">
        <v>8</v>
      </c>
      <c r="E4" s="1128" t="s">
        <v>9</v>
      </c>
      <c r="F4" s="1128" t="s">
        <v>10</v>
      </c>
      <c r="G4" s="1128"/>
      <c r="H4" s="1129" t="s">
        <v>10</v>
      </c>
      <c r="I4" s="1128" t="s">
        <v>12</v>
      </c>
      <c r="J4" s="1128" t="s">
        <v>11</v>
      </c>
      <c r="K4" s="1128" t="s">
        <v>11</v>
      </c>
      <c r="L4" s="1130" t="s">
        <v>202</v>
      </c>
      <c r="M4" s="1131" t="s">
        <v>12</v>
      </c>
    </row>
    <row r="5" spans="1:25" s="1228" customFormat="1" ht="20.100000000000001" customHeight="1">
      <c r="A5" s="799" t="s">
        <v>571</v>
      </c>
      <c r="B5" s="764"/>
      <c r="C5" s="765" t="s">
        <v>572</v>
      </c>
      <c r="D5" s="764"/>
      <c r="E5" s="591">
        <f>SUM(E6)</f>
        <v>13826521</v>
      </c>
      <c r="F5" s="591">
        <f>SUM(F6)</f>
        <v>9234948</v>
      </c>
      <c r="G5" s="591">
        <f>SUM(G6)</f>
        <v>0</v>
      </c>
      <c r="H5" s="591">
        <f>SUM(H6)</f>
        <v>4080466</v>
      </c>
      <c r="I5" s="1145">
        <f>H5/E5</f>
        <v>0.29511877933718828</v>
      </c>
      <c r="J5" s="591">
        <f>SUM(J6)</f>
        <v>0</v>
      </c>
      <c r="K5" s="488">
        <f>SUM(K6)</f>
        <v>4080466</v>
      </c>
      <c r="L5" s="1010">
        <f>K5/E5</f>
        <v>0.29511877933718828</v>
      </c>
      <c r="M5" s="1227"/>
      <c r="N5" s="1229"/>
      <c r="O5" s="1229"/>
      <c r="P5" s="1229"/>
      <c r="Q5" s="1229"/>
      <c r="R5" s="1229"/>
      <c r="S5" s="1229"/>
      <c r="T5" s="1229"/>
      <c r="U5" s="1229"/>
      <c r="V5" s="1229"/>
      <c r="W5" s="1229"/>
      <c r="X5" s="1229"/>
      <c r="Y5" s="1229"/>
    </row>
    <row r="6" spans="1:25" s="1087" customFormat="1" ht="20.100000000000001" customHeight="1">
      <c r="A6" s="1929"/>
      <c r="B6" s="1932" t="s">
        <v>573</v>
      </c>
      <c r="C6" s="660" t="s">
        <v>574</v>
      </c>
      <c r="D6" s="661"/>
      <c r="E6" s="525">
        <f>SUM(E7,E18)</f>
        <v>13826521</v>
      </c>
      <c r="F6" s="525">
        <f>SUM(F7,F18)</f>
        <v>9234948</v>
      </c>
      <c r="G6" s="525"/>
      <c r="H6" s="525">
        <f>SUM(H7,H18)</f>
        <v>4080466</v>
      </c>
      <c r="I6" s="1208">
        <f>H6/E6</f>
        <v>0.29511877933718828</v>
      </c>
      <c r="J6" s="525">
        <f>SUM(J7,J18)</f>
        <v>0</v>
      </c>
      <c r="K6" s="1135">
        <f>SUM(K7,K18)</f>
        <v>4080466</v>
      </c>
      <c r="L6" s="1230">
        <f t="shared" ref="L6:L62" si="0">K6/E6</f>
        <v>0.29511877933718828</v>
      </c>
      <c r="M6" s="2120" t="s">
        <v>596</v>
      </c>
      <c r="N6" s="1231"/>
      <c r="O6" s="1231"/>
      <c r="P6" s="1231"/>
      <c r="Q6" s="1231"/>
      <c r="R6" s="1231"/>
      <c r="S6" s="1231"/>
      <c r="T6" s="1231"/>
      <c r="U6" s="1231"/>
      <c r="V6" s="1231"/>
      <c r="W6" s="1231"/>
      <c r="X6" s="1231"/>
      <c r="Y6" s="1231"/>
    </row>
    <row r="7" spans="1:25" s="1087" customFormat="1" ht="20.100000000000001" customHeight="1">
      <c r="A7" s="1930"/>
      <c r="B7" s="1932"/>
      <c r="C7" s="664" t="s">
        <v>18</v>
      </c>
      <c r="D7" s="665"/>
      <c r="E7" s="528">
        <f>SUM(E8,E11,E12,E13,E16,E17)</f>
        <v>13826521</v>
      </c>
      <c r="F7" s="528">
        <f>SUM(F8,F11,F12,F13,F16,F17)</f>
        <v>9172654</v>
      </c>
      <c r="G7" s="528">
        <f>SUM(G8,G11,G12,G13,G16,G17)</f>
        <v>0</v>
      </c>
      <c r="H7" s="528">
        <f>SUM(H8,H11,H12,H13,H16,H17)</f>
        <v>4080466</v>
      </c>
      <c r="I7" s="808">
        <f>H7/E7</f>
        <v>0.29511877933718828</v>
      </c>
      <c r="J7" s="528">
        <f>SUM(J8,J11,J12,J13,J16,J17)</f>
        <v>0</v>
      </c>
      <c r="K7" s="1136">
        <f>SUM(K8,K11,K12,K13,K16,K17)</f>
        <v>4080466</v>
      </c>
      <c r="L7" s="1232">
        <f t="shared" si="0"/>
        <v>0.29511877933718828</v>
      </c>
      <c r="M7" s="2121"/>
      <c r="N7" s="1231"/>
      <c r="O7" s="1231"/>
      <c r="P7" s="1231"/>
      <c r="Q7" s="1231"/>
      <c r="R7" s="1231"/>
      <c r="S7" s="1231"/>
      <c r="T7" s="1231"/>
      <c r="U7" s="1231"/>
      <c r="V7" s="1231"/>
      <c r="W7" s="1231"/>
      <c r="X7" s="1231"/>
      <c r="Y7" s="1231"/>
    </row>
    <row r="8" spans="1:25" s="640" customFormat="1" ht="20.100000000000001" customHeight="1">
      <c r="A8" s="1930"/>
      <c r="B8" s="1932"/>
      <c r="C8" s="668" t="s">
        <v>19</v>
      </c>
      <c r="D8" s="669"/>
      <c r="E8" s="513"/>
      <c r="F8" s="513"/>
      <c r="G8" s="513"/>
      <c r="H8" s="513">
        <f>SUM(H9:H10)</f>
        <v>0</v>
      </c>
      <c r="I8" s="808"/>
      <c r="J8" s="513">
        <f>SUM(J9:J10)</f>
        <v>0</v>
      </c>
      <c r="K8" s="1137"/>
      <c r="L8" s="1233"/>
      <c r="M8" s="2121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</row>
    <row r="9" spans="1:25" s="640" customFormat="1" ht="20.100000000000001" customHeight="1">
      <c r="A9" s="1930"/>
      <c r="B9" s="1932"/>
      <c r="C9" s="668" t="s">
        <v>20</v>
      </c>
      <c r="D9" s="669"/>
      <c r="E9" s="513"/>
      <c r="F9" s="513"/>
      <c r="G9" s="513"/>
      <c r="H9" s="513"/>
      <c r="I9" s="808"/>
      <c r="J9" s="513"/>
      <c r="K9" s="1137"/>
      <c r="L9" s="1233"/>
      <c r="M9" s="2121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</row>
    <row r="10" spans="1:25" s="640" customFormat="1" ht="20.100000000000001" customHeight="1">
      <c r="A10" s="1930"/>
      <c r="B10" s="1932"/>
      <c r="C10" s="672" t="s">
        <v>21</v>
      </c>
      <c r="D10" s="673"/>
      <c r="E10" s="513"/>
      <c r="F10" s="513"/>
      <c r="G10" s="513"/>
      <c r="H10" s="513"/>
      <c r="I10" s="808"/>
      <c r="J10" s="513"/>
      <c r="K10" s="1137"/>
      <c r="L10" s="1233"/>
      <c r="M10" s="2121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</row>
    <row r="11" spans="1:25" s="640" customFormat="1" ht="20.100000000000001" customHeight="1">
      <c r="A11" s="1930"/>
      <c r="B11" s="1932"/>
      <c r="C11" s="404" t="s">
        <v>23</v>
      </c>
      <c r="D11" s="673">
        <v>2919</v>
      </c>
      <c r="E11" s="513">
        <v>0</v>
      </c>
      <c r="F11" s="513">
        <v>4269</v>
      </c>
      <c r="G11" s="513"/>
      <c r="H11" s="513">
        <v>0</v>
      </c>
      <c r="I11" s="808"/>
      <c r="J11" s="513"/>
      <c r="K11" s="1137">
        <f>H11+J11</f>
        <v>0</v>
      </c>
      <c r="L11" s="1233"/>
      <c r="M11" s="2121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</row>
    <row r="12" spans="1:25" s="640" customFormat="1" ht="20.100000000000001" customHeight="1">
      <c r="A12" s="1930"/>
      <c r="B12" s="1932"/>
      <c r="C12" s="668" t="s">
        <v>24</v>
      </c>
      <c r="D12" s="669"/>
      <c r="E12" s="513"/>
      <c r="F12" s="513"/>
      <c r="G12" s="513"/>
      <c r="H12" s="513"/>
      <c r="I12" s="808"/>
      <c r="J12" s="513"/>
      <c r="K12" s="1137"/>
      <c r="L12" s="1233"/>
      <c r="M12" s="2121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</row>
    <row r="13" spans="1:25" s="640" customFormat="1" ht="20.100000000000001" customHeight="1">
      <c r="A13" s="1930"/>
      <c r="B13" s="1932"/>
      <c r="C13" s="1934" t="s">
        <v>25</v>
      </c>
      <c r="D13" s="669" t="s">
        <v>22</v>
      </c>
      <c r="E13" s="513">
        <f>SUM(E14:E15)</f>
        <v>13826521</v>
      </c>
      <c r="F13" s="513">
        <f>SUM(F14:F15)</f>
        <v>9168385</v>
      </c>
      <c r="G13" s="513">
        <f>SUM(G14:G15)</f>
        <v>0</v>
      </c>
      <c r="H13" s="513">
        <f>SUM(H14:H15)</f>
        <v>4080466</v>
      </c>
      <c r="I13" s="809">
        <f t="shared" ref="I13:I15" si="1">H13/E13</f>
        <v>0.29511877933718828</v>
      </c>
      <c r="J13" s="513">
        <f>SUM(J14:J15)</f>
        <v>0</v>
      </c>
      <c r="K13" s="1137">
        <f>SUM(K14:K15)</f>
        <v>4080466</v>
      </c>
      <c r="L13" s="1233">
        <f t="shared" si="0"/>
        <v>0.29511877933718828</v>
      </c>
      <c r="M13" s="2121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</row>
    <row r="14" spans="1:25" s="640" customFormat="1" ht="20.100000000000001" customHeight="1">
      <c r="A14" s="1930"/>
      <c r="B14" s="1932"/>
      <c r="C14" s="1935"/>
      <c r="D14" s="674">
        <v>2007</v>
      </c>
      <c r="E14" s="502">
        <v>13231704</v>
      </c>
      <c r="F14" s="502">
        <v>8800000</v>
      </c>
      <c r="G14" s="502"/>
      <c r="H14" s="502">
        <v>4080466</v>
      </c>
      <c r="I14" s="809">
        <f t="shared" si="1"/>
        <v>0.30838552615747755</v>
      </c>
      <c r="J14" s="502"/>
      <c r="K14" s="1139">
        <f t="shared" ref="K14:K15" si="2">H14+J14</f>
        <v>4080466</v>
      </c>
      <c r="L14" s="1233">
        <f t="shared" si="0"/>
        <v>0.30838552615747755</v>
      </c>
      <c r="M14" s="2121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</row>
    <row r="15" spans="1:25" s="640" customFormat="1" ht="20.100000000000001" customHeight="1">
      <c r="A15" s="1930"/>
      <c r="B15" s="1932"/>
      <c r="C15" s="1935"/>
      <c r="D15" s="674">
        <v>4307</v>
      </c>
      <c r="E15" s="502">
        <v>594817</v>
      </c>
      <c r="F15" s="502">
        <v>368385</v>
      </c>
      <c r="G15" s="502"/>
      <c r="H15" s="502">
        <v>0</v>
      </c>
      <c r="I15" s="809">
        <f t="shared" si="1"/>
        <v>0</v>
      </c>
      <c r="J15" s="502"/>
      <c r="K15" s="1139">
        <f t="shared" si="2"/>
        <v>0</v>
      </c>
      <c r="L15" s="1233">
        <f t="shared" si="0"/>
        <v>0</v>
      </c>
      <c r="M15" s="2121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</row>
    <row r="16" spans="1:25" s="640" customFormat="1" ht="20.100000000000001" customHeight="1">
      <c r="A16" s="1930"/>
      <c r="B16" s="1932"/>
      <c r="C16" s="668" t="s">
        <v>26</v>
      </c>
      <c r="D16" s="669"/>
      <c r="E16" s="513"/>
      <c r="F16" s="513"/>
      <c r="G16" s="513"/>
      <c r="H16" s="513"/>
      <c r="I16" s="808"/>
      <c r="J16" s="513"/>
      <c r="K16" s="1137"/>
      <c r="L16" s="1233"/>
      <c r="M16" s="2121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</row>
    <row r="17" spans="1:25" s="640" customFormat="1" ht="20.100000000000001" customHeight="1">
      <c r="A17" s="1930"/>
      <c r="B17" s="1932"/>
      <c r="C17" s="668" t="s">
        <v>27</v>
      </c>
      <c r="D17" s="669"/>
      <c r="E17" s="513"/>
      <c r="F17" s="513"/>
      <c r="G17" s="513"/>
      <c r="H17" s="513"/>
      <c r="I17" s="808"/>
      <c r="J17" s="513"/>
      <c r="K17" s="1137"/>
      <c r="L17" s="1233"/>
      <c r="M17" s="2121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</row>
    <row r="18" spans="1:25" s="640" customFormat="1" ht="20.100000000000001" customHeight="1">
      <c r="A18" s="1930"/>
      <c r="B18" s="1932"/>
      <c r="C18" s="676" t="s">
        <v>28</v>
      </c>
      <c r="D18" s="677"/>
      <c r="E18" s="528">
        <f>SUM(E19,E21,E22)</f>
        <v>0</v>
      </c>
      <c r="F18" s="528">
        <f>SUM(F19,F21,F22)</f>
        <v>62294</v>
      </c>
      <c r="G18" s="528"/>
      <c r="H18" s="528">
        <f>SUM(H19,H21,H22)</f>
        <v>0</v>
      </c>
      <c r="I18" s="808"/>
      <c r="J18" s="528">
        <f>SUM(J19,J21,J22)</f>
        <v>0</v>
      </c>
      <c r="K18" s="1136">
        <f>SUM(K19,K21,K22)</f>
        <v>0</v>
      </c>
      <c r="L18" s="1233"/>
      <c r="M18" s="2121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</row>
    <row r="19" spans="1:25" s="640" customFormat="1" ht="20.100000000000001" customHeight="1">
      <c r="A19" s="1930"/>
      <c r="B19" s="1932"/>
      <c r="C19" s="404" t="s">
        <v>29</v>
      </c>
      <c r="D19" s="669">
        <v>6669</v>
      </c>
      <c r="E19" s="513">
        <v>0</v>
      </c>
      <c r="F19" s="513">
        <v>62294</v>
      </c>
      <c r="G19" s="513"/>
      <c r="H19" s="513">
        <v>0</v>
      </c>
      <c r="I19" s="808"/>
      <c r="J19" s="513"/>
      <c r="K19" s="1137">
        <v>0</v>
      </c>
      <c r="L19" s="1233"/>
      <c r="M19" s="2121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</row>
    <row r="20" spans="1:25" s="640" customFormat="1" ht="22.5">
      <c r="A20" s="1930"/>
      <c r="B20" s="1932"/>
      <c r="C20" s="405" t="s">
        <v>30</v>
      </c>
      <c r="D20" s="673"/>
      <c r="E20" s="513"/>
      <c r="F20" s="513"/>
      <c r="G20" s="513"/>
      <c r="H20" s="513"/>
      <c r="I20" s="809"/>
      <c r="J20" s="513"/>
      <c r="K20" s="1137"/>
      <c r="L20" s="1233"/>
      <c r="M20" s="2121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</row>
    <row r="21" spans="1:25" s="640" customFormat="1" ht="20.100000000000001" customHeight="1">
      <c r="A21" s="1930"/>
      <c r="B21" s="1932"/>
      <c r="C21" s="668" t="s">
        <v>31</v>
      </c>
      <c r="D21" s="669"/>
      <c r="E21" s="513"/>
      <c r="F21" s="513"/>
      <c r="G21" s="513"/>
      <c r="H21" s="513"/>
      <c r="I21" s="809"/>
      <c r="J21" s="513"/>
      <c r="K21" s="1137"/>
      <c r="L21" s="1233"/>
      <c r="M21" s="2121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</row>
    <row r="22" spans="1:25" s="1087" customFormat="1" ht="20.100000000000001" customHeight="1" thickBot="1">
      <c r="A22" s="1931"/>
      <c r="B22" s="1933"/>
      <c r="C22" s="679" t="s">
        <v>32</v>
      </c>
      <c r="D22" s="680"/>
      <c r="E22" s="683"/>
      <c r="F22" s="683"/>
      <c r="G22" s="683"/>
      <c r="H22" s="683"/>
      <c r="I22" s="1141"/>
      <c r="J22" s="683"/>
      <c r="K22" s="627"/>
      <c r="L22" s="1233"/>
      <c r="M22" s="2123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</row>
    <row r="23" spans="1:25" s="990" customFormat="1" ht="20.100000000000001" customHeight="1">
      <c r="A23" s="392" t="s">
        <v>57</v>
      </c>
      <c r="B23" s="393"/>
      <c r="C23" s="812" t="s">
        <v>58</v>
      </c>
      <c r="D23" s="393"/>
      <c r="E23" s="395">
        <f>E24+E53</f>
        <v>3116709</v>
      </c>
      <c r="F23" s="395">
        <f>F24+F53</f>
        <v>0</v>
      </c>
      <c r="G23" s="395">
        <f>G24+G53</f>
        <v>0</v>
      </c>
      <c r="H23" s="395">
        <f>H24+H53</f>
        <v>0</v>
      </c>
      <c r="I23" s="1234">
        <f>H23/E23</f>
        <v>0</v>
      </c>
      <c r="J23" s="395">
        <f>J24+J53</f>
        <v>0</v>
      </c>
      <c r="K23" s="1151">
        <f>K24+K53</f>
        <v>0</v>
      </c>
      <c r="L23" s="1010">
        <f t="shared" si="0"/>
        <v>0</v>
      </c>
      <c r="M23" s="1235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</row>
    <row r="24" spans="1:25" s="420" customFormat="1" ht="20.100000000000001" hidden="1" customHeight="1">
      <c r="A24" s="1929"/>
      <c r="B24" s="1932" t="s">
        <v>476</v>
      </c>
      <c r="C24" s="660" t="s">
        <v>59</v>
      </c>
      <c r="D24" s="661"/>
      <c r="E24" s="525">
        <f>SUM(E25,E48)</f>
        <v>0</v>
      </c>
      <c r="F24" s="525">
        <f>SUM(F25,F48)</f>
        <v>0</v>
      </c>
      <c r="G24" s="525"/>
      <c r="H24" s="525">
        <f>SUM(H25,H48)</f>
        <v>0</v>
      </c>
      <c r="I24" s="1237" t="e">
        <f>H24/E24</f>
        <v>#DIV/0!</v>
      </c>
      <c r="J24" s="525">
        <f>SUM(J25,J48)</f>
        <v>0</v>
      </c>
      <c r="K24" s="1135">
        <f>SUM(K25,K48)</f>
        <v>0</v>
      </c>
      <c r="L24" s="1010" t="e">
        <f t="shared" si="0"/>
        <v>#DIV/0!</v>
      </c>
      <c r="M24" s="2141" t="s">
        <v>597</v>
      </c>
    </row>
    <row r="25" spans="1:25" s="420" customFormat="1" ht="20.100000000000001" hidden="1" customHeight="1" thickBot="1">
      <c r="A25" s="1930"/>
      <c r="B25" s="1932"/>
      <c r="C25" s="664" t="s">
        <v>18</v>
      </c>
      <c r="D25" s="665"/>
      <c r="E25" s="528">
        <f>SUM(E26,E29,E30,E31,E46,E47)</f>
        <v>0</v>
      </c>
      <c r="F25" s="528">
        <f>SUM(F26,F29,F30,F31,F46,F47)</f>
        <v>0</v>
      </c>
      <c r="G25" s="528">
        <f>SUM(G26,G29,G30,G31,G46,G47)</f>
        <v>0</v>
      </c>
      <c r="H25" s="528">
        <f>SUM(H26,H29,H30,H31,H46,H47)</f>
        <v>0</v>
      </c>
      <c r="I25" s="1238" t="e">
        <f>H25/E25</f>
        <v>#DIV/0!</v>
      </c>
      <c r="J25" s="528">
        <f>SUM(J26,J29,J30,J31,J46,J47)</f>
        <v>0</v>
      </c>
      <c r="K25" s="1136">
        <f>SUM(K26,K29,K30,K31,K46,K47)</f>
        <v>0</v>
      </c>
      <c r="L25" s="1010" t="e">
        <f t="shared" si="0"/>
        <v>#DIV/0!</v>
      </c>
      <c r="M25" s="2142"/>
    </row>
    <row r="26" spans="1:25" s="420" customFormat="1" ht="20.100000000000001" hidden="1" customHeight="1">
      <c r="A26" s="1930"/>
      <c r="B26" s="1932"/>
      <c r="C26" s="668" t="s">
        <v>19</v>
      </c>
      <c r="D26" s="669"/>
      <c r="E26" s="513">
        <f>SUM(E27:E28)</f>
        <v>0</v>
      </c>
      <c r="F26" s="513">
        <f>SUM(F27:F28)</f>
        <v>0</v>
      </c>
      <c r="G26" s="513"/>
      <c r="H26" s="513">
        <f>SUM(H27:H28)</f>
        <v>0</v>
      </c>
      <c r="I26" s="733"/>
      <c r="J26" s="513">
        <f>SUM(J27:J28)</f>
        <v>0</v>
      </c>
      <c r="K26" s="1137">
        <f>SUM(K27:K28)</f>
        <v>0</v>
      </c>
      <c r="L26" s="1010" t="e">
        <f t="shared" si="0"/>
        <v>#DIV/0!</v>
      </c>
      <c r="M26" s="2142"/>
    </row>
    <row r="27" spans="1:25" s="420" customFormat="1" ht="20.100000000000001" hidden="1" customHeight="1">
      <c r="A27" s="1930"/>
      <c r="B27" s="1932"/>
      <c r="C27" s="668" t="s">
        <v>20</v>
      </c>
      <c r="D27" s="669"/>
      <c r="E27" s="513"/>
      <c r="F27" s="513"/>
      <c r="G27" s="513"/>
      <c r="H27" s="513"/>
      <c r="I27" s="733"/>
      <c r="J27" s="513"/>
      <c r="K27" s="1137">
        <f>H27+J27</f>
        <v>0</v>
      </c>
      <c r="L27" s="1010" t="e">
        <f t="shared" si="0"/>
        <v>#DIV/0!</v>
      </c>
      <c r="M27" s="2142"/>
    </row>
    <row r="28" spans="1:25" s="420" customFormat="1" ht="20.100000000000001" hidden="1" customHeight="1">
      <c r="A28" s="1930"/>
      <c r="B28" s="1932"/>
      <c r="C28" s="672" t="s">
        <v>21</v>
      </c>
      <c r="D28" s="673"/>
      <c r="E28" s="513"/>
      <c r="F28" s="513"/>
      <c r="G28" s="513"/>
      <c r="H28" s="513"/>
      <c r="I28" s="733"/>
      <c r="J28" s="513"/>
      <c r="K28" s="1137">
        <f>H28+J28</f>
        <v>0</v>
      </c>
      <c r="L28" s="1010" t="e">
        <f t="shared" si="0"/>
        <v>#DIV/0!</v>
      </c>
      <c r="M28" s="2142"/>
    </row>
    <row r="29" spans="1:25" s="420" customFormat="1" ht="20.100000000000001" hidden="1" customHeight="1">
      <c r="A29" s="1930"/>
      <c r="B29" s="1932"/>
      <c r="C29" s="668" t="s">
        <v>23</v>
      </c>
      <c r="D29" s="669"/>
      <c r="E29" s="513"/>
      <c r="F29" s="513"/>
      <c r="G29" s="513"/>
      <c r="H29" s="513"/>
      <c r="I29" s="733"/>
      <c r="J29" s="513"/>
      <c r="K29" s="1137">
        <f>H29+J29</f>
        <v>0</v>
      </c>
      <c r="L29" s="1010" t="e">
        <f t="shared" si="0"/>
        <v>#DIV/0!</v>
      </c>
      <c r="M29" s="2142"/>
    </row>
    <row r="30" spans="1:25" s="420" customFormat="1" ht="20.100000000000001" hidden="1" customHeight="1">
      <c r="A30" s="1930"/>
      <c r="B30" s="1932"/>
      <c r="C30" s="668" t="s">
        <v>24</v>
      </c>
      <c r="D30" s="669"/>
      <c r="E30" s="513"/>
      <c r="F30" s="513"/>
      <c r="G30" s="513"/>
      <c r="H30" s="513"/>
      <c r="I30" s="733"/>
      <c r="J30" s="513"/>
      <c r="K30" s="1137">
        <f>H30+J30</f>
        <v>0</v>
      </c>
      <c r="L30" s="1010" t="e">
        <f t="shared" si="0"/>
        <v>#DIV/0!</v>
      </c>
      <c r="M30" s="2142"/>
    </row>
    <row r="31" spans="1:25" s="420" customFormat="1" ht="20.100000000000001" hidden="1" customHeight="1">
      <c r="A31" s="1930"/>
      <c r="B31" s="1932"/>
      <c r="C31" s="1934" t="s">
        <v>25</v>
      </c>
      <c r="D31" s="669" t="s">
        <v>22</v>
      </c>
      <c r="E31" s="513">
        <f>SUM(E32:E45)</f>
        <v>0</v>
      </c>
      <c r="F31" s="513">
        <f>SUM(F32:F45)</f>
        <v>0</v>
      </c>
      <c r="G31" s="513">
        <f>SUM(G32:G45)</f>
        <v>0</v>
      </c>
      <c r="H31" s="513">
        <f>SUM(H32:H45)</f>
        <v>0</v>
      </c>
      <c r="I31" s="734" t="e">
        <f>H31/E31</f>
        <v>#DIV/0!</v>
      </c>
      <c r="J31" s="513">
        <f>SUM(J32:J45)</f>
        <v>0</v>
      </c>
      <c r="K31" s="1137">
        <f>SUM(K32:K45)</f>
        <v>0</v>
      </c>
      <c r="L31" s="1010" t="e">
        <f t="shared" si="0"/>
        <v>#DIV/0!</v>
      </c>
      <c r="M31" s="2142"/>
    </row>
    <row r="32" spans="1:25" s="420" customFormat="1" ht="20.100000000000001" hidden="1" customHeight="1">
      <c r="A32" s="1930"/>
      <c r="B32" s="1932"/>
      <c r="C32" s="1935"/>
      <c r="D32" s="674">
        <v>4018</v>
      </c>
      <c r="E32" s="502"/>
      <c r="F32" s="502"/>
      <c r="G32" s="502"/>
      <c r="H32" s="502"/>
      <c r="I32" s="735" t="e">
        <f t="shared" ref="I32:I45" si="3">H32/E32</f>
        <v>#DIV/0!</v>
      </c>
      <c r="J32" s="502"/>
      <c r="K32" s="1139">
        <f t="shared" ref="K32:K47" si="4">H32+J32</f>
        <v>0</v>
      </c>
      <c r="L32" s="1010" t="e">
        <f t="shared" si="0"/>
        <v>#DIV/0!</v>
      </c>
      <c r="M32" s="2142"/>
    </row>
    <row r="33" spans="1:13" s="420" customFormat="1" ht="20.100000000000001" hidden="1" customHeight="1">
      <c r="A33" s="1930"/>
      <c r="B33" s="1932"/>
      <c r="C33" s="1935"/>
      <c r="D33" s="674">
        <v>4019</v>
      </c>
      <c r="E33" s="502"/>
      <c r="F33" s="502"/>
      <c r="G33" s="502"/>
      <c r="H33" s="502"/>
      <c r="I33" s="735" t="e">
        <f t="shared" si="3"/>
        <v>#DIV/0!</v>
      </c>
      <c r="J33" s="502"/>
      <c r="K33" s="1139">
        <f t="shared" si="4"/>
        <v>0</v>
      </c>
      <c r="L33" s="1010" t="e">
        <f t="shared" si="0"/>
        <v>#DIV/0!</v>
      </c>
      <c r="M33" s="2142"/>
    </row>
    <row r="34" spans="1:13" s="420" customFormat="1" ht="20.100000000000001" hidden="1" customHeight="1">
      <c r="A34" s="1930"/>
      <c r="B34" s="1932"/>
      <c r="C34" s="1935"/>
      <c r="D34" s="674">
        <v>4118</v>
      </c>
      <c r="E34" s="502"/>
      <c r="F34" s="502"/>
      <c r="G34" s="502"/>
      <c r="H34" s="502"/>
      <c r="I34" s="735" t="e">
        <f t="shared" si="3"/>
        <v>#DIV/0!</v>
      </c>
      <c r="J34" s="502"/>
      <c r="K34" s="1139">
        <f t="shared" si="4"/>
        <v>0</v>
      </c>
      <c r="L34" s="1010" t="e">
        <f t="shared" si="0"/>
        <v>#DIV/0!</v>
      </c>
      <c r="M34" s="2142"/>
    </row>
    <row r="35" spans="1:13" s="420" customFormat="1" ht="20.100000000000001" hidden="1" customHeight="1">
      <c r="A35" s="1930"/>
      <c r="B35" s="1932"/>
      <c r="C35" s="1935"/>
      <c r="D35" s="674">
        <v>4119</v>
      </c>
      <c r="E35" s="502"/>
      <c r="F35" s="502"/>
      <c r="G35" s="502"/>
      <c r="H35" s="502"/>
      <c r="I35" s="735" t="e">
        <f t="shared" si="3"/>
        <v>#DIV/0!</v>
      </c>
      <c r="J35" s="502"/>
      <c r="K35" s="1139">
        <f t="shared" si="4"/>
        <v>0</v>
      </c>
      <c r="L35" s="1010" t="e">
        <f t="shared" si="0"/>
        <v>#DIV/0!</v>
      </c>
      <c r="M35" s="2142"/>
    </row>
    <row r="36" spans="1:13" s="420" customFormat="1" ht="20.100000000000001" hidden="1" customHeight="1">
      <c r="A36" s="1930"/>
      <c r="B36" s="1932"/>
      <c r="C36" s="1935"/>
      <c r="D36" s="674">
        <v>4128</v>
      </c>
      <c r="E36" s="502"/>
      <c r="F36" s="502"/>
      <c r="G36" s="502"/>
      <c r="H36" s="502"/>
      <c r="I36" s="735" t="e">
        <f t="shared" si="3"/>
        <v>#DIV/0!</v>
      </c>
      <c r="J36" s="502"/>
      <c r="K36" s="1139">
        <f t="shared" si="4"/>
        <v>0</v>
      </c>
      <c r="L36" s="1010" t="e">
        <f t="shared" si="0"/>
        <v>#DIV/0!</v>
      </c>
      <c r="M36" s="2142"/>
    </row>
    <row r="37" spans="1:13" s="420" customFormat="1" ht="20.100000000000001" hidden="1" customHeight="1">
      <c r="A37" s="1930"/>
      <c r="B37" s="1932"/>
      <c r="C37" s="1935"/>
      <c r="D37" s="674">
        <v>4129</v>
      </c>
      <c r="E37" s="502"/>
      <c r="F37" s="502"/>
      <c r="G37" s="502"/>
      <c r="H37" s="502"/>
      <c r="I37" s="735" t="e">
        <f t="shared" si="3"/>
        <v>#DIV/0!</v>
      </c>
      <c r="J37" s="502"/>
      <c r="K37" s="1139">
        <f t="shared" si="4"/>
        <v>0</v>
      </c>
      <c r="L37" s="1010" t="e">
        <f t="shared" si="0"/>
        <v>#DIV/0!</v>
      </c>
      <c r="M37" s="2142"/>
    </row>
    <row r="38" spans="1:13" s="420" customFormat="1" ht="20.100000000000001" hidden="1" customHeight="1">
      <c r="A38" s="1930"/>
      <c r="B38" s="1932"/>
      <c r="C38" s="1935"/>
      <c r="D38" s="674">
        <v>4218</v>
      </c>
      <c r="E38" s="502"/>
      <c r="F38" s="502"/>
      <c r="G38" s="502"/>
      <c r="H38" s="502"/>
      <c r="I38" s="735"/>
      <c r="J38" s="502"/>
      <c r="K38" s="1139">
        <f t="shared" si="4"/>
        <v>0</v>
      </c>
      <c r="L38" s="1010" t="e">
        <f t="shared" si="0"/>
        <v>#DIV/0!</v>
      </c>
      <c r="M38" s="2142"/>
    </row>
    <row r="39" spans="1:13" s="420" customFormat="1" ht="20.100000000000001" hidden="1" customHeight="1">
      <c r="A39" s="1930"/>
      <c r="B39" s="1932"/>
      <c r="C39" s="1935"/>
      <c r="D39" s="674">
        <v>4219</v>
      </c>
      <c r="E39" s="502"/>
      <c r="F39" s="502"/>
      <c r="G39" s="502"/>
      <c r="H39" s="502"/>
      <c r="I39" s="735"/>
      <c r="J39" s="502"/>
      <c r="K39" s="1139">
        <f t="shared" si="4"/>
        <v>0</v>
      </c>
      <c r="L39" s="1010" t="e">
        <f t="shared" si="0"/>
        <v>#DIV/0!</v>
      </c>
      <c r="M39" s="2142"/>
    </row>
    <row r="40" spans="1:13" s="420" customFormat="1" ht="20.100000000000001" hidden="1" customHeight="1">
      <c r="A40" s="1930"/>
      <c r="B40" s="1932"/>
      <c r="C40" s="1935"/>
      <c r="D40" s="674">
        <v>4308</v>
      </c>
      <c r="E40" s="502"/>
      <c r="F40" s="502"/>
      <c r="G40" s="502"/>
      <c r="H40" s="502"/>
      <c r="I40" s="735" t="e">
        <f t="shared" si="3"/>
        <v>#DIV/0!</v>
      </c>
      <c r="J40" s="502"/>
      <c r="K40" s="1139">
        <f t="shared" si="4"/>
        <v>0</v>
      </c>
      <c r="L40" s="1010" t="e">
        <f t="shared" si="0"/>
        <v>#DIV/0!</v>
      </c>
      <c r="M40" s="2142"/>
    </row>
    <row r="41" spans="1:13" s="420" customFormat="1" ht="20.100000000000001" hidden="1" customHeight="1">
      <c r="A41" s="1930"/>
      <c r="B41" s="1932"/>
      <c r="C41" s="1935"/>
      <c r="D41" s="674">
        <v>4309</v>
      </c>
      <c r="E41" s="502"/>
      <c r="F41" s="502"/>
      <c r="G41" s="502"/>
      <c r="H41" s="502"/>
      <c r="I41" s="735" t="e">
        <f t="shared" si="3"/>
        <v>#DIV/0!</v>
      </c>
      <c r="J41" s="502"/>
      <c r="K41" s="1139">
        <f t="shared" si="4"/>
        <v>0</v>
      </c>
      <c r="L41" s="1010" t="e">
        <f t="shared" si="0"/>
        <v>#DIV/0!</v>
      </c>
      <c r="M41" s="2142"/>
    </row>
    <row r="42" spans="1:13" s="420" customFormat="1" ht="20.100000000000001" hidden="1" customHeight="1">
      <c r="A42" s="1930"/>
      <c r="B42" s="1932"/>
      <c r="C42" s="1935"/>
      <c r="D42" s="674">
        <v>4418</v>
      </c>
      <c r="E42" s="502"/>
      <c r="F42" s="502"/>
      <c r="G42" s="502"/>
      <c r="H42" s="502"/>
      <c r="I42" s="735" t="e">
        <f t="shared" si="3"/>
        <v>#DIV/0!</v>
      </c>
      <c r="J42" s="502"/>
      <c r="K42" s="1139">
        <f t="shared" si="4"/>
        <v>0</v>
      </c>
      <c r="L42" s="1010" t="e">
        <f t="shared" si="0"/>
        <v>#DIV/0!</v>
      </c>
      <c r="M42" s="2142"/>
    </row>
    <row r="43" spans="1:13" s="420" customFormat="1" ht="20.100000000000001" hidden="1" customHeight="1">
      <c r="A43" s="1930"/>
      <c r="B43" s="1932"/>
      <c r="C43" s="1935"/>
      <c r="D43" s="674">
        <v>4419</v>
      </c>
      <c r="E43" s="502"/>
      <c r="F43" s="502"/>
      <c r="G43" s="502"/>
      <c r="H43" s="502"/>
      <c r="I43" s="735" t="e">
        <f t="shared" si="3"/>
        <v>#DIV/0!</v>
      </c>
      <c r="J43" s="502"/>
      <c r="K43" s="1139">
        <f t="shared" si="4"/>
        <v>0</v>
      </c>
      <c r="L43" s="1010" t="e">
        <f t="shared" si="0"/>
        <v>#DIV/0!</v>
      </c>
      <c r="M43" s="2142"/>
    </row>
    <row r="44" spans="1:13" s="420" customFormat="1" ht="20.100000000000001" hidden="1" customHeight="1">
      <c r="A44" s="1930"/>
      <c r="B44" s="1932"/>
      <c r="C44" s="1935"/>
      <c r="D44" s="674">
        <v>4428</v>
      </c>
      <c r="E44" s="502"/>
      <c r="F44" s="502"/>
      <c r="G44" s="502"/>
      <c r="H44" s="502"/>
      <c r="I44" s="735" t="e">
        <f t="shared" si="3"/>
        <v>#DIV/0!</v>
      </c>
      <c r="J44" s="502"/>
      <c r="K44" s="1139">
        <f t="shared" si="4"/>
        <v>0</v>
      </c>
      <c r="L44" s="1010" t="e">
        <f t="shared" si="0"/>
        <v>#DIV/0!</v>
      </c>
      <c r="M44" s="2142"/>
    </row>
    <row r="45" spans="1:13" s="420" customFormat="1" ht="20.100000000000001" hidden="1" customHeight="1">
      <c r="A45" s="1930"/>
      <c r="B45" s="1932"/>
      <c r="C45" s="2118"/>
      <c r="D45" s="690">
        <v>4429</v>
      </c>
      <c r="E45" s="502"/>
      <c r="F45" s="502"/>
      <c r="G45" s="502"/>
      <c r="H45" s="502"/>
      <c r="I45" s="735" t="e">
        <f t="shared" si="3"/>
        <v>#DIV/0!</v>
      </c>
      <c r="J45" s="502"/>
      <c r="K45" s="1139">
        <f t="shared" si="4"/>
        <v>0</v>
      </c>
      <c r="L45" s="1010" t="e">
        <f t="shared" si="0"/>
        <v>#DIV/0!</v>
      </c>
      <c r="M45" s="2142"/>
    </row>
    <row r="46" spans="1:13" s="420" customFormat="1" ht="20.100000000000001" hidden="1" customHeight="1">
      <c r="A46" s="1930"/>
      <c r="B46" s="1932"/>
      <c r="C46" s="668" t="s">
        <v>26</v>
      </c>
      <c r="D46" s="669"/>
      <c r="E46" s="513"/>
      <c r="F46" s="513"/>
      <c r="G46" s="513"/>
      <c r="H46" s="513"/>
      <c r="I46" s="733"/>
      <c r="J46" s="513"/>
      <c r="K46" s="1137">
        <f t="shared" si="4"/>
        <v>0</v>
      </c>
      <c r="L46" s="1010" t="e">
        <f t="shared" si="0"/>
        <v>#DIV/0!</v>
      </c>
      <c r="M46" s="2142"/>
    </row>
    <row r="47" spans="1:13" s="420" customFormat="1" ht="20.100000000000001" hidden="1" customHeight="1">
      <c r="A47" s="1930"/>
      <c r="B47" s="1932"/>
      <c r="C47" s="668" t="s">
        <v>27</v>
      </c>
      <c r="D47" s="669"/>
      <c r="E47" s="513"/>
      <c r="F47" s="513"/>
      <c r="G47" s="513"/>
      <c r="H47" s="513"/>
      <c r="I47" s="733"/>
      <c r="J47" s="513"/>
      <c r="K47" s="1137">
        <f t="shared" si="4"/>
        <v>0</v>
      </c>
      <c r="L47" s="1010" t="e">
        <f t="shared" si="0"/>
        <v>#DIV/0!</v>
      </c>
      <c r="M47" s="2142"/>
    </row>
    <row r="48" spans="1:13" s="420" customFormat="1" ht="20.100000000000001" hidden="1" customHeight="1">
      <c r="A48" s="1930"/>
      <c r="B48" s="1932"/>
      <c r="C48" s="676" t="s">
        <v>28</v>
      </c>
      <c r="D48" s="677"/>
      <c r="E48" s="528">
        <f>SUM(E49,E51,E52)</f>
        <v>0</v>
      </c>
      <c r="F48" s="528">
        <f>SUM(F49,F51,F52)</f>
        <v>0</v>
      </c>
      <c r="G48" s="528"/>
      <c r="H48" s="528">
        <f>SUM(H49,H51,H52)</f>
        <v>0</v>
      </c>
      <c r="I48" s="733"/>
      <c r="J48" s="528">
        <f>SUM(J49,J51,J52)</f>
        <v>0</v>
      </c>
      <c r="K48" s="1136">
        <f>SUM(K49,K51,K52)</f>
        <v>0</v>
      </c>
      <c r="L48" s="1010" t="e">
        <f t="shared" si="0"/>
        <v>#DIV/0!</v>
      </c>
      <c r="M48" s="2142"/>
    </row>
    <row r="49" spans="1:13" s="420" customFormat="1" ht="20.100000000000001" hidden="1" customHeight="1">
      <c r="A49" s="1930"/>
      <c r="B49" s="1932"/>
      <c r="C49" s="668" t="s">
        <v>29</v>
      </c>
      <c r="D49" s="669"/>
      <c r="E49" s="513"/>
      <c r="F49" s="513"/>
      <c r="G49" s="513"/>
      <c r="H49" s="513"/>
      <c r="I49" s="733"/>
      <c r="J49" s="513"/>
      <c r="K49" s="1137">
        <f>H49+J49</f>
        <v>0</v>
      </c>
      <c r="L49" s="1010" t="e">
        <f t="shared" si="0"/>
        <v>#DIV/0!</v>
      </c>
      <c r="M49" s="2142"/>
    </row>
    <row r="50" spans="1:13" s="420" customFormat="1" ht="22.5" hidden="1">
      <c r="A50" s="1930"/>
      <c r="B50" s="1932"/>
      <c r="C50" s="672" t="s">
        <v>30</v>
      </c>
      <c r="D50" s="673"/>
      <c r="E50" s="513"/>
      <c r="F50" s="513"/>
      <c r="G50" s="513"/>
      <c r="H50" s="513"/>
      <c r="I50" s="733"/>
      <c r="J50" s="513"/>
      <c r="K50" s="1137">
        <f>H50+J50</f>
        <v>0</v>
      </c>
      <c r="L50" s="1010" t="e">
        <f t="shared" si="0"/>
        <v>#DIV/0!</v>
      </c>
      <c r="M50" s="2142"/>
    </row>
    <row r="51" spans="1:13" s="420" customFormat="1" ht="20.100000000000001" hidden="1" customHeight="1">
      <c r="A51" s="1930"/>
      <c r="B51" s="1932"/>
      <c r="C51" s="668" t="s">
        <v>31</v>
      </c>
      <c r="D51" s="669"/>
      <c r="E51" s="513"/>
      <c r="F51" s="513"/>
      <c r="G51" s="513"/>
      <c r="H51" s="513"/>
      <c r="I51" s="733"/>
      <c r="J51" s="513"/>
      <c r="K51" s="1137">
        <f>H51+J51</f>
        <v>0</v>
      </c>
      <c r="L51" s="1010" t="e">
        <f t="shared" si="0"/>
        <v>#DIV/0!</v>
      </c>
      <c r="M51" s="2142"/>
    </row>
    <row r="52" spans="1:13" s="420" customFormat="1" ht="20.100000000000001" hidden="1" customHeight="1">
      <c r="A52" s="2119"/>
      <c r="B52" s="1932"/>
      <c r="C52" s="668" t="s">
        <v>32</v>
      </c>
      <c r="D52" s="669"/>
      <c r="E52" s="528"/>
      <c r="F52" s="528"/>
      <c r="G52" s="528"/>
      <c r="H52" s="528"/>
      <c r="I52" s="733"/>
      <c r="J52" s="528"/>
      <c r="K52" s="1137">
        <f>H52+J52</f>
        <v>0</v>
      </c>
      <c r="L52" s="1010" t="e">
        <f t="shared" si="0"/>
        <v>#DIV/0!</v>
      </c>
      <c r="M52" s="2143"/>
    </row>
    <row r="53" spans="1:13" s="420" customFormat="1" ht="20.100000000000001" customHeight="1">
      <c r="A53" s="1929"/>
      <c r="B53" s="1932" t="s">
        <v>121</v>
      </c>
      <c r="C53" s="660" t="s">
        <v>17</v>
      </c>
      <c r="D53" s="661"/>
      <c r="E53" s="525">
        <f>SUM(E54,E65)</f>
        <v>3116709</v>
      </c>
      <c r="F53" s="525">
        <f>SUM(F54,F65)</f>
        <v>0</v>
      </c>
      <c r="G53" s="525"/>
      <c r="H53" s="525">
        <f>SUM(H54,H65)</f>
        <v>0</v>
      </c>
      <c r="I53" s="1208">
        <f>H53/E53</f>
        <v>0</v>
      </c>
      <c r="J53" s="525">
        <f>SUM(J54,J65)</f>
        <v>0</v>
      </c>
      <c r="K53" s="1135">
        <f>SUM(K54,K65)</f>
        <v>0</v>
      </c>
      <c r="L53" s="1230">
        <f t="shared" si="0"/>
        <v>0</v>
      </c>
      <c r="M53" s="2120"/>
    </row>
    <row r="54" spans="1:13" s="420" customFormat="1" ht="14.1" customHeight="1">
      <c r="A54" s="1930"/>
      <c r="B54" s="1932"/>
      <c r="C54" s="664" t="s">
        <v>18</v>
      </c>
      <c r="D54" s="665"/>
      <c r="E54" s="528">
        <f>SUM(E55,E58,E59,E60,E63,E64)</f>
        <v>3116709</v>
      </c>
      <c r="F54" s="528">
        <f>SUM(F55,F58,F59,F60,F63,F64)</f>
        <v>0</v>
      </c>
      <c r="G54" s="528">
        <f>SUM(G55,G58,G59,G60,G63,G64)</f>
        <v>0</v>
      </c>
      <c r="H54" s="528">
        <f>SUM(H55,H58,H59,H60,H63,H64)</f>
        <v>0</v>
      </c>
      <c r="I54" s="1239">
        <f>H54/E54</f>
        <v>0</v>
      </c>
      <c r="J54" s="528">
        <f>SUM(J55,J58,J59,J60,J63,J64)</f>
        <v>0</v>
      </c>
      <c r="K54" s="1136">
        <f>SUM(K55,K58,K59,K60,K63,K64)</f>
        <v>0</v>
      </c>
      <c r="L54" s="1233">
        <f t="shared" si="0"/>
        <v>0</v>
      </c>
      <c r="M54" s="2121"/>
    </row>
    <row r="55" spans="1:13" s="420" customFormat="1" ht="14.1" customHeight="1">
      <c r="A55" s="1930"/>
      <c r="B55" s="1932"/>
      <c r="C55" s="668" t="s">
        <v>19</v>
      </c>
      <c r="D55" s="669"/>
      <c r="E55" s="513"/>
      <c r="F55" s="513"/>
      <c r="G55" s="513"/>
      <c r="H55" s="513">
        <f>SUM(H56:H57)</f>
        <v>0</v>
      </c>
      <c r="I55" s="808"/>
      <c r="J55" s="513">
        <f>SUM(J56:J57)</f>
        <v>0</v>
      </c>
      <c r="K55" s="1137"/>
      <c r="L55" s="1233"/>
      <c r="M55" s="2121"/>
    </row>
    <row r="56" spans="1:13" s="420" customFormat="1" ht="14.1" customHeight="1">
      <c r="A56" s="1930"/>
      <c r="B56" s="1932"/>
      <c r="C56" s="668" t="s">
        <v>20</v>
      </c>
      <c r="D56" s="669"/>
      <c r="E56" s="513"/>
      <c r="F56" s="513"/>
      <c r="G56" s="513"/>
      <c r="H56" s="513"/>
      <c r="I56" s="808"/>
      <c r="J56" s="513"/>
      <c r="K56" s="1137"/>
      <c r="L56" s="1233"/>
      <c r="M56" s="2121"/>
    </row>
    <row r="57" spans="1:13" s="420" customFormat="1" ht="14.1" customHeight="1">
      <c r="A57" s="1930"/>
      <c r="B57" s="1932"/>
      <c r="C57" s="672" t="s">
        <v>21</v>
      </c>
      <c r="D57" s="673"/>
      <c r="E57" s="513"/>
      <c r="F57" s="513"/>
      <c r="G57" s="513"/>
      <c r="H57" s="513"/>
      <c r="I57" s="808"/>
      <c r="J57" s="513"/>
      <c r="K57" s="1137"/>
      <c r="L57" s="1233"/>
      <c r="M57" s="2121"/>
    </row>
    <row r="58" spans="1:13" s="420" customFormat="1" ht="14.1" customHeight="1">
      <c r="A58" s="1930"/>
      <c r="B58" s="1932"/>
      <c r="C58" s="668" t="s">
        <v>23</v>
      </c>
      <c r="D58" s="669"/>
      <c r="E58" s="513"/>
      <c r="F58" s="513"/>
      <c r="G58" s="513"/>
      <c r="H58" s="513"/>
      <c r="I58" s="808"/>
      <c r="J58" s="513"/>
      <c r="K58" s="1137"/>
      <c r="L58" s="1233"/>
      <c r="M58" s="2121"/>
    </row>
    <row r="59" spans="1:13" s="420" customFormat="1" ht="14.1" customHeight="1">
      <c r="A59" s="1930"/>
      <c r="B59" s="1932"/>
      <c r="C59" s="668" t="s">
        <v>24</v>
      </c>
      <c r="D59" s="669"/>
      <c r="E59" s="513"/>
      <c r="F59" s="513"/>
      <c r="G59" s="513"/>
      <c r="H59" s="513"/>
      <c r="I59" s="808"/>
      <c r="J59" s="513"/>
      <c r="K59" s="1137"/>
      <c r="L59" s="1233"/>
      <c r="M59" s="2121"/>
    </row>
    <row r="60" spans="1:13" s="420" customFormat="1" ht="14.1" customHeight="1">
      <c r="A60" s="1930"/>
      <c r="B60" s="1932"/>
      <c r="C60" s="1934" t="s">
        <v>25</v>
      </c>
      <c r="D60" s="669" t="s">
        <v>22</v>
      </c>
      <c r="E60" s="513">
        <f>SUM(E61:E62)</f>
        <v>3116709</v>
      </c>
      <c r="F60" s="513">
        <f>SUM(F61:F62)</f>
        <v>0</v>
      </c>
      <c r="G60" s="513">
        <f>SUM(G61:G62)</f>
        <v>0</v>
      </c>
      <c r="H60" s="513">
        <f>SUM(H61:H62)</f>
        <v>0</v>
      </c>
      <c r="I60" s="1149">
        <f>H60/E60</f>
        <v>0</v>
      </c>
      <c r="J60" s="513">
        <f>SUM(J61:J62)</f>
        <v>0</v>
      </c>
      <c r="K60" s="1137">
        <f>SUM(K61:K62)</f>
        <v>0</v>
      </c>
      <c r="L60" s="1233">
        <f t="shared" si="0"/>
        <v>0</v>
      </c>
      <c r="M60" s="2121"/>
    </row>
    <row r="61" spans="1:13" s="420" customFormat="1" ht="14.1" customHeight="1">
      <c r="A61" s="1930"/>
      <c r="B61" s="1932"/>
      <c r="C61" s="1935"/>
      <c r="D61" s="674">
        <v>4305</v>
      </c>
      <c r="E61" s="502">
        <v>3030369</v>
      </c>
      <c r="F61" s="502">
        <v>0</v>
      </c>
      <c r="G61" s="502"/>
      <c r="H61" s="502">
        <v>0</v>
      </c>
      <c r="I61" s="1149">
        <f t="shared" ref="I61:I62" si="5">H61/E61</f>
        <v>0</v>
      </c>
      <c r="J61" s="502"/>
      <c r="K61" s="1139">
        <f t="shared" ref="K61:K62" si="6">H61+J61</f>
        <v>0</v>
      </c>
      <c r="L61" s="1233">
        <f t="shared" si="0"/>
        <v>0</v>
      </c>
      <c r="M61" s="2121"/>
    </row>
    <row r="62" spans="1:13" s="420" customFormat="1" ht="14.1" customHeight="1">
      <c r="A62" s="1930"/>
      <c r="B62" s="1932"/>
      <c r="C62" s="1935"/>
      <c r="D62" s="674">
        <v>4306</v>
      </c>
      <c r="E62" s="502">
        <v>86340</v>
      </c>
      <c r="F62" s="502">
        <v>0</v>
      </c>
      <c r="G62" s="502"/>
      <c r="H62" s="502">
        <v>0</v>
      </c>
      <c r="I62" s="1149">
        <f t="shared" si="5"/>
        <v>0</v>
      </c>
      <c r="J62" s="502"/>
      <c r="K62" s="1139">
        <f t="shared" si="6"/>
        <v>0</v>
      </c>
      <c r="L62" s="1233">
        <f t="shared" si="0"/>
        <v>0</v>
      </c>
      <c r="M62" s="2121"/>
    </row>
    <row r="63" spans="1:13" s="420" customFormat="1" ht="14.1" customHeight="1">
      <c r="A63" s="1930"/>
      <c r="B63" s="1932"/>
      <c r="C63" s="668" t="s">
        <v>26</v>
      </c>
      <c r="D63" s="669"/>
      <c r="E63" s="513"/>
      <c r="F63" s="513"/>
      <c r="G63" s="513"/>
      <c r="H63" s="513"/>
      <c r="I63" s="808"/>
      <c r="J63" s="513"/>
      <c r="K63" s="1137"/>
      <c r="L63" s="1233"/>
      <c r="M63" s="2121"/>
    </row>
    <row r="64" spans="1:13" s="420" customFormat="1" ht="14.1" customHeight="1">
      <c r="A64" s="1930"/>
      <c r="B64" s="1932"/>
      <c r="C64" s="668" t="s">
        <v>27</v>
      </c>
      <c r="D64" s="669"/>
      <c r="E64" s="513"/>
      <c r="F64" s="513"/>
      <c r="G64" s="513"/>
      <c r="H64" s="513"/>
      <c r="I64" s="808"/>
      <c r="J64" s="513"/>
      <c r="K64" s="1137"/>
      <c r="L64" s="1233"/>
      <c r="M64" s="2121"/>
    </row>
    <row r="65" spans="1:25" s="420" customFormat="1" ht="14.1" customHeight="1">
      <c r="A65" s="1930"/>
      <c r="B65" s="1932"/>
      <c r="C65" s="676" t="s">
        <v>28</v>
      </c>
      <c r="D65" s="677"/>
      <c r="E65" s="528">
        <f>SUM(E66,E68,E69)</f>
        <v>0</v>
      </c>
      <c r="F65" s="528">
        <f>SUM(F66,F68,F69)</f>
        <v>0</v>
      </c>
      <c r="G65" s="528"/>
      <c r="H65" s="528">
        <f>SUM(H66,H68,H69)</f>
        <v>0</v>
      </c>
      <c r="I65" s="808"/>
      <c r="J65" s="528">
        <f>SUM(J66,J68,J69)</f>
        <v>0</v>
      </c>
      <c r="K65" s="1136">
        <f>SUM(K66,K68,K69)</f>
        <v>0</v>
      </c>
      <c r="L65" s="1233"/>
      <c r="M65" s="2121"/>
    </row>
    <row r="66" spans="1:25" s="420" customFormat="1" ht="14.1" customHeight="1">
      <c r="A66" s="1930"/>
      <c r="B66" s="1932"/>
      <c r="C66" s="668" t="s">
        <v>29</v>
      </c>
      <c r="D66" s="669"/>
      <c r="E66" s="513"/>
      <c r="F66" s="513"/>
      <c r="G66" s="513"/>
      <c r="H66" s="513"/>
      <c r="I66" s="1149"/>
      <c r="J66" s="513"/>
      <c r="K66" s="1137"/>
      <c r="L66" s="1233"/>
      <c r="M66" s="2121"/>
    </row>
    <row r="67" spans="1:25" s="420" customFormat="1" ht="22.5">
      <c r="A67" s="1930"/>
      <c r="B67" s="1932"/>
      <c r="C67" s="672" t="s">
        <v>30</v>
      </c>
      <c r="D67" s="673"/>
      <c r="E67" s="513"/>
      <c r="F67" s="513"/>
      <c r="G67" s="513"/>
      <c r="H67" s="513"/>
      <c r="I67" s="808"/>
      <c r="J67" s="513"/>
      <c r="K67" s="1137"/>
      <c r="L67" s="1233"/>
      <c r="M67" s="2121"/>
    </row>
    <row r="68" spans="1:25" s="420" customFormat="1" ht="14.1" customHeight="1">
      <c r="A68" s="1930"/>
      <c r="B68" s="1932"/>
      <c r="C68" s="668" t="s">
        <v>31</v>
      </c>
      <c r="D68" s="669"/>
      <c r="E68" s="513"/>
      <c r="F68" s="513"/>
      <c r="G68" s="513"/>
      <c r="H68" s="513"/>
      <c r="I68" s="808"/>
      <c r="J68" s="513"/>
      <c r="K68" s="1137"/>
      <c r="L68" s="1233"/>
      <c r="M68" s="2121"/>
    </row>
    <row r="69" spans="1:25" s="420" customFormat="1" ht="14.1" customHeight="1" thickBot="1">
      <c r="A69" s="1931"/>
      <c r="B69" s="1933"/>
      <c r="C69" s="679" t="s">
        <v>32</v>
      </c>
      <c r="D69" s="680"/>
      <c r="E69" s="683"/>
      <c r="F69" s="683"/>
      <c r="G69" s="683"/>
      <c r="H69" s="683"/>
      <c r="I69" s="1153"/>
      <c r="J69" s="683"/>
      <c r="K69" s="627"/>
      <c r="L69" s="1233"/>
      <c r="M69" s="2123"/>
    </row>
    <row r="70" spans="1:25" s="640" customFormat="1" ht="20.100000000000001" customHeight="1">
      <c r="A70" s="392" t="s">
        <v>217</v>
      </c>
      <c r="B70" s="393"/>
      <c r="C70" s="812" t="s">
        <v>218</v>
      </c>
      <c r="D70" s="393"/>
      <c r="E70" s="395">
        <f>SUM(E71)</f>
        <v>120000</v>
      </c>
      <c r="F70" s="395">
        <f>SUM(F71)</f>
        <v>120000</v>
      </c>
      <c r="G70" s="395"/>
      <c r="H70" s="395">
        <f>SUM(H71)</f>
        <v>0</v>
      </c>
      <c r="I70" s="396">
        <f>H70/E70</f>
        <v>0</v>
      </c>
      <c r="J70" s="395">
        <f>SUM(J71)</f>
        <v>0</v>
      </c>
      <c r="K70" s="1151">
        <f>SUM(K71)</f>
        <v>0</v>
      </c>
      <c r="L70" s="1010">
        <f t="shared" ref="L70:L156" si="7">K70/E70</f>
        <v>0</v>
      </c>
      <c r="M70" s="1152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</row>
    <row r="71" spans="1:25" s="640" customFormat="1" ht="20.100000000000001" customHeight="1">
      <c r="A71" s="1929"/>
      <c r="B71" s="1932" t="s">
        <v>225</v>
      </c>
      <c r="C71" s="660" t="s">
        <v>17</v>
      </c>
      <c r="D71" s="661"/>
      <c r="E71" s="525">
        <f>SUM(E72,E95)</f>
        <v>120000</v>
      </c>
      <c r="F71" s="525">
        <f>SUM(F72,F95)</f>
        <v>120000</v>
      </c>
      <c r="G71" s="525"/>
      <c r="H71" s="525">
        <f>SUM(H72,H95)</f>
        <v>0</v>
      </c>
      <c r="I71" s="1208">
        <f>H71/E71</f>
        <v>0</v>
      </c>
      <c r="J71" s="525">
        <f>SUM(J72,J95)</f>
        <v>0</v>
      </c>
      <c r="K71" s="1135">
        <f>SUM(K72,K95)</f>
        <v>0</v>
      </c>
      <c r="L71" s="1230">
        <f t="shared" si="7"/>
        <v>0</v>
      </c>
      <c r="M71" s="21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</row>
    <row r="72" spans="1:25" s="640" customFormat="1" ht="14.1" customHeight="1">
      <c r="A72" s="1930"/>
      <c r="B72" s="1932"/>
      <c r="C72" s="664" t="s">
        <v>18</v>
      </c>
      <c r="D72" s="665"/>
      <c r="E72" s="528">
        <f>SUM(E73,E76,E77,E78,E93,E94)</f>
        <v>120000</v>
      </c>
      <c r="F72" s="528">
        <f>SUM(F73,F76,F77,F78,F93,F94)</f>
        <v>120000</v>
      </c>
      <c r="G72" s="528"/>
      <c r="H72" s="528">
        <f>SUM(H73,H76,H77,H78,H93,H94)</f>
        <v>0</v>
      </c>
      <c r="I72" s="808">
        <f>H72/E72</f>
        <v>0</v>
      </c>
      <c r="J72" s="528">
        <f>SUM(J73,J76,J77,J78,J93,J94)</f>
        <v>0</v>
      </c>
      <c r="K72" s="1136">
        <f>SUM(K73,K76,K77,K78,K93,K94)</f>
        <v>0</v>
      </c>
      <c r="L72" s="1233">
        <f t="shared" si="7"/>
        <v>0</v>
      </c>
      <c r="M72" s="2121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</row>
    <row r="73" spans="1:25" s="640" customFormat="1" ht="14.1" customHeight="1">
      <c r="A73" s="1930"/>
      <c r="B73" s="1932"/>
      <c r="C73" s="668" t="s">
        <v>19</v>
      </c>
      <c r="D73" s="669"/>
      <c r="E73" s="513"/>
      <c r="F73" s="513"/>
      <c r="G73" s="513"/>
      <c r="H73" s="513">
        <f>SUM(H74:H75)</f>
        <v>0</v>
      </c>
      <c r="I73" s="809"/>
      <c r="J73" s="513">
        <f>SUM(J74:J75)</f>
        <v>0</v>
      </c>
      <c r="K73" s="1137"/>
      <c r="L73" s="1233"/>
      <c r="M73" s="2121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</row>
    <row r="74" spans="1:25" s="640" customFormat="1" ht="14.1" customHeight="1">
      <c r="A74" s="1930"/>
      <c r="B74" s="1932"/>
      <c r="C74" s="668" t="s">
        <v>20</v>
      </c>
      <c r="D74" s="669"/>
      <c r="E74" s="513"/>
      <c r="F74" s="513"/>
      <c r="G74" s="513"/>
      <c r="H74" s="513"/>
      <c r="I74" s="809"/>
      <c r="J74" s="513"/>
      <c r="K74" s="1137"/>
      <c r="L74" s="1233"/>
      <c r="M74" s="2121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</row>
    <row r="75" spans="1:25" s="640" customFormat="1" ht="14.1" customHeight="1">
      <c r="A75" s="1930"/>
      <c r="B75" s="1932"/>
      <c r="C75" s="672" t="s">
        <v>21</v>
      </c>
      <c r="D75" s="673"/>
      <c r="E75" s="513"/>
      <c r="F75" s="513"/>
      <c r="G75" s="513"/>
      <c r="H75" s="513"/>
      <c r="I75" s="809"/>
      <c r="J75" s="513"/>
      <c r="K75" s="1137"/>
      <c r="L75" s="1233"/>
      <c r="M75" s="2121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</row>
    <row r="76" spans="1:25" s="640" customFormat="1" ht="14.1" customHeight="1">
      <c r="A76" s="1930"/>
      <c r="B76" s="1932"/>
      <c r="C76" s="668" t="s">
        <v>23</v>
      </c>
      <c r="D76" s="669"/>
      <c r="E76" s="513"/>
      <c r="F76" s="513"/>
      <c r="G76" s="513"/>
      <c r="H76" s="513"/>
      <c r="I76" s="809"/>
      <c r="J76" s="513"/>
      <c r="K76" s="1137"/>
      <c r="L76" s="1233"/>
      <c r="M76" s="2121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</row>
    <row r="77" spans="1:25" s="640" customFormat="1" ht="14.1" customHeight="1">
      <c r="A77" s="1930"/>
      <c r="B77" s="1932"/>
      <c r="C77" s="668" t="s">
        <v>24</v>
      </c>
      <c r="D77" s="669"/>
      <c r="E77" s="513"/>
      <c r="F77" s="513"/>
      <c r="G77" s="513"/>
      <c r="H77" s="513"/>
      <c r="I77" s="809"/>
      <c r="J77" s="513"/>
      <c r="K77" s="1137"/>
      <c r="L77" s="1233"/>
      <c r="M77" s="2121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</row>
    <row r="78" spans="1:25" s="640" customFormat="1" ht="14.1" customHeight="1">
      <c r="A78" s="1930"/>
      <c r="B78" s="1932"/>
      <c r="C78" s="1934" t="s">
        <v>25</v>
      </c>
      <c r="D78" s="669" t="s">
        <v>22</v>
      </c>
      <c r="E78" s="513">
        <f>SUM(E79:E92)</f>
        <v>120000</v>
      </c>
      <c r="F78" s="513">
        <f>SUM(F79:F92)</f>
        <v>120000</v>
      </c>
      <c r="G78" s="513">
        <f>SUM(G79:G92)</f>
        <v>0</v>
      </c>
      <c r="H78" s="513">
        <f>SUM(H79:H92)</f>
        <v>0</v>
      </c>
      <c r="I78" s="1149">
        <f>H78/E78</f>
        <v>0</v>
      </c>
      <c r="J78" s="513">
        <f>SUM(J79:J92)</f>
        <v>0</v>
      </c>
      <c r="K78" s="1137">
        <f>SUM(K79:K92)</f>
        <v>0</v>
      </c>
      <c r="L78" s="1233">
        <f t="shared" si="7"/>
        <v>0</v>
      </c>
      <c r="M78" s="2121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</row>
    <row r="79" spans="1:25" s="640" customFormat="1" ht="14.1" customHeight="1">
      <c r="A79" s="1930"/>
      <c r="B79" s="1932"/>
      <c r="C79" s="1935"/>
      <c r="D79" s="674">
        <v>4018</v>
      </c>
      <c r="E79" s="502">
        <v>14209</v>
      </c>
      <c r="F79" s="502">
        <v>19182</v>
      </c>
      <c r="G79" s="502"/>
      <c r="H79" s="502">
        <v>0</v>
      </c>
      <c r="I79" s="1138">
        <f t="shared" ref="I79:I92" si="8">H79/E79</f>
        <v>0</v>
      </c>
      <c r="J79" s="502"/>
      <c r="K79" s="1139">
        <f t="shared" ref="K79:K92" si="9">H79+J79</f>
        <v>0</v>
      </c>
      <c r="L79" s="1233">
        <f t="shared" si="7"/>
        <v>0</v>
      </c>
      <c r="M79" s="2121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</row>
    <row r="80" spans="1:25" s="640" customFormat="1" ht="14.1" customHeight="1">
      <c r="A80" s="1930"/>
      <c r="B80" s="1932"/>
      <c r="C80" s="1935"/>
      <c r="D80" s="674">
        <v>4019</v>
      </c>
      <c r="E80" s="502">
        <v>2508</v>
      </c>
      <c r="F80" s="502">
        <v>3386</v>
      </c>
      <c r="G80" s="502"/>
      <c r="H80" s="502">
        <v>0</v>
      </c>
      <c r="I80" s="1138">
        <f t="shared" si="8"/>
        <v>0</v>
      </c>
      <c r="J80" s="502"/>
      <c r="K80" s="1139">
        <f t="shared" si="9"/>
        <v>0</v>
      </c>
      <c r="L80" s="1233">
        <f t="shared" si="7"/>
        <v>0</v>
      </c>
      <c r="M80" s="2121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1" spans="1:25" s="640" customFormat="1" ht="14.1" customHeight="1">
      <c r="A81" s="1930"/>
      <c r="B81" s="1932"/>
      <c r="C81" s="1935"/>
      <c r="D81" s="674">
        <v>4118</v>
      </c>
      <c r="E81" s="502">
        <v>2443</v>
      </c>
      <c r="F81" s="502">
        <v>3298</v>
      </c>
      <c r="G81" s="502"/>
      <c r="H81" s="502">
        <v>0</v>
      </c>
      <c r="I81" s="1138">
        <f t="shared" si="8"/>
        <v>0</v>
      </c>
      <c r="J81" s="502"/>
      <c r="K81" s="1139">
        <f t="shared" si="9"/>
        <v>0</v>
      </c>
      <c r="L81" s="1233">
        <f t="shared" si="7"/>
        <v>0</v>
      </c>
      <c r="M81" s="2121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</row>
    <row r="82" spans="1:25" s="640" customFormat="1" ht="14.1" customHeight="1">
      <c r="A82" s="1930"/>
      <c r="B82" s="1932"/>
      <c r="C82" s="1935"/>
      <c r="D82" s="674">
        <v>4119</v>
      </c>
      <c r="E82" s="502">
        <v>431</v>
      </c>
      <c r="F82" s="502">
        <v>582</v>
      </c>
      <c r="G82" s="502"/>
      <c r="H82" s="502">
        <v>0</v>
      </c>
      <c r="I82" s="1138">
        <f t="shared" si="8"/>
        <v>0</v>
      </c>
      <c r="J82" s="502"/>
      <c r="K82" s="1139">
        <f t="shared" si="9"/>
        <v>0</v>
      </c>
      <c r="L82" s="1233">
        <f t="shared" si="7"/>
        <v>0</v>
      </c>
      <c r="M82" s="2121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</row>
    <row r="83" spans="1:25" s="640" customFormat="1" ht="14.1" customHeight="1">
      <c r="A83" s="1930"/>
      <c r="B83" s="1932"/>
      <c r="C83" s="1935"/>
      <c r="D83" s="674">
        <v>4128</v>
      </c>
      <c r="E83" s="502">
        <v>348</v>
      </c>
      <c r="F83" s="502">
        <v>470</v>
      </c>
      <c r="G83" s="502"/>
      <c r="H83" s="502">
        <v>0</v>
      </c>
      <c r="I83" s="1138">
        <f t="shared" si="8"/>
        <v>0</v>
      </c>
      <c r="J83" s="502"/>
      <c r="K83" s="1139">
        <f t="shared" si="9"/>
        <v>0</v>
      </c>
      <c r="L83" s="1233">
        <f t="shared" si="7"/>
        <v>0</v>
      </c>
      <c r="M83" s="2121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</row>
    <row r="84" spans="1:25" s="640" customFormat="1" ht="14.1" customHeight="1">
      <c r="A84" s="1930"/>
      <c r="B84" s="1932"/>
      <c r="C84" s="1935"/>
      <c r="D84" s="674">
        <v>4129</v>
      </c>
      <c r="E84" s="502">
        <v>61</v>
      </c>
      <c r="F84" s="502">
        <v>82</v>
      </c>
      <c r="G84" s="502"/>
      <c r="H84" s="502">
        <v>0</v>
      </c>
      <c r="I84" s="1138">
        <f t="shared" si="8"/>
        <v>0</v>
      </c>
      <c r="J84" s="502"/>
      <c r="K84" s="1139">
        <f t="shared" si="9"/>
        <v>0</v>
      </c>
      <c r="L84" s="1233">
        <f t="shared" si="7"/>
        <v>0</v>
      </c>
      <c r="M84" s="2121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</row>
    <row r="85" spans="1:25" s="640" customFormat="1" ht="14.1" customHeight="1">
      <c r="A85" s="1930"/>
      <c r="B85" s="1932"/>
      <c r="C85" s="1935"/>
      <c r="D85" s="674">
        <v>4218</v>
      </c>
      <c r="E85" s="502">
        <v>1700</v>
      </c>
      <c r="F85" s="502">
        <v>0</v>
      </c>
      <c r="G85" s="502"/>
      <c r="H85" s="502">
        <v>0</v>
      </c>
      <c r="I85" s="1138">
        <f t="shared" si="8"/>
        <v>0</v>
      </c>
      <c r="J85" s="502"/>
      <c r="K85" s="1139">
        <f t="shared" si="9"/>
        <v>0</v>
      </c>
      <c r="L85" s="1233">
        <f t="shared" si="7"/>
        <v>0</v>
      </c>
      <c r="M85" s="2121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</row>
    <row r="86" spans="1:25" s="640" customFormat="1" ht="14.1" customHeight="1">
      <c r="A86" s="1930"/>
      <c r="B86" s="1932"/>
      <c r="C86" s="1935"/>
      <c r="D86" s="674">
        <v>4219</v>
      </c>
      <c r="E86" s="502">
        <v>300</v>
      </c>
      <c r="F86" s="502">
        <v>0</v>
      </c>
      <c r="G86" s="502"/>
      <c r="H86" s="502">
        <v>0</v>
      </c>
      <c r="I86" s="1138">
        <f t="shared" si="8"/>
        <v>0</v>
      </c>
      <c r="J86" s="502"/>
      <c r="K86" s="1139">
        <f t="shared" si="9"/>
        <v>0</v>
      </c>
      <c r="L86" s="1233">
        <f t="shared" si="7"/>
        <v>0</v>
      </c>
      <c r="M86" s="2121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</row>
    <row r="87" spans="1:25" s="640" customFormat="1" ht="14.1" customHeight="1">
      <c r="A87" s="1930"/>
      <c r="B87" s="1932"/>
      <c r="C87" s="1935"/>
      <c r="D87" s="674">
        <v>4308</v>
      </c>
      <c r="E87" s="502">
        <v>40800</v>
      </c>
      <c r="F87" s="502">
        <v>42925</v>
      </c>
      <c r="G87" s="502"/>
      <c r="H87" s="502">
        <v>0</v>
      </c>
      <c r="I87" s="1138">
        <f t="shared" si="8"/>
        <v>0</v>
      </c>
      <c r="J87" s="502"/>
      <c r="K87" s="1139">
        <f t="shared" si="9"/>
        <v>0</v>
      </c>
      <c r="L87" s="1233">
        <f t="shared" si="7"/>
        <v>0</v>
      </c>
      <c r="M87" s="2121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</row>
    <row r="88" spans="1:25" s="640" customFormat="1" ht="14.1" customHeight="1">
      <c r="A88" s="1930"/>
      <c r="B88" s="1932"/>
      <c r="C88" s="1935"/>
      <c r="D88" s="674">
        <v>4309</v>
      </c>
      <c r="E88" s="502">
        <v>7200</v>
      </c>
      <c r="F88" s="502">
        <v>7575</v>
      </c>
      <c r="G88" s="502"/>
      <c r="H88" s="502">
        <v>0</v>
      </c>
      <c r="I88" s="1138">
        <f t="shared" si="8"/>
        <v>0</v>
      </c>
      <c r="J88" s="502"/>
      <c r="K88" s="1139">
        <f t="shared" si="9"/>
        <v>0</v>
      </c>
      <c r="L88" s="1233">
        <f t="shared" si="7"/>
        <v>0</v>
      </c>
      <c r="M88" s="2121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</row>
    <row r="89" spans="1:25" s="640" customFormat="1" ht="14.1" customHeight="1">
      <c r="A89" s="1930"/>
      <c r="B89" s="1932"/>
      <c r="C89" s="1935"/>
      <c r="D89" s="674">
        <v>4388</v>
      </c>
      <c r="E89" s="502">
        <v>1700</v>
      </c>
      <c r="F89" s="502">
        <v>0</v>
      </c>
      <c r="G89" s="502"/>
      <c r="H89" s="502">
        <v>0</v>
      </c>
      <c r="I89" s="1138">
        <f t="shared" si="8"/>
        <v>0</v>
      </c>
      <c r="J89" s="502"/>
      <c r="K89" s="1139">
        <f t="shared" si="9"/>
        <v>0</v>
      </c>
      <c r="L89" s="1233">
        <f t="shared" si="7"/>
        <v>0</v>
      </c>
      <c r="M89" s="2121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</row>
    <row r="90" spans="1:25" s="640" customFormat="1" ht="14.1" customHeight="1">
      <c r="A90" s="1930"/>
      <c r="B90" s="1932"/>
      <c r="C90" s="1935"/>
      <c r="D90" s="674">
        <v>4389</v>
      </c>
      <c r="E90" s="502">
        <v>300</v>
      </c>
      <c r="F90" s="502">
        <v>0</v>
      </c>
      <c r="G90" s="502"/>
      <c r="H90" s="502">
        <v>0</v>
      </c>
      <c r="I90" s="1138">
        <f t="shared" si="8"/>
        <v>0</v>
      </c>
      <c r="J90" s="502"/>
      <c r="K90" s="1139">
        <f t="shared" si="9"/>
        <v>0</v>
      </c>
      <c r="L90" s="1233">
        <f t="shared" si="7"/>
        <v>0</v>
      </c>
      <c r="M90" s="2121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</row>
    <row r="91" spans="1:25" s="640" customFormat="1" ht="14.1" customHeight="1">
      <c r="A91" s="1930"/>
      <c r="B91" s="1932"/>
      <c r="C91" s="1935"/>
      <c r="D91" s="674">
        <v>4428</v>
      </c>
      <c r="E91" s="502">
        <v>40800</v>
      </c>
      <c r="F91" s="502">
        <v>36125</v>
      </c>
      <c r="G91" s="502"/>
      <c r="H91" s="502">
        <v>0</v>
      </c>
      <c r="I91" s="1138">
        <f t="shared" si="8"/>
        <v>0</v>
      </c>
      <c r="J91" s="502"/>
      <c r="K91" s="1139">
        <f t="shared" si="9"/>
        <v>0</v>
      </c>
      <c r="L91" s="1233">
        <f t="shared" si="7"/>
        <v>0</v>
      </c>
      <c r="M91" s="2121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</row>
    <row r="92" spans="1:25" s="640" customFormat="1" ht="14.1" customHeight="1">
      <c r="A92" s="1930"/>
      <c r="B92" s="1932"/>
      <c r="C92" s="2118"/>
      <c r="D92" s="674">
        <v>4429</v>
      </c>
      <c r="E92" s="502">
        <v>7200</v>
      </c>
      <c r="F92" s="502">
        <v>6375</v>
      </c>
      <c r="G92" s="502"/>
      <c r="H92" s="502">
        <v>0</v>
      </c>
      <c r="I92" s="1138">
        <f t="shared" si="8"/>
        <v>0</v>
      </c>
      <c r="J92" s="502"/>
      <c r="K92" s="1139">
        <f t="shared" si="9"/>
        <v>0</v>
      </c>
      <c r="L92" s="1233">
        <f t="shared" si="7"/>
        <v>0</v>
      </c>
      <c r="M92" s="2121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</row>
    <row r="93" spans="1:25" s="640" customFormat="1" ht="14.1" customHeight="1">
      <c r="A93" s="1930"/>
      <c r="B93" s="1932"/>
      <c r="C93" s="668" t="s">
        <v>26</v>
      </c>
      <c r="D93" s="669"/>
      <c r="E93" s="513"/>
      <c r="F93" s="513"/>
      <c r="G93" s="513"/>
      <c r="H93" s="513"/>
      <c r="I93" s="809"/>
      <c r="J93" s="513"/>
      <c r="K93" s="1137"/>
      <c r="L93" s="1233"/>
      <c r="M93" s="2121"/>
      <c r="N93" s="420"/>
      <c r="O93" s="420"/>
      <c r="P93" s="420"/>
      <c r="Q93" s="420"/>
      <c r="R93" s="420"/>
      <c r="S93" s="420"/>
      <c r="T93" s="420"/>
      <c r="U93" s="420"/>
      <c r="V93" s="420"/>
      <c r="W93" s="420"/>
      <c r="X93" s="420"/>
      <c r="Y93" s="420"/>
    </row>
    <row r="94" spans="1:25" s="640" customFormat="1" ht="14.1" customHeight="1">
      <c r="A94" s="1930"/>
      <c r="B94" s="1932"/>
      <c r="C94" s="668" t="s">
        <v>27</v>
      </c>
      <c r="D94" s="669"/>
      <c r="E94" s="513"/>
      <c r="F94" s="513"/>
      <c r="G94" s="513"/>
      <c r="H94" s="513"/>
      <c r="I94" s="809"/>
      <c r="J94" s="513"/>
      <c r="K94" s="1137"/>
      <c r="L94" s="1233"/>
      <c r="M94" s="2121"/>
      <c r="N94" s="4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0"/>
    </row>
    <row r="95" spans="1:25" s="640" customFormat="1" ht="14.1" customHeight="1">
      <c r="A95" s="1930"/>
      <c r="B95" s="1932"/>
      <c r="C95" s="676" t="s">
        <v>28</v>
      </c>
      <c r="D95" s="677"/>
      <c r="E95" s="528">
        <f>SUM(E96,E98,E99)</f>
        <v>0</v>
      </c>
      <c r="F95" s="528">
        <f>SUM(F96,F98,F99)</f>
        <v>0</v>
      </c>
      <c r="G95" s="528"/>
      <c r="H95" s="528">
        <f>SUM(H96,H98,H99)</f>
        <v>0</v>
      </c>
      <c r="I95" s="809"/>
      <c r="J95" s="528">
        <f>SUM(J96,J98,J99)</f>
        <v>0</v>
      </c>
      <c r="K95" s="1136">
        <f>SUM(K96,K98,K99)</f>
        <v>0</v>
      </c>
      <c r="L95" s="1233"/>
      <c r="M95" s="2121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</row>
    <row r="96" spans="1:25" s="640" customFormat="1" ht="14.1" customHeight="1">
      <c r="A96" s="1930"/>
      <c r="B96" s="1932"/>
      <c r="C96" s="404" t="s">
        <v>29</v>
      </c>
      <c r="D96" s="669"/>
      <c r="E96" s="513"/>
      <c r="F96" s="513"/>
      <c r="G96" s="513"/>
      <c r="H96" s="513"/>
      <c r="I96" s="809"/>
      <c r="J96" s="513"/>
      <c r="K96" s="1137"/>
      <c r="L96" s="1233"/>
      <c r="M96" s="2121"/>
      <c r="N96" s="420"/>
      <c r="O96" s="420"/>
      <c r="P96" s="420"/>
      <c r="Q96" s="420"/>
      <c r="R96" s="420"/>
      <c r="S96" s="420"/>
      <c r="T96" s="420"/>
      <c r="U96" s="420"/>
      <c r="V96" s="420"/>
      <c r="W96" s="420"/>
      <c r="X96" s="420"/>
      <c r="Y96" s="420"/>
    </row>
    <row r="97" spans="1:25" s="640" customFormat="1" ht="22.5">
      <c r="A97" s="1930"/>
      <c r="B97" s="1932"/>
      <c r="C97" s="405" t="s">
        <v>30</v>
      </c>
      <c r="D97" s="669"/>
      <c r="E97" s="513"/>
      <c r="F97" s="513"/>
      <c r="G97" s="513"/>
      <c r="H97" s="513"/>
      <c r="I97" s="809"/>
      <c r="J97" s="513"/>
      <c r="K97" s="1137"/>
      <c r="L97" s="1233"/>
      <c r="M97" s="2121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</row>
    <row r="98" spans="1:25" s="640" customFormat="1" ht="14.1" customHeight="1">
      <c r="A98" s="1930"/>
      <c r="B98" s="1932"/>
      <c r="C98" s="668" t="s">
        <v>31</v>
      </c>
      <c r="D98" s="669"/>
      <c r="E98" s="513"/>
      <c r="F98" s="513"/>
      <c r="G98" s="513"/>
      <c r="H98" s="513"/>
      <c r="I98" s="809"/>
      <c r="J98" s="513"/>
      <c r="K98" s="1137"/>
      <c r="L98" s="1233"/>
      <c r="M98" s="2121"/>
      <c r="N98" s="420"/>
      <c r="O98" s="420"/>
      <c r="P98" s="420"/>
      <c r="Q98" s="420"/>
      <c r="R98" s="420"/>
      <c r="S98" s="420"/>
      <c r="T98" s="420"/>
      <c r="U98" s="420"/>
      <c r="V98" s="420"/>
      <c r="W98" s="420"/>
      <c r="X98" s="420"/>
      <c r="Y98" s="420"/>
    </row>
    <row r="99" spans="1:25" s="640" customFormat="1" ht="14.1" customHeight="1" thickBot="1">
      <c r="A99" s="1931"/>
      <c r="B99" s="1933"/>
      <c r="C99" s="679" t="s">
        <v>32</v>
      </c>
      <c r="D99" s="680"/>
      <c r="E99" s="683"/>
      <c r="F99" s="683"/>
      <c r="G99" s="683"/>
      <c r="H99" s="683"/>
      <c r="I99" s="1141"/>
      <c r="J99" s="683"/>
      <c r="K99" s="627"/>
      <c r="L99" s="1233"/>
      <c r="M99" s="2123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</row>
    <row r="100" spans="1:25" s="420" customFormat="1" ht="20.100000000000001" customHeight="1">
      <c r="A100" s="392" t="s">
        <v>14</v>
      </c>
      <c r="B100" s="393"/>
      <c r="C100" s="812" t="s">
        <v>15</v>
      </c>
      <c r="D100" s="393"/>
      <c r="E100" s="395">
        <f>SUM(E124,E149,E101)</f>
        <v>3979308</v>
      </c>
      <c r="F100" s="395">
        <f t="shared" ref="F100:K100" si="10">SUM(F124,F149,F101)</f>
        <v>3983397</v>
      </c>
      <c r="G100" s="395">
        <f t="shared" si="10"/>
        <v>0</v>
      </c>
      <c r="H100" s="395">
        <f t="shared" si="10"/>
        <v>3139185</v>
      </c>
      <c r="I100" s="395" t="e">
        <f t="shared" si="10"/>
        <v>#DIV/0!</v>
      </c>
      <c r="J100" s="395">
        <f t="shared" si="10"/>
        <v>93800</v>
      </c>
      <c r="K100" s="395">
        <f t="shared" si="10"/>
        <v>3232985</v>
      </c>
      <c r="L100" s="1010">
        <f t="shared" si="7"/>
        <v>0.81244904893011549</v>
      </c>
      <c r="M100" s="1152"/>
    </row>
    <row r="101" spans="1:25" s="420" customFormat="1" ht="20.100000000000001" customHeight="1">
      <c r="A101" s="1929"/>
      <c r="B101" s="1972" t="s">
        <v>114</v>
      </c>
      <c r="C101" s="660" t="s">
        <v>68</v>
      </c>
      <c r="D101" s="661"/>
      <c r="E101" s="525">
        <f>SUM(E102,E115)</f>
        <v>0</v>
      </c>
      <c r="F101" s="525">
        <f>SUM(F102,F115)</f>
        <v>0</v>
      </c>
      <c r="G101" s="525"/>
      <c r="H101" s="525">
        <f>SUM(H102,H115)</f>
        <v>0</v>
      </c>
      <c r="I101" s="1208" t="e">
        <f>H101/E101</f>
        <v>#DIV/0!</v>
      </c>
      <c r="J101" s="525">
        <f>SUM(J102,J115)</f>
        <v>93800</v>
      </c>
      <c r="K101" s="1135">
        <f>SUM(K102,K115)</f>
        <v>93800</v>
      </c>
      <c r="L101" s="1230"/>
      <c r="M101" s="2120" t="s">
        <v>598</v>
      </c>
    </row>
    <row r="102" spans="1:25" s="420" customFormat="1" ht="20.100000000000001" customHeight="1">
      <c r="A102" s="1930"/>
      <c r="B102" s="1944"/>
      <c r="C102" s="664" t="s">
        <v>18</v>
      </c>
      <c r="D102" s="665"/>
      <c r="E102" s="528">
        <f>SUM(E103,E106,E107,E108,E113,E114)</f>
        <v>0</v>
      </c>
      <c r="F102" s="528">
        <f>SUM(F103,F106,F107,F108,F113,F114)</f>
        <v>0</v>
      </c>
      <c r="G102" s="528"/>
      <c r="H102" s="528">
        <f>SUM(H103,H106,H107,H108,H113,H114)</f>
        <v>0</v>
      </c>
      <c r="I102" s="809" t="e">
        <f>H102/E102</f>
        <v>#DIV/0!</v>
      </c>
      <c r="J102" s="528">
        <f>SUM(J103,J106,J107,J108,J113,J114)</f>
        <v>47800</v>
      </c>
      <c r="K102" s="1136">
        <f>SUM(K103,K106,K107,K108,K113,K114)</f>
        <v>47800</v>
      </c>
      <c r="L102" s="1232"/>
      <c r="M102" s="2121"/>
    </row>
    <row r="103" spans="1:25" s="420" customFormat="1" ht="20.100000000000001" customHeight="1">
      <c r="A103" s="1930"/>
      <c r="B103" s="1944"/>
      <c r="C103" s="668" t="s">
        <v>19</v>
      </c>
      <c r="D103" s="669"/>
      <c r="E103" s="513"/>
      <c r="F103" s="513"/>
      <c r="G103" s="513"/>
      <c r="H103" s="513">
        <f>SUM(H104:H105)</f>
        <v>0</v>
      </c>
      <c r="I103" s="809"/>
      <c r="J103" s="513">
        <f>SUM(J104:J105)</f>
        <v>0</v>
      </c>
      <c r="K103" s="1137"/>
      <c r="L103" s="1233"/>
      <c r="M103" s="2121"/>
    </row>
    <row r="104" spans="1:25" s="420" customFormat="1" ht="20.100000000000001" customHeight="1">
      <c r="A104" s="1930"/>
      <c r="B104" s="1944"/>
      <c r="C104" s="668" t="s">
        <v>20</v>
      </c>
      <c r="D104" s="669"/>
      <c r="E104" s="513"/>
      <c r="F104" s="513"/>
      <c r="G104" s="513"/>
      <c r="H104" s="513"/>
      <c r="I104" s="809"/>
      <c r="J104" s="513"/>
      <c r="K104" s="1137"/>
      <c r="L104" s="1233"/>
      <c r="M104" s="2121"/>
    </row>
    <row r="105" spans="1:25" s="420" customFormat="1" ht="20.100000000000001" customHeight="1">
      <c r="A105" s="1930"/>
      <c r="B105" s="1944"/>
      <c r="C105" s="672" t="s">
        <v>21</v>
      </c>
      <c r="D105" s="673"/>
      <c r="E105" s="513"/>
      <c r="F105" s="513"/>
      <c r="G105" s="513"/>
      <c r="H105" s="513"/>
      <c r="I105" s="809"/>
      <c r="J105" s="513"/>
      <c r="K105" s="1137"/>
      <c r="L105" s="1233"/>
      <c r="M105" s="2121"/>
    </row>
    <row r="106" spans="1:25" s="420" customFormat="1" ht="20.100000000000001" customHeight="1">
      <c r="A106" s="1930"/>
      <c r="B106" s="1944"/>
      <c r="C106" s="668" t="s">
        <v>23</v>
      </c>
      <c r="D106" s="669"/>
      <c r="E106" s="513"/>
      <c r="F106" s="513"/>
      <c r="G106" s="513"/>
      <c r="H106" s="513"/>
      <c r="I106" s="809"/>
      <c r="J106" s="513"/>
      <c r="K106" s="1137"/>
      <c r="L106" s="1233"/>
      <c r="M106" s="2121"/>
    </row>
    <row r="107" spans="1:25" s="420" customFormat="1" ht="20.100000000000001" customHeight="1">
      <c r="A107" s="1930"/>
      <c r="B107" s="1944"/>
      <c r="C107" s="668" t="s">
        <v>24</v>
      </c>
      <c r="D107" s="669"/>
      <c r="E107" s="513"/>
      <c r="F107" s="513"/>
      <c r="G107" s="513"/>
      <c r="H107" s="513"/>
      <c r="I107" s="809"/>
      <c r="J107" s="513"/>
      <c r="K107" s="1137"/>
      <c r="L107" s="1233"/>
      <c r="M107" s="2121"/>
    </row>
    <row r="108" spans="1:25" s="420" customFormat="1" ht="20.100000000000001" customHeight="1">
      <c r="A108" s="1930"/>
      <c r="B108" s="1944"/>
      <c r="C108" s="1934" t="s">
        <v>25</v>
      </c>
      <c r="D108" s="669" t="s">
        <v>22</v>
      </c>
      <c r="E108" s="513">
        <f>SUM(E109:E112)</f>
        <v>0</v>
      </c>
      <c r="F108" s="513">
        <f>SUM(F109:F112)</f>
        <v>0</v>
      </c>
      <c r="G108" s="513">
        <f>SUM(G109:G112)</f>
        <v>0</v>
      </c>
      <c r="H108" s="513">
        <f>SUM(H109:H112)</f>
        <v>0</v>
      </c>
      <c r="I108" s="809" t="e">
        <f t="shared" ref="I108:I112" si="11">H108/E108</f>
        <v>#DIV/0!</v>
      </c>
      <c r="J108" s="513">
        <f>SUM(J109:J112)</f>
        <v>47800</v>
      </c>
      <c r="K108" s="1137">
        <f>SUM(K109:K112)</f>
        <v>47800</v>
      </c>
      <c r="L108" s="1233"/>
      <c r="M108" s="2121"/>
    </row>
    <row r="109" spans="1:25" s="420" customFormat="1" ht="20.100000000000001" customHeight="1">
      <c r="A109" s="1930"/>
      <c r="B109" s="1944"/>
      <c r="C109" s="1935"/>
      <c r="D109" s="674">
        <v>4217</v>
      </c>
      <c r="E109" s="502">
        <v>0</v>
      </c>
      <c r="F109" s="502">
        <v>0</v>
      </c>
      <c r="G109" s="502"/>
      <c r="H109" s="502">
        <v>0</v>
      </c>
      <c r="I109" s="1138" t="e">
        <f t="shared" si="11"/>
        <v>#DIV/0!</v>
      </c>
      <c r="J109" s="502">
        <v>36072</v>
      </c>
      <c r="K109" s="1139">
        <f t="shared" ref="K109:K112" si="12">J109+H109</f>
        <v>36072</v>
      </c>
      <c r="L109" s="1233"/>
      <c r="M109" s="2121"/>
    </row>
    <row r="110" spans="1:25" s="420" customFormat="1" ht="20.100000000000001" customHeight="1">
      <c r="A110" s="1930"/>
      <c r="B110" s="1944"/>
      <c r="C110" s="1935"/>
      <c r="D110" s="674">
        <v>4219</v>
      </c>
      <c r="E110" s="502">
        <v>0</v>
      </c>
      <c r="F110" s="502">
        <v>0</v>
      </c>
      <c r="G110" s="502"/>
      <c r="H110" s="502">
        <v>0</v>
      </c>
      <c r="I110" s="1138" t="e">
        <f t="shared" si="11"/>
        <v>#DIV/0!</v>
      </c>
      <c r="J110" s="502">
        <v>6728</v>
      </c>
      <c r="K110" s="1139">
        <f t="shared" si="12"/>
        <v>6728</v>
      </c>
      <c r="L110" s="1233"/>
      <c r="M110" s="2121"/>
    </row>
    <row r="111" spans="1:25" s="420" customFormat="1" ht="20.100000000000001" customHeight="1">
      <c r="A111" s="1930"/>
      <c r="B111" s="1944"/>
      <c r="C111" s="1935"/>
      <c r="D111" s="674">
        <v>4387</v>
      </c>
      <c r="E111" s="502">
        <v>0</v>
      </c>
      <c r="F111" s="502">
        <v>0</v>
      </c>
      <c r="G111" s="502"/>
      <c r="H111" s="502">
        <v>0</v>
      </c>
      <c r="I111" s="1138" t="e">
        <f t="shared" si="11"/>
        <v>#DIV/0!</v>
      </c>
      <c r="J111" s="502">
        <v>4214</v>
      </c>
      <c r="K111" s="1139">
        <f t="shared" si="12"/>
        <v>4214</v>
      </c>
      <c r="L111" s="1233"/>
      <c r="M111" s="2121"/>
    </row>
    <row r="112" spans="1:25" s="420" customFormat="1" ht="20.100000000000001" customHeight="1">
      <c r="A112" s="1930"/>
      <c r="B112" s="1944"/>
      <c r="C112" s="1935"/>
      <c r="D112" s="674">
        <v>4389</v>
      </c>
      <c r="E112" s="502">
        <v>0</v>
      </c>
      <c r="F112" s="502"/>
      <c r="G112" s="502"/>
      <c r="H112" s="502">
        <v>0</v>
      </c>
      <c r="I112" s="1138" t="e">
        <f t="shared" si="11"/>
        <v>#DIV/0!</v>
      </c>
      <c r="J112" s="502">
        <v>786</v>
      </c>
      <c r="K112" s="1139">
        <f t="shared" si="12"/>
        <v>786</v>
      </c>
      <c r="L112" s="1233"/>
      <c r="M112" s="2121"/>
    </row>
    <row r="113" spans="1:13" s="420" customFormat="1" ht="20.100000000000001" customHeight="1">
      <c r="A113" s="1930"/>
      <c r="B113" s="1944"/>
      <c r="C113" s="668" t="s">
        <v>26</v>
      </c>
      <c r="D113" s="669"/>
      <c r="E113" s="513"/>
      <c r="F113" s="513"/>
      <c r="G113" s="513"/>
      <c r="H113" s="513"/>
      <c r="I113" s="1138"/>
      <c r="J113" s="513"/>
      <c r="K113" s="1137"/>
      <c r="L113" s="1233"/>
      <c r="M113" s="2121"/>
    </row>
    <row r="114" spans="1:13" s="420" customFormat="1" ht="20.100000000000001" customHeight="1">
      <c r="A114" s="1930"/>
      <c r="B114" s="1944"/>
      <c r="C114" s="668" t="s">
        <v>27</v>
      </c>
      <c r="D114" s="669"/>
      <c r="E114" s="513"/>
      <c r="F114" s="513"/>
      <c r="G114" s="513"/>
      <c r="H114" s="513"/>
      <c r="I114" s="1138"/>
      <c r="J114" s="513"/>
      <c r="K114" s="1137"/>
      <c r="L114" s="1233"/>
      <c r="M114" s="2121"/>
    </row>
    <row r="115" spans="1:13" s="420" customFormat="1" ht="20.100000000000001" customHeight="1">
      <c r="A115" s="1930"/>
      <c r="B115" s="1944"/>
      <c r="C115" s="676" t="s">
        <v>28</v>
      </c>
      <c r="D115" s="677"/>
      <c r="E115" s="528">
        <f>SUM(E116,E122,E123)</f>
        <v>0</v>
      </c>
      <c r="F115" s="528">
        <f>SUM(F116,F122,F123)</f>
        <v>0</v>
      </c>
      <c r="G115" s="528"/>
      <c r="H115" s="528">
        <f>SUM(H116,H122,H123)</f>
        <v>0</v>
      </c>
      <c r="I115" s="808"/>
      <c r="J115" s="528">
        <f>SUM(J116,J122,J123)</f>
        <v>46000</v>
      </c>
      <c r="K115" s="1136">
        <f>SUM(K116,K122,K123)</f>
        <v>46000</v>
      </c>
      <c r="L115" s="1233"/>
      <c r="M115" s="2121"/>
    </row>
    <row r="116" spans="1:13" s="420" customFormat="1" ht="20.100000000000001" customHeight="1">
      <c r="A116" s="1930"/>
      <c r="B116" s="1944"/>
      <c r="C116" s="1938" t="s">
        <v>29</v>
      </c>
      <c r="D116" s="669" t="s">
        <v>22</v>
      </c>
      <c r="E116" s="513">
        <f>E117+E118</f>
        <v>0</v>
      </c>
      <c r="F116" s="513">
        <f t="shared" ref="F116:K116" si="13">F117+F118</f>
        <v>0</v>
      </c>
      <c r="G116" s="513">
        <f t="shared" si="13"/>
        <v>0</v>
      </c>
      <c r="H116" s="513">
        <f t="shared" si="13"/>
        <v>0</v>
      </c>
      <c r="I116" s="513">
        <f t="shared" si="13"/>
        <v>0</v>
      </c>
      <c r="J116" s="513">
        <f t="shared" si="13"/>
        <v>46000</v>
      </c>
      <c r="K116" s="513">
        <f t="shared" si="13"/>
        <v>46000</v>
      </c>
      <c r="L116" s="1233"/>
      <c r="M116" s="2121"/>
    </row>
    <row r="117" spans="1:13" s="420" customFormat="1">
      <c r="A117" s="1930"/>
      <c r="B117" s="1944"/>
      <c r="C117" s="1939"/>
      <c r="D117" s="674">
        <v>6067</v>
      </c>
      <c r="E117" s="502">
        <v>0</v>
      </c>
      <c r="F117" s="502">
        <v>0</v>
      </c>
      <c r="G117" s="502"/>
      <c r="H117" s="502">
        <v>0</v>
      </c>
      <c r="I117" s="1138"/>
      <c r="J117" s="502">
        <v>38769</v>
      </c>
      <c r="K117" s="1139">
        <f>H117+J117</f>
        <v>38769</v>
      </c>
      <c r="L117" s="1233"/>
      <c r="M117" s="2121"/>
    </row>
    <row r="118" spans="1:13" s="420" customFormat="1">
      <c r="A118" s="1930"/>
      <c r="B118" s="1944"/>
      <c r="C118" s="2117"/>
      <c r="D118" s="674">
        <v>6069</v>
      </c>
      <c r="E118" s="502">
        <v>0</v>
      </c>
      <c r="F118" s="502">
        <v>0</v>
      </c>
      <c r="G118" s="502"/>
      <c r="H118" s="502">
        <v>0</v>
      </c>
      <c r="I118" s="1138"/>
      <c r="J118" s="502">
        <v>7231</v>
      </c>
      <c r="K118" s="1139">
        <f>H118+J118</f>
        <v>7231</v>
      </c>
      <c r="L118" s="1233"/>
      <c r="M118" s="2121"/>
    </row>
    <row r="119" spans="1:13" s="420" customFormat="1" ht="22.5" customHeight="1">
      <c r="A119" s="1930"/>
      <c r="B119" s="1944"/>
      <c r="C119" s="1934" t="s">
        <v>30</v>
      </c>
      <c r="D119" s="669" t="s">
        <v>22</v>
      </c>
      <c r="E119" s="513">
        <f>E120+E121</f>
        <v>0</v>
      </c>
      <c r="F119" s="513">
        <f t="shared" ref="F119:K119" si="14">F120+F121</f>
        <v>0</v>
      </c>
      <c r="G119" s="513">
        <f t="shared" si="14"/>
        <v>0</v>
      </c>
      <c r="H119" s="513">
        <f t="shared" si="14"/>
        <v>0</v>
      </c>
      <c r="I119" s="513">
        <f t="shared" si="14"/>
        <v>0</v>
      </c>
      <c r="J119" s="513">
        <f t="shared" si="14"/>
        <v>46000</v>
      </c>
      <c r="K119" s="513">
        <f t="shared" si="14"/>
        <v>46000</v>
      </c>
      <c r="L119" s="1233"/>
      <c r="M119" s="2121"/>
    </row>
    <row r="120" spans="1:13" s="420" customFormat="1">
      <c r="A120" s="1930"/>
      <c r="B120" s="1944"/>
      <c r="C120" s="1935"/>
      <c r="D120" s="674">
        <v>6067</v>
      </c>
      <c r="E120" s="502">
        <v>0</v>
      </c>
      <c r="F120" s="502">
        <v>0</v>
      </c>
      <c r="G120" s="502"/>
      <c r="H120" s="502">
        <v>0</v>
      </c>
      <c r="I120" s="1138"/>
      <c r="J120" s="502">
        <v>38769</v>
      </c>
      <c r="K120" s="1139">
        <f>H120+J120</f>
        <v>38769</v>
      </c>
      <c r="L120" s="1233"/>
      <c r="M120" s="2121"/>
    </row>
    <row r="121" spans="1:13" s="420" customFormat="1">
      <c r="A121" s="1930"/>
      <c r="B121" s="1944"/>
      <c r="C121" s="2118"/>
      <c r="D121" s="674">
        <v>6069</v>
      </c>
      <c r="E121" s="502">
        <v>0</v>
      </c>
      <c r="F121" s="502">
        <v>0</v>
      </c>
      <c r="G121" s="502"/>
      <c r="H121" s="502">
        <v>0</v>
      </c>
      <c r="I121" s="1138"/>
      <c r="J121" s="502">
        <v>7231</v>
      </c>
      <c r="K121" s="1139">
        <f t="shared" ref="K121" si="15">H121+J121</f>
        <v>7231</v>
      </c>
      <c r="L121" s="1233"/>
      <c r="M121" s="2121"/>
    </row>
    <row r="122" spans="1:13" s="420" customFormat="1" ht="20.100000000000001" customHeight="1">
      <c r="A122" s="1930"/>
      <c r="B122" s="1944"/>
      <c r="C122" s="668" t="s">
        <v>31</v>
      </c>
      <c r="D122" s="669"/>
      <c r="E122" s="513"/>
      <c r="F122" s="513"/>
      <c r="G122" s="513"/>
      <c r="H122" s="513"/>
      <c r="I122" s="1138"/>
      <c r="J122" s="513"/>
      <c r="K122" s="1137"/>
      <c r="L122" s="1233"/>
      <c r="M122" s="2121"/>
    </row>
    <row r="123" spans="1:13" s="420" customFormat="1">
      <c r="A123" s="1930"/>
      <c r="B123" s="1944"/>
      <c r="C123" s="169" t="s">
        <v>32</v>
      </c>
      <c r="D123" s="810"/>
      <c r="E123" s="172"/>
      <c r="F123" s="172"/>
      <c r="G123" s="172"/>
      <c r="H123" s="172"/>
      <c r="I123" s="1240"/>
      <c r="J123" s="172"/>
      <c r="K123" s="1137"/>
      <c r="L123" s="1241"/>
      <c r="M123" s="2121"/>
    </row>
    <row r="124" spans="1:13" s="420" customFormat="1" ht="20.100000000000001" customHeight="1">
      <c r="A124" s="1929"/>
      <c r="B124" s="1972" t="s">
        <v>67</v>
      </c>
      <c r="C124" s="660" t="s">
        <v>68</v>
      </c>
      <c r="D124" s="661"/>
      <c r="E124" s="525">
        <f>SUM(E125,E144)</f>
        <v>35194</v>
      </c>
      <c r="F124" s="525">
        <f>SUM(F125,F144)</f>
        <v>35194</v>
      </c>
      <c r="G124" s="525"/>
      <c r="H124" s="525">
        <f>SUM(H125,H144)</f>
        <v>0</v>
      </c>
      <c r="I124" s="1208">
        <f>H124/E124</f>
        <v>0</v>
      </c>
      <c r="J124" s="525">
        <f>SUM(J125,J144)</f>
        <v>0</v>
      </c>
      <c r="K124" s="1135">
        <f>SUM(K125,K144)</f>
        <v>0</v>
      </c>
      <c r="L124" s="850">
        <f t="shared" si="7"/>
        <v>0</v>
      </c>
      <c r="M124" s="2120"/>
    </row>
    <row r="125" spans="1:13" s="420" customFormat="1" ht="20.100000000000001" customHeight="1">
      <c r="A125" s="1930"/>
      <c r="B125" s="1944"/>
      <c r="C125" s="664" t="s">
        <v>18</v>
      </c>
      <c r="D125" s="665"/>
      <c r="E125" s="528">
        <f>SUM(E126,E129,E130,E131,E142,E143)</f>
        <v>35194</v>
      </c>
      <c r="F125" s="528">
        <f>SUM(F126,F129,F130,F131,F142,F143)</f>
        <v>35194</v>
      </c>
      <c r="G125" s="528"/>
      <c r="H125" s="528">
        <f>SUM(H126,H129,H130,H131,H142,H143)</f>
        <v>0</v>
      </c>
      <c r="I125" s="809">
        <f>H125/E125</f>
        <v>0</v>
      </c>
      <c r="J125" s="528">
        <f>SUM(J126,J129,J130,J131,J142,J143)</f>
        <v>0</v>
      </c>
      <c r="K125" s="1136">
        <f>SUM(K126,K129,K130,K131,K142,K143)</f>
        <v>0</v>
      </c>
      <c r="L125" s="1232">
        <f t="shared" si="7"/>
        <v>0</v>
      </c>
      <c r="M125" s="2121"/>
    </row>
    <row r="126" spans="1:13" s="420" customFormat="1" ht="14.1" customHeight="1">
      <c r="A126" s="1930"/>
      <c r="B126" s="1944"/>
      <c r="C126" s="668" t="s">
        <v>19</v>
      </c>
      <c r="D126" s="669"/>
      <c r="E126" s="513"/>
      <c r="F126" s="513"/>
      <c r="G126" s="513"/>
      <c r="H126" s="513">
        <f>SUM(H127:H128)</f>
        <v>0</v>
      </c>
      <c r="I126" s="809"/>
      <c r="J126" s="513">
        <f>SUM(J127:J128)</f>
        <v>0</v>
      </c>
      <c r="K126" s="1137"/>
      <c r="L126" s="1233"/>
      <c r="M126" s="2121"/>
    </row>
    <row r="127" spans="1:13" s="420" customFormat="1" ht="14.1" customHeight="1">
      <c r="A127" s="1930"/>
      <c r="B127" s="1944"/>
      <c r="C127" s="668" t="s">
        <v>20</v>
      </c>
      <c r="D127" s="669"/>
      <c r="E127" s="513"/>
      <c r="F127" s="513"/>
      <c r="G127" s="513"/>
      <c r="H127" s="513"/>
      <c r="I127" s="809"/>
      <c r="J127" s="513"/>
      <c r="K127" s="1137"/>
      <c r="L127" s="1233"/>
      <c r="M127" s="2121"/>
    </row>
    <row r="128" spans="1:13" s="420" customFormat="1" ht="14.1" customHeight="1">
      <c r="A128" s="1930"/>
      <c r="B128" s="1944"/>
      <c r="C128" s="672" t="s">
        <v>21</v>
      </c>
      <c r="D128" s="673"/>
      <c r="E128" s="513"/>
      <c r="F128" s="513"/>
      <c r="G128" s="513"/>
      <c r="H128" s="513"/>
      <c r="I128" s="809"/>
      <c r="J128" s="513"/>
      <c r="K128" s="1137"/>
      <c r="L128" s="1233"/>
      <c r="M128" s="2121"/>
    </row>
    <row r="129" spans="1:13" s="420" customFormat="1" ht="14.1" customHeight="1">
      <c r="A129" s="1930"/>
      <c r="B129" s="1944"/>
      <c r="C129" s="668" t="s">
        <v>23</v>
      </c>
      <c r="D129" s="669"/>
      <c r="E129" s="513"/>
      <c r="F129" s="513"/>
      <c r="G129" s="513"/>
      <c r="H129" s="513"/>
      <c r="I129" s="809"/>
      <c r="J129" s="513"/>
      <c r="K129" s="1137"/>
      <c r="L129" s="1233"/>
      <c r="M129" s="2121"/>
    </row>
    <row r="130" spans="1:13" s="420" customFormat="1" ht="14.1" customHeight="1">
      <c r="A130" s="1930"/>
      <c r="B130" s="1944"/>
      <c r="C130" s="668" t="s">
        <v>24</v>
      </c>
      <c r="D130" s="669"/>
      <c r="E130" s="513"/>
      <c r="F130" s="513"/>
      <c r="G130" s="513"/>
      <c r="H130" s="513"/>
      <c r="I130" s="809"/>
      <c r="J130" s="513"/>
      <c r="K130" s="1137"/>
      <c r="L130" s="1233"/>
      <c r="M130" s="2121"/>
    </row>
    <row r="131" spans="1:13" s="420" customFormat="1" ht="14.1" customHeight="1">
      <c r="A131" s="1930"/>
      <c r="B131" s="1944"/>
      <c r="C131" s="1934" t="s">
        <v>25</v>
      </c>
      <c r="D131" s="669" t="s">
        <v>22</v>
      </c>
      <c r="E131" s="513">
        <f>SUM(E132:E141)</f>
        <v>35194</v>
      </c>
      <c r="F131" s="513">
        <f>SUM(F132:F141)</f>
        <v>35194</v>
      </c>
      <c r="G131" s="513">
        <f>SUM(G132:G141)</f>
        <v>0</v>
      </c>
      <c r="H131" s="513">
        <f>SUM(H132:H141)</f>
        <v>0</v>
      </c>
      <c r="I131" s="809">
        <f t="shared" ref="I131:I141" si="16">H131/E131</f>
        <v>0</v>
      </c>
      <c r="J131" s="513">
        <f>SUM(J132:J141)</f>
        <v>0</v>
      </c>
      <c r="K131" s="1137">
        <f>SUM(K132:K141)</f>
        <v>0</v>
      </c>
      <c r="L131" s="1233">
        <f t="shared" si="7"/>
        <v>0</v>
      </c>
      <c r="M131" s="2121"/>
    </row>
    <row r="132" spans="1:13" s="420" customFormat="1" ht="14.1" customHeight="1">
      <c r="A132" s="1930"/>
      <c r="B132" s="1944"/>
      <c r="C132" s="1935"/>
      <c r="D132" s="674">
        <v>4018</v>
      </c>
      <c r="E132" s="502">
        <v>7105</v>
      </c>
      <c r="F132" s="502">
        <v>7105</v>
      </c>
      <c r="G132" s="502"/>
      <c r="H132" s="502">
        <v>0</v>
      </c>
      <c r="I132" s="1138">
        <f t="shared" si="16"/>
        <v>0</v>
      </c>
      <c r="J132" s="502"/>
      <c r="K132" s="1139">
        <f t="shared" ref="K132:K141" si="17">J132+H132</f>
        <v>0</v>
      </c>
      <c r="L132" s="1233">
        <f t="shared" si="7"/>
        <v>0</v>
      </c>
      <c r="M132" s="2121"/>
    </row>
    <row r="133" spans="1:13" s="420" customFormat="1" ht="14.1" customHeight="1">
      <c r="A133" s="1930"/>
      <c r="B133" s="1944"/>
      <c r="C133" s="1935"/>
      <c r="D133" s="674">
        <v>4019</v>
      </c>
      <c r="E133" s="502">
        <v>1254</v>
      </c>
      <c r="F133" s="502">
        <v>1254</v>
      </c>
      <c r="G133" s="502"/>
      <c r="H133" s="502">
        <v>0</v>
      </c>
      <c r="I133" s="1138">
        <f t="shared" si="16"/>
        <v>0</v>
      </c>
      <c r="J133" s="502"/>
      <c r="K133" s="1139">
        <f t="shared" si="17"/>
        <v>0</v>
      </c>
      <c r="L133" s="1233">
        <f t="shared" si="7"/>
        <v>0</v>
      </c>
      <c r="M133" s="2121"/>
    </row>
    <row r="134" spans="1:13" s="420" customFormat="1" ht="14.1" customHeight="1">
      <c r="A134" s="1930"/>
      <c r="B134" s="1944"/>
      <c r="C134" s="1935"/>
      <c r="D134" s="674">
        <v>4118</v>
      </c>
      <c r="E134" s="502">
        <v>1221</v>
      </c>
      <c r="F134" s="502">
        <v>1221</v>
      </c>
      <c r="G134" s="502"/>
      <c r="H134" s="502">
        <v>0</v>
      </c>
      <c r="I134" s="1138">
        <f t="shared" si="16"/>
        <v>0</v>
      </c>
      <c r="J134" s="502"/>
      <c r="K134" s="1139">
        <f t="shared" si="17"/>
        <v>0</v>
      </c>
      <c r="L134" s="1233">
        <f t="shared" si="7"/>
        <v>0</v>
      </c>
      <c r="M134" s="2121"/>
    </row>
    <row r="135" spans="1:13" s="420" customFormat="1" ht="14.1" customHeight="1">
      <c r="A135" s="1930"/>
      <c r="B135" s="1944"/>
      <c r="C135" s="1935"/>
      <c r="D135" s="674">
        <v>4119</v>
      </c>
      <c r="E135" s="502">
        <v>216</v>
      </c>
      <c r="F135" s="502">
        <v>216</v>
      </c>
      <c r="G135" s="502"/>
      <c r="H135" s="502">
        <v>0</v>
      </c>
      <c r="I135" s="1138">
        <f t="shared" si="16"/>
        <v>0</v>
      </c>
      <c r="J135" s="502"/>
      <c r="K135" s="1139">
        <f t="shared" si="17"/>
        <v>0</v>
      </c>
      <c r="L135" s="1233">
        <f t="shared" si="7"/>
        <v>0</v>
      </c>
      <c r="M135" s="2121"/>
    </row>
    <row r="136" spans="1:13" s="420" customFormat="1" ht="14.1" customHeight="1">
      <c r="A136" s="1930"/>
      <c r="B136" s="1944"/>
      <c r="C136" s="1935"/>
      <c r="D136" s="674">
        <v>4128</v>
      </c>
      <c r="E136" s="502">
        <v>173</v>
      </c>
      <c r="F136" s="502">
        <v>173</v>
      </c>
      <c r="G136" s="502"/>
      <c r="H136" s="502">
        <v>0</v>
      </c>
      <c r="I136" s="1138">
        <f t="shared" si="16"/>
        <v>0</v>
      </c>
      <c r="J136" s="502"/>
      <c r="K136" s="1139">
        <f t="shared" si="17"/>
        <v>0</v>
      </c>
      <c r="L136" s="1233">
        <f t="shared" si="7"/>
        <v>0</v>
      </c>
      <c r="M136" s="2121"/>
    </row>
    <row r="137" spans="1:13" s="420" customFormat="1" ht="14.1" customHeight="1">
      <c r="A137" s="1930"/>
      <c r="B137" s="1944"/>
      <c r="C137" s="1935"/>
      <c r="D137" s="674">
        <v>4129</v>
      </c>
      <c r="E137" s="502">
        <v>31</v>
      </c>
      <c r="F137" s="502">
        <v>31</v>
      </c>
      <c r="G137" s="502"/>
      <c r="H137" s="502">
        <v>0</v>
      </c>
      <c r="I137" s="1138">
        <f t="shared" si="16"/>
        <v>0</v>
      </c>
      <c r="J137" s="502"/>
      <c r="K137" s="1139">
        <f t="shared" si="17"/>
        <v>0</v>
      </c>
      <c r="L137" s="1233">
        <f t="shared" si="7"/>
        <v>0</v>
      </c>
      <c r="M137" s="2121"/>
    </row>
    <row r="138" spans="1:13" s="420" customFormat="1" ht="14.1" customHeight="1">
      <c r="A138" s="1930"/>
      <c r="B138" s="1944"/>
      <c r="C138" s="1935"/>
      <c r="D138" s="674">
        <v>4218</v>
      </c>
      <c r="E138" s="502">
        <v>10812</v>
      </c>
      <c r="F138" s="502">
        <v>10812</v>
      </c>
      <c r="G138" s="502"/>
      <c r="H138" s="502">
        <v>0</v>
      </c>
      <c r="I138" s="1138">
        <f t="shared" si="16"/>
        <v>0</v>
      </c>
      <c r="J138" s="502"/>
      <c r="K138" s="1139">
        <f t="shared" si="17"/>
        <v>0</v>
      </c>
      <c r="L138" s="1233">
        <f t="shared" si="7"/>
        <v>0</v>
      </c>
      <c r="M138" s="2121"/>
    </row>
    <row r="139" spans="1:13" s="420" customFormat="1" ht="14.1" customHeight="1">
      <c r="A139" s="1930"/>
      <c r="B139" s="1944"/>
      <c r="C139" s="1935"/>
      <c r="D139" s="674">
        <v>4219</v>
      </c>
      <c r="E139" s="502">
        <v>1908</v>
      </c>
      <c r="F139" s="502">
        <v>1908</v>
      </c>
      <c r="G139" s="502"/>
      <c r="H139" s="502">
        <v>0</v>
      </c>
      <c r="I139" s="1138">
        <f t="shared" si="16"/>
        <v>0</v>
      </c>
      <c r="J139" s="502"/>
      <c r="K139" s="1139">
        <f t="shared" si="17"/>
        <v>0</v>
      </c>
      <c r="L139" s="1233">
        <f t="shared" si="7"/>
        <v>0</v>
      </c>
      <c r="M139" s="2121"/>
    </row>
    <row r="140" spans="1:13" s="420" customFormat="1" ht="14.1" customHeight="1">
      <c r="A140" s="1930"/>
      <c r="B140" s="1944"/>
      <c r="C140" s="1935"/>
      <c r="D140" s="674">
        <v>4308</v>
      </c>
      <c r="E140" s="502">
        <v>11226</v>
      </c>
      <c r="F140" s="502">
        <v>11226</v>
      </c>
      <c r="G140" s="502"/>
      <c r="H140" s="502">
        <v>0</v>
      </c>
      <c r="I140" s="1138">
        <f t="shared" si="16"/>
        <v>0</v>
      </c>
      <c r="J140" s="502"/>
      <c r="K140" s="1139">
        <f t="shared" si="17"/>
        <v>0</v>
      </c>
      <c r="L140" s="1233">
        <f t="shared" si="7"/>
        <v>0</v>
      </c>
      <c r="M140" s="2121"/>
    </row>
    <row r="141" spans="1:13" s="420" customFormat="1" ht="14.1" customHeight="1">
      <c r="A141" s="1930"/>
      <c r="B141" s="1944"/>
      <c r="C141" s="1935"/>
      <c r="D141" s="674">
        <v>4309</v>
      </c>
      <c r="E141" s="502">
        <v>1248</v>
      </c>
      <c r="F141" s="502">
        <v>1248</v>
      </c>
      <c r="G141" s="502"/>
      <c r="H141" s="502">
        <v>0</v>
      </c>
      <c r="I141" s="1138">
        <f t="shared" si="16"/>
        <v>0</v>
      </c>
      <c r="J141" s="502"/>
      <c r="K141" s="1139">
        <f t="shared" si="17"/>
        <v>0</v>
      </c>
      <c r="L141" s="1233">
        <f t="shared" si="7"/>
        <v>0</v>
      </c>
      <c r="M141" s="2121"/>
    </row>
    <row r="142" spans="1:13" s="420" customFormat="1" ht="14.1" customHeight="1">
      <c r="A142" s="1930"/>
      <c r="B142" s="1944"/>
      <c r="C142" s="668" t="s">
        <v>26</v>
      </c>
      <c r="D142" s="669"/>
      <c r="E142" s="513"/>
      <c r="F142" s="513"/>
      <c r="G142" s="513"/>
      <c r="H142" s="513"/>
      <c r="I142" s="1138"/>
      <c r="J142" s="513"/>
      <c r="K142" s="1137"/>
      <c r="L142" s="1233"/>
      <c r="M142" s="2121"/>
    </row>
    <row r="143" spans="1:13" s="420" customFormat="1" ht="14.1" customHeight="1">
      <c r="A143" s="1930"/>
      <c r="B143" s="1944"/>
      <c r="C143" s="668" t="s">
        <v>27</v>
      </c>
      <c r="D143" s="669"/>
      <c r="E143" s="513"/>
      <c r="F143" s="513"/>
      <c r="G143" s="513"/>
      <c r="H143" s="513"/>
      <c r="I143" s="1138"/>
      <c r="J143" s="513"/>
      <c r="K143" s="1137"/>
      <c r="L143" s="1233"/>
      <c r="M143" s="2121"/>
    </row>
    <row r="144" spans="1:13" s="420" customFormat="1" ht="14.1" customHeight="1">
      <c r="A144" s="1930"/>
      <c r="B144" s="1944"/>
      <c r="C144" s="676" t="s">
        <v>28</v>
      </c>
      <c r="D144" s="677"/>
      <c r="E144" s="528">
        <f>SUM(E145,E147,E148)</f>
        <v>0</v>
      </c>
      <c r="F144" s="528">
        <f>SUM(F145,F147,F148)</f>
        <v>0</v>
      </c>
      <c r="G144" s="528"/>
      <c r="H144" s="528">
        <f>SUM(H145,H147,H148)</f>
        <v>0</v>
      </c>
      <c r="I144" s="808"/>
      <c r="J144" s="528">
        <f>SUM(J145,J147,J148)</f>
        <v>0</v>
      </c>
      <c r="K144" s="1136">
        <f>SUM(K145,K147,K148)</f>
        <v>0</v>
      </c>
      <c r="L144" s="1233"/>
      <c r="M144" s="2121"/>
    </row>
    <row r="145" spans="1:13" s="420" customFormat="1" ht="14.1" customHeight="1">
      <c r="A145" s="1930"/>
      <c r="B145" s="1944"/>
      <c r="C145" s="404" t="s">
        <v>29</v>
      </c>
      <c r="D145" s="669"/>
      <c r="E145" s="513"/>
      <c r="F145" s="513"/>
      <c r="G145" s="513"/>
      <c r="H145" s="513"/>
      <c r="I145" s="809"/>
      <c r="J145" s="513"/>
      <c r="K145" s="1137"/>
      <c r="L145" s="1233"/>
      <c r="M145" s="2121"/>
    </row>
    <row r="146" spans="1:13" s="420" customFormat="1" ht="22.5">
      <c r="A146" s="1930"/>
      <c r="B146" s="1944"/>
      <c r="C146" s="405" t="s">
        <v>30</v>
      </c>
      <c r="D146" s="669"/>
      <c r="E146" s="513"/>
      <c r="F146" s="513"/>
      <c r="G146" s="513"/>
      <c r="H146" s="513"/>
      <c r="I146" s="809"/>
      <c r="J146" s="513"/>
      <c r="K146" s="1137"/>
      <c r="L146" s="1233"/>
      <c r="M146" s="2121"/>
    </row>
    <row r="147" spans="1:13" s="420" customFormat="1" ht="14.1" customHeight="1">
      <c r="A147" s="1930"/>
      <c r="B147" s="1944"/>
      <c r="C147" s="668" t="s">
        <v>31</v>
      </c>
      <c r="D147" s="669"/>
      <c r="E147" s="513"/>
      <c r="F147" s="513"/>
      <c r="G147" s="513"/>
      <c r="H147" s="513"/>
      <c r="I147" s="1138"/>
      <c r="J147" s="513"/>
      <c r="K147" s="1137"/>
      <c r="L147" s="1233"/>
      <c r="M147" s="2121"/>
    </row>
    <row r="148" spans="1:13" s="420" customFormat="1" ht="14.1" customHeight="1" thickBot="1">
      <c r="A148" s="1931"/>
      <c r="B148" s="1945"/>
      <c r="C148" s="679" t="s">
        <v>32</v>
      </c>
      <c r="D148" s="680"/>
      <c r="E148" s="683"/>
      <c r="F148" s="683"/>
      <c r="G148" s="683"/>
      <c r="H148" s="683"/>
      <c r="I148" s="1141"/>
      <c r="J148" s="683"/>
      <c r="K148" s="627"/>
      <c r="L148" s="1233"/>
      <c r="M148" s="2123"/>
    </row>
    <row r="149" spans="1:13" s="289" customFormat="1" ht="15" customHeight="1">
      <c r="A149" s="1154"/>
      <c r="B149" s="2112" t="s">
        <v>16</v>
      </c>
      <c r="C149" s="945" t="s">
        <v>17</v>
      </c>
      <c r="D149" s="1155"/>
      <c r="E149" s="1156">
        <f>SUM(E150,E192)</f>
        <v>3944114</v>
      </c>
      <c r="F149" s="1156">
        <f>SUM(F150,F192)</f>
        <v>3948203</v>
      </c>
      <c r="G149" s="1156"/>
      <c r="H149" s="1156">
        <f>SUM(H150,H192)</f>
        <v>3139185</v>
      </c>
      <c r="I149" s="1157">
        <f>H149/E149</f>
        <v>0.79591639592567553</v>
      </c>
      <c r="J149" s="1156">
        <f>SUM(J150,J192)</f>
        <v>0</v>
      </c>
      <c r="K149" s="1158">
        <f>SUM(K150,K192)</f>
        <v>3139185</v>
      </c>
      <c r="L149" s="1230">
        <f t="shared" si="7"/>
        <v>0.79591639592567553</v>
      </c>
      <c r="M149" s="2074" t="s">
        <v>611</v>
      </c>
    </row>
    <row r="150" spans="1:13" s="257" customFormat="1" ht="15" customHeight="1">
      <c r="A150" s="1159"/>
      <c r="B150" s="1944"/>
      <c r="C150" s="664" t="s">
        <v>18</v>
      </c>
      <c r="D150" s="1160"/>
      <c r="E150" s="528">
        <f>SUM(E151,E163,E164,E165,E190,E191)</f>
        <v>3944114</v>
      </c>
      <c r="F150" s="528">
        <f>SUM(F151,F163,F164,F165,F190,F191)</f>
        <v>3948203</v>
      </c>
      <c r="G150" s="528"/>
      <c r="H150" s="528">
        <f>SUM(H151,H163,H164,H165,H190,H191)</f>
        <v>3139185</v>
      </c>
      <c r="I150" s="1161">
        <f>H150/E150</f>
        <v>0.79591639592567553</v>
      </c>
      <c r="J150" s="528">
        <f>SUM(J151,J163,J164,J165,J190,J191)</f>
        <v>0</v>
      </c>
      <c r="K150" s="1136">
        <f>SUM(K151,K163,K164,K165,K190,K191)</f>
        <v>3139185</v>
      </c>
      <c r="L150" s="1232">
        <f t="shared" si="7"/>
        <v>0.79591639592567553</v>
      </c>
      <c r="M150" s="2075"/>
    </row>
    <row r="151" spans="1:13" s="257" customFormat="1" ht="12" customHeight="1">
      <c r="A151" s="1159"/>
      <c r="B151" s="1944"/>
      <c r="C151" s="668" t="s">
        <v>19</v>
      </c>
      <c r="D151" s="1162"/>
      <c r="E151" s="1163">
        <f>SUM(E152,E153)</f>
        <v>3378450</v>
      </c>
      <c r="F151" s="1163">
        <f>SUM(F152,F153)</f>
        <v>3384636</v>
      </c>
      <c r="G151" s="1163"/>
      <c r="H151" s="1163">
        <f>SUM(H152,H153)</f>
        <v>2972250</v>
      </c>
      <c r="I151" s="1164">
        <f>H151/E151</f>
        <v>0.87976734893220265</v>
      </c>
      <c r="J151" s="1163">
        <f>SUM(J152,J153)</f>
        <v>0</v>
      </c>
      <c r="K151" s="1165">
        <f>SUM(K152,K153)</f>
        <v>2972250</v>
      </c>
      <c r="L151" s="1233">
        <f t="shared" si="7"/>
        <v>0.87976734893220265</v>
      </c>
      <c r="M151" s="2075"/>
    </row>
    <row r="152" spans="1:13" s="257" customFormat="1" ht="12" customHeight="1">
      <c r="A152" s="1159"/>
      <c r="B152" s="1944"/>
      <c r="C152" s="404" t="s">
        <v>20</v>
      </c>
      <c r="D152" s="1162"/>
      <c r="E152" s="1163"/>
      <c r="F152" s="1163"/>
      <c r="G152" s="1163"/>
      <c r="H152" s="1163"/>
      <c r="I152" s="1164"/>
      <c r="J152" s="513"/>
      <c r="K152" s="1137"/>
      <c r="L152" s="1233"/>
      <c r="M152" s="2075"/>
    </row>
    <row r="153" spans="1:13" s="257" customFormat="1" ht="15" customHeight="1">
      <c r="A153" s="1159"/>
      <c r="B153" s="1944"/>
      <c r="C153" s="1934" t="s">
        <v>21</v>
      </c>
      <c r="D153" s="1162" t="s">
        <v>22</v>
      </c>
      <c r="E153" s="1163">
        <f>SUM(E154:E162)</f>
        <v>3378450</v>
      </c>
      <c r="F153" s="1163">
        <f>SUM(F154:F162)</f>
        <v>3384636</v>
      </c>
      <c r="G153" s="1163"/>
      <c r="H153" s="1163">
        <f>SUM(H154:H162)</f>
        <v>2972250</v>
      </c>
      <c r="I153" s="1164">
        <f t="shared" ref="I153:I160" si="18">H153/E153</f>
        <v>0.87976734893220265</v>
      </c>
      <c r="J153" s="513">
        <f>SUM(J154:J162)</f>
        <v>0</v>
      </c>
      <c r="K153" s="1137">
        <f>SUM(K154:K162)</f>
        <v>2972250</v>
      </c>
      <c r="L153" s="1233">
        <f t="shared" si="7"/>
        <v>0.87976734893220265</v>
      </c>
      <c r="M153" s="2075"/>
    </row>
    <row r="154" spans="1:13" s="257" customFormat="1" ht="13.5" customHeight="1">
      <c r="A154" s="1159"/>
      <c r="B154" s="1944"/>
      <c r="C154" s="1935"/>
      <c r="D154" s="1166">
        <v>4210</v>
      </c>
      <c r="E154" s="1167">
        <v>0</v>
      </c>
      <c r="F154" s="1167">
        <v>0</v>
      </c>
      <c r="G154" s="1167"/>
      <c r="H154" s="1167">
        <v>5000</v>
      </c>
      <c r="I154" s="1164"/>
      <c r="J154" s="502"/>
      <c r="K154" s="1139">
        <f t="shared" ref="K154:K162" si="19">H154+J154</f>
        <v>5000</v>
      </c>
      <c r="L154" s="1233"/>
      <c r="M154" s="2075"/>
    </row>
    <row r="155" spans="1:13" s="257" customFormat="1" ht="15" customHeight="1">
      <c r="A155" s="1159"/>
      <c r="B155" s="1944"/>
      <c r="C155" s="1935"/>
      <c r="D155" s="1166">
        <v>4300</v>
      </c>
      <c r="E155" s="1167">
        <v>3128450</v>
      </c>
      <c r="F155" s="1167">
        <v>3128450</v>
      </c>
      <c r="G155" s="1167"/>
      <c r="H155" s="1167">
        <v>2696500</v>
      </c>
      <c r="I155" s="1164">
        <f t="shared" si="18"/>
        <v>0.86192843101216254</v>
      </c>
      <c r="J155" s="502"/>
      <c r="K155" s="1139">
        <f t="shared" si="19"/>
        <v>2696500</v>
      </c>
      <c r="L155" s="1233">
        <f t="shared" si="7"/>
        <v>0.86192843101216254</v>
      </c>
      <c r="M155" s="2075"/>
    </row>
    <row r="156" spans="1:13" s="257" customFormat="1" ht="15" customHeight="1">
      <c r="A156" s="1159"/>
      <c r="B156" s="1944"/>
      <c r="C156" s="1935"/>
      <c r="D156" s="1166">
        <v>4380</v>
      </c>
      <c r="E156" s="1167">
        <v>10000</v>
      </c>
      <c r="F156" s="1167">
        <v>9000</v>
      </c>
      <c r="G156" s="1167"/>
      <c r="H156" s="1167">
        <v>6000</v>
      </c>
      <c r="I156" s="1164">
        <f t="shared" si="18"/>
        <v>0.6</v>
      </c>
      <c r="J156" s="502"/>
      <c r="K156" s="1139">
        <f t="shared" si="19"/>
        <v>6000</v>
      </c>
      <c r="L156" s="1233">
        <f t="shared" si="7"/>
        <v>0.6</v>
      </c>
      <c r="M156" s="2075"/>
    </row>
    <row r="157" spans="1:13" s="257" customFormat="1" ht="15" customHeight="1">
      <c r="A157" s="1159"/>
      <c r="B157" s="1944"/>
      <c r="C157" s="1935"/>
      <c r="D157" s="1166">
        <v>4390</v>
      </c>
      <c r="E157" s="1167">
        <v>27000</v>
      </c>
      <c r="F157" s="1167">
        <v>27000</v>
      </c>
      <c r="G157" s="1167"/>
      <c r="H157" s="1167">
        <v>30000</v>
      </c>
      <c r="I157" s="1164">
        <f t="shared" si="18"/>
        <v>1.1111111111111112</v>
      </c>
      <c r="J157" s="502"/>
      <c r="K157" s="1139">
        <f t="shared" si="19"/>
        <v>30000</v>
      </c>
      <c r="L157" s="1233">
        <f t="shared" ref="L157:L220" si="20">K157/E157</f>
        <v>1.1111111111111112</v>
      </c>
      <c r="M157" s="2075"/>
    </row>
    <row r="158" spans="1:13" s="257" customFormat="1" ht="15" customHeight="1">
      <c r="A158" s="1159"/>
      <c r="B158" s="1944"/>
      <c r="C158" s="1935"/>
      <c r="D158" s="1166">
        <v>4410</v>
      </c>
      <c r="E158" s="1167">
        <v>2000</v>
      </c>
      <c r="F158" s="1167">
        <v>2000</v>
      </c>
      <c r="G158" s="1167"/>
      <c r="H158" s="1167">
        <v>3000</v>
      </c>
      <c r="I158" s="1164">
        <f t="shared" si="18"/>
        <v>1.5</v>
      </c>
      <c r="J158" s="502"/>
      <c r="K158" s="1139">
        <f t="shared" si="19"/>
        <v>3000</v>
      </c>
      <c r="L158" s="1233">
        <f t="shared" si="20"/>
        <v>1.5</v>
      </c>
      <c r="M158" s="2075"/>
    </row>
    <row r="159" spans="1:13" s="257" customFormat="1" ht="15" customHeight="1">
      <c r="A159" s="1159"/>
      <c r="B159" s="1944"/>
      <c r="C159" s="1935"/>
      <c r="D159" s="1166">
        <v>4420</v>
      </c>
      <c r="E159" s="1167">
        <v>3000</v>
      </c>
      <c r="F159" s="1167">
        <v>3000</v>
      </c>
      <c r="G159" s="1167"/>
      <c r="H159" s="1167">
        <v>6750</v>
      </c>
      <c r="I159" s="1164">
        <f t="shared" si="18"/>
        <v>2.25</v>
      </c>
      <c r="J159" s="502"/>
      <c r="K159" s="1139">
        <f t="shared" si="19"/>
        <v>6750</v>
      </c>
      <c r="L159" s="1233">
        <f t="shared" si="20"/>
        <v>2.25</v>
      </c>
      <c r="M159" s="2075"/>
    </row>
    <row r="160" spans="1:13" s="257" customFormat="1" ht="15" customHeight="1">
      <c r="A160" s="1159"/>
      <c r="B160" s="1944"/>
      <c r="C160" s="1935"/>
      <c r="D160" s="1166">
        <v>4430</v>
      </c>
      <c r="E160" s="1167">
        <v>150000</v>
      </c>
      <c r="F160" s="1167">
        <v>156186</v>
      </c>
      <c r="G160" s="1167"/>
      <c r="H160" s="1167">
        <v>170000</v>
      </c>
      <c r="I160" s="1164">
        <f t="shared" si="18"/>
        <v>1.1333333333333333</v>
      </c>
      <c r="J160" s="502"/>
      <c r="K160" s="1139">
        <f t="shared" si="19"/>
        <v>170000</v>
      </c>
      <c r="L160" s="1233">
        <f t="shared" si="20"/>
        <v>1.1333333333333333</v>
      </c>
      <c r="M160" s="2075"/>
    </row>
    <row r="161" spans="1:13" s="257" customFormat="1" ht="15" customHeight="1">
      <c r="A161" s="1159"/>
      <c r="B161" s="1944"/>
      <c r="C161" s="1935"/>
      <c r="D161" s="1166">
        <v>4540</v>
      </c>
      <c r="E161" s="1167">
        <v>48000</v>
      </c>
      <c r="F161" s="1167">
        <v>49000</v>
      </c>
      <c r="G161" s="1167"/>
      <c r="H161" s="1167">
        <v>50000</v>
      </c>
      <c r="I161" s="1164">
        <f>H161/E161</f>
        <v>1.0416666666666667</v>
      </c>
      <c r="J161" s="502"/>
      <c r="K161" s="1139">
        <f t="shared" si="19"/>
        <v>50000</v>
      </c>
      <c r="L161" s="1233">
        <f t="shared" si="20"/>
        <v>1.0416666666666667</v>
      </c>
      <c r="M161" s="2075"/>
    </row>
    <row r="162" spans="1:13" s="257" customFormat="1" ht="14.25" customHeight="1">
      <c r="A162" s="1159"/>
      <c r="B162" s="1944"/>
      <c r="C162" s="1935"/>
      <c r="D162" s="1166">
        <v>4610</v>
      </c>
      <c r="E162" s="1167">
        <v>10000</v>
      </c>
      <c r="F162" s="1167">
        <v>10000</v>
      </c>
      <c r="G162" s="1167"/>
      <c r="H162" s="1167">
        <v>5000</v>
      </c>
      <c r="I162" s="1164">
        <f>H162/E162</f>
        <v>0.5</v>
      </c>
      <c r="J162" s="502"/>
      <c r="K162" s="1139">
        <f t="shared" si="19"/>
        <v>5000</v>
      </c>
      <c r="L162" s="1233">
        <f t="shared" si="20"/>
        <v>0.5</v>
      </c>
      <c r="M162" s="2075"/>
    </row>
    <row r="163" spans="1:13" s="257" customFormat="1" ht="12" customHeight="1">
      <c r="A163" s="1159"/>
      <c r="B163" s="1944"/>
      <c r="C163" s="668" t="s">
        <v>23</v>
      </c>
      <c r="D163" s="1162"/>
      <c r="E163" s="1163"/>
      <c r="F163" s="1163"/>
      <c r="G163" s="1163"/>
      <c r="H163" s="513"/>
      <c r="I163" s="1164"/>
      <c r="J163" s="513"/>
      <c r="K163" s="1139"/>
      <c r="L163" s="1233"/>
      <c r="M163" s="2075"/>
    </row>
    <row r="164" spans="1:13" s="257" customFormat="1" ht="12" customHeight="1">
      <c r="A164" s="1159"/>
      <c r="B164" s="1944"/>
      <c r="C164" s="668" t="s">
        <v>24</v>
      </c>
      <c r="D164" s="1162"/>
      <c r="E164" s="1163"/>
      <c r="F164" s="1163"/>
      <c r="G164" s="1163"/>
      <c r="H164" s="513"/>
      <c r="I164" s="1164"/>
      <c r="J164" s="513"/>
      <c r="K164" s="1139"/>
      <c r="L164" s="1233"/>
      <c r="M164" s="2075"/>
    </row>
    <row r="165" spans="1:13" ht="16.5" customHeight="1">
      <c r="A165" s="1159"/>
      <c r="B165" s="1944"/>
      <c r="C165" s="1934" t="s">
        <v>90</v>
      </c>
      <c r="D165" s="1168" t="s">
        <v>22</v>
      </c>
      <c r="E165" s="1169">
        <f>SUM(E166:E189)</f>
        <v>565664</v>
      </c>
      <c r="F165" s="1169">
        <f>SUM(F166:F189)</f>
        <v>563567</v>
      </c>
      <c r="G165" s="1169">
        <f>SUM(G166:G189)</f>
        <v>0</v>
      </c>
      <c r="H165" s="1169">
        <f>SUM(H166:H189)</f>
        <v>166935</v>
      </c>
      <c r="I165" s="1164">
        <f>H165/E165</f>
        <v>0.29511335351021101</v>
      </c>
      <c r="J165" s="1169">
        <f>SUM(J166:J189)</f>
        <v>0</v>
      </c>
      <c r="K165" s="1170">
        <f>SUM(K166:K189)</f>
        <v>166935</v>
      </c>
      <c r="L165" s="1233">
        <f t="shared" si="20"/>
        <v>0.29511335351021101</v>
      </c>
      <c r="M165" s="2075"/>
    </row>
    <row r="166" spans="1:13" ht="15" customHeight="1">
      <c r="A166" s="1159"/>
      <c r="B166" s="1944"/>
      <c r="C166" s="1935"/>
      <c r="D166" s="1171">
        <v>4018</v>
      </c>
      <c r="E166" s="502">
        <v>79315</v>
      </c>
      <c r="F166" s="1172">
        <v>72631</v>
      </c>
      <c r="G166" s="1172"/>
      <c r="H166" s="502">
        <v>73732</v>
      </c>
      <c r="I166" s="1164">
        <f t="shared" ref="I166:I189" si="21">H166/E166</f>
        <v>0.92960978377356107</v>
      </c>
      <c r="J166" s="502"/>
      <c r="K166" s="1173">
        <f t="shared" ref="K166:K189" si="22">J166+H166</f>
        <v>73732</v>
      </c>
      <c r="L166" s="1233">
        <f t="shared" si="20"/>
        <v>0.92960978377356107</v>
      </c>
      <c r="M166" s="2075"/>
    </row>
    <row r="167" spans="1:13" ht="15" customHeight="1">
      <c r="A167" s="1159"/>
      <c r="B167" s="1944"/>
      <c r="C167" s="1935"/>
      <c r="D167" s="1171">
        <v>4019</v>
      </c>
      <c r="E167" s="502">
        <v>16235</v>
      </c>
      <c r="F167" s="1172">
        <v>16054</v>
      </c>
      <c r="G167" s="1172"/>
      <c r="H167" s="502">
        <v>13011</v>
      </c>
      <c r="I167" s="1164">
        <f t="shared" si="21"/>
        <v>0.8014166923313828</v>
      </c>
      <c r="J167" s="502"/>
      <c r="K167" s="1173">
        <f t="shared" si="22"/>
        <v>13011</v>
      </c>
      <c r="L167" s="1233">
        <f t="shared" si="20"/>
        <v>0.8014166923313828</v>
      </c>
      <c r="M167" s="2075"/>
    </row>
    <row r="168" spans="1:13" ht="15" customHeight="1">
      <c r="A168" s="1159"/>
      <c r="B168" s="1944"/>
      <c r="C168" s="1935"/>
      <c r="D168" s="1171">
        <v>4048</v>
      </c>
      <c r="E168" s="502">
        <v>5100</v>
      </c>
      <c r="F168" s="1172">
        <v>5100</v>
      </c>
      <c r="G168" s="1172"/>
      <c r="H168" s="502">
        <v>5950</v>
      </c>
      <c r="I168" s="1164">
        <f t="shared" si="21"/>
        <v>1.1666666666666667</v>
      </c>
      <c r="J168" s="502"/>
      <c r="K168" s="1173">
        <f t="shared" si="22"/>
        <v>5950</v>
      </c>
      <c r="L168" s="1233">
        <f t="shared" si="20"/>
        <v>1.1666666666666667</v>
      </c>
      <c r="M168" s="2075"/>
    </row>
    <row r="169" spans="1:13" ht="15" customHeight="1">
      <c r="A169" s="1159"/>
      <c r="B169" s="1944"/>
      <c r="C169" s="1935"/>
      <c r="D169" s="1171">
        <v>4049</v>
      </c>
      <c r="E169" s="502">
        <v>900</v>
      </c>
      <c r="F169" s="1172">
        <v>900</v>
      </c>
      <c r="G169" s="1172"/>
      <c r="H169" s="502">
        <v>1050</v>
      </c>
      <c r="I169" s="1164">
        <f t="shared" si="21"/>
        <v>1.1666666666666667</v>
      </c>
      <c r="J169" s="502"/>
      <c r="K169" s="1173">
        <f t="shared" si="22"/>
        <v>1050</v>
      </c>
      <c r="L169" s="1233">
        <f t="shared" si="20"/>
        <v>1.1666666666666667</v>
      </c>
      <c r="M169" s="2075"/>
    </row>
    <row r="170" spans="1:13" ht="15" customHeight="1">
      <c r="A170" s="1159"/>
      <c r="B170" s="1944"/>
      <c r="C170" s="1935"/>
      <c r="D170" s="1171">
        <v>4118</v>
      </c>
      <c r="E170" s="502">
        <v>13639</v>
      </c>
      <c r="F170" s="1172">
        <v>11886</v>
      </c>
      <c r="G170" s="1172"/>
      <c r="H170" s="502">
        <v>12674</v>
      </c>
      <c r="I170" s="1164">
        <f t="shared" si="21"/>
        <v>0.9292470122442994</v>
      </c>
      <c r="J170" s="502"/>
      <c r="K170" s="1173">
        <f t="shared" si="22"/>
        <v>12674</v>
      </c>
      <c r="L170" s="1233">
        <f t="shared" si="20"/>
        <v>0.9292470122442994</v>
      </c>
      <c r="M170" s="2075"/>
    </row>
    <row r="171" spans="1:13" ht="15" customHeight="1">
      <c r="A171" s="1159"/>
      <c r="B171" s="1944"/>
      <c r="C171" s="1935"/>
      <c r="D171" s="1171">
        <v>4119</v>
      </c>
      <c r="E171" s="502">
        <v>2794</v>
      </c>
      <c r="F171" s="1172">
        <v>2654</v>
      </c>
      <c r="G171" s="1172"/>
      <c r="H171" s="502">
        <v>2237</v>
      </c>
      <c r="I171" s="1164">
        <f t="shared" si="21"/>
        <v>0.80064423765211168</v>
      </c>
      <c r="J171" s="502"/>
      <c r="K171" s="1173">
        <f t="shared" si="22"/>
        <v>2237</v>
      </c>
      <c r="L171" s="1233">
        <f t="shared" si="20"/>
        <v>0.80064423765211168</v>
      </c>
      <c r="M171" s="2075"/>
    </row>
    <row r="172" spans="1:13" ht="15" customHeight="1">
      <c r="A172" s="1159"/>
      <c r="B172" s="1944"/>
      <c r="C172" s="1935"/>
      <c r="D172" s="1171">
        <v>4128</v>
      </c>
      <c r="E172" s="502">
        <v>1943</v>
      </c>
      <c r="F172" s="1172">
        <v>1694</v>
      </c>
      <c r="G172" s="1172"/>
      <c r="H172" s="502">
        <v>1806</v>
      </c>
      <c r="I172" s="1164">
        <f t="shared" si="21"/>
        <v>0.92949047864127643</v>
      </c>
      <c r="J172" s="502"/>
      <c r="K172" s="1173">
        <f t="shared" si="22"/>
        <v>1806</v>
      </c>
      <c r="L172" s="1233">
        <f t="shared" si="20"/>
        <v>0.92949047864127643</v>
      </c>
      <c r="M172" s="2075"/>
    </row>
    <row r="173" spans="1:13" ht="15" customHeight="1">
      <c r="A173" s="1159"/>
      <c r="B173" s="1944"/>
      <c r="C173" s="1935"/>
      <c r="D173" s="1171">
        <v>4129</v>
      </c>
      <c r="E173" s="502">
        <v>399</v>
      </c>
      <c r="F173" s="1172">
        <v>379</v>
      </c>
      <c r="G173" s="1172"/>
      <c r="H173" s="502">
        <v>319</v>
      </c>
      <c r="I173" s="1164">
        <f t="shared" si="21"/>
        <v>0.79949874686716793</v>
      </c>
      <c r="J173" s="502"/>
      <c r="K173" s="1173">
        <f t="shared" si="22"/>
        <v>319</v>
      </c>
      <c r="L173" s="1233">
        <f t="shared" si="20"/>
        <v>0.79949874686716793</v>
      </c>
      <c r="M173" s="2075"/>
    </row>
    <row r="174" spans="1:13" ht="15" customHeight="1">
      <c r="A174" s="1159"/>
      <c r="B174" s="1944"/>
      <c r="C174" s="1935"/>
      <c r="D174" s="1171">
        <v>4218</v>
      </c>
      <c r="E174" s="502">
        <v>9346</v>
      </c>
      <c r="F174" s="1172">
        <v>9346</v>
      </c>
      <c r="G174" s="1172"/>
      <c r="H174" s="502">
        <v>7207</v>
      </c>
      <c r="I174" s="1164">
        <f t="shared" si="21"/>
        <v>0.77113203509522787</v>
      </c>
      <c r="J174" s="502"/>
      <c r="K174" s="1173">
        <f t="shared" si="22"/>
        <v>7207</v>
      </c>
      <c r="L174" s="1233">
        <f t="shared" si="20"/>
        <v>0.77113203509522787</v>
      </c>
      <c r="M174" s="2075"/>
    </row>
    <row r="175" spans="1:13" ht="15" customHeight="1">
      <c r="A175" s="1159"/>
      <c r="B175" s="1944"/>
      <c r="C175" s="1935"/>
      <c r="D175" s="1171">
        <v>4219</v>
      </c>
      <c r="E175" s="502">
        <v>1649</v>
      </c>
      <c r="F175" s="1172">
        <v>1649</v>
      </c>
      <c r="G175" s="1172"/>
      <c r="H175" s="502">
        <v>1271</v>
      </c>
      <c r="I175" s="1164">
        <f t="shared" si="21"/>
        <v>0.77077016373559737</v>
      </c>
      <c r="J175" s="502"/>
      <c r="K175" s="1173">
        <f t="shared" si="22"/>
        <v>1271</v>
      </c>
      <c r="L175" s="1233">
        <f t="shared" si="20"/>
        <v>0.77077016373559737</v>
      </c>
      <c r="M175" s="2075"/>
    </row>
    <row r="176" spans="1:13" ht="15" customHeight="1">
      <c r="A176" s="1159"/>
      <c r="B176" s="1944"/>
      <c r="C176" s="1935"/>
      <c r="D176" s="1171">
        <v>4308</v>
      </c>
      <c r="E176" s="502">
        <v>246052</v>
      </c>
      <c r="F176" s="1172">
        <v>306384</v>
      </c>
      <c r="G176" s="1172"/>
      <c r="H176" s="502">
        <v>34680</v>
      </c>
      <c r="I176" s="1164">
        <f t="shared" si="21"/>
        <v>0.14094581633150716</v>
      </c>
      <c r="J176" s="502"/>
      <c r="K176" s="1173">
        <f t="shared" si="22"/>
        <v>34680</v>
      </c>
      <c r="L176" s="1233">
        <f t="shared" si="20"/>
        <v>0.14094581633150716</v>
      </c>
      <c r="M176" s="2075"/>
    </row>
    <row r="177" spans="1:13" ht="15" customHeight="1">
      <c r="A177" s="1159"/>
      <c r="B177" s="1944"/>
      <c r="C177" s="1935"/>
      <c r="D177" s="1171">
        <v>4309</v>
      </c>
      <c r="E177" s="502">
        <v>71051</v>
      </c>
      <c r="F177" s="1172">
        <v>89585</v>
      </c>
      <c r="G177" s="1172"/>
      <c r="H177" s="502">
        <v>6120</v>
      </c>
      <c r="I177" s="1164">
        <f t="shared" si="21"/>
        <v>8.6135311255295485E-2</v>
      </c>
      <c r="J177" s="502"/>
      <c r="K177" s="1173">
        <f t="shared" si="22"/>
        <v>6120</v>
      </c>
      <c r="L177" s="1233">
        <f t="shared" si="20"/>
        <v>8.6135311255295485E-2</v>
      </c>
      <c r="M177" s="2075"/>
    </row>
    <row r="178" spans="1:13" ht="15" customHeight="1">
      <c r="A178" s="1159"/>
      <c r="B178" s="1944"/>
      <c r="C178" s="1935"/>
      <c r="D178" s="1171">
        <v>4388</v>
      </c>
      <c r="E178" s="502">
        <v>850</v>
      </c>
      <c r="F178" s="1172">
        <v>850</v>
      </c>
      <c r="G178" s="1172"/>
      <c r="H178" s="502">
        <v>0</v>
      </c>
      <c r="I178" s="1164">
        <f t="shared" si="21"/>
        <v>0</v>
      </c>
      <c r="J178" s="502"/>
      <c r="K178" s="1173">
        <f t="shared" si="22"/>
        <v>0</v>
      </c>
      <c r="L178" s="1233">
        <f t="shared" si="20"/>
        <v>0</v>
      </c>
      <c r="M178" s="2075"/>
    </row>
    <row r="179" spans="1:13" ht="15" customHeight="1">
      <c r="A179" s="1159"/>
      <c r="B179" s="1944"/>
      <c r="C179" s="1935"/>
      <c r="D179" s="1171">
        <v>4389</v>
      </c>
      <c r="E179" s="502">
        <v>150</v>
      </c>
      <c r="F179" s="1172">
        <v>150</v>
      </c>
      <c r="G179" s="1172"/>
      <c r="H179" s="502">
        <v>0</v>
      </c>
      <c r="I179" s="1164">
        <f t="shared" si="21"/>
        <v>0</v>
      </c>
      <c r="J179" s="502"/>
      <c r="K179" s="1173">
        <f t="shared" si="22"/>
        <v>0</v>
      </c>
      <c r="L179" s="1233">
        <f t="shared" si="20"/>
        <v>0</v>
      </c>
      <c r="M179" s="2075"/>
    </row>
    <row r="180" spans="1:13" ht="15" customHeight="1">
      <c r="A180" s="1159"/>
      <c r="B180" s="1944"/>
      <c r="C180" s="1935"/>
      <c r="D180" s="1171">
        <v>4398</v>
      </c>
      <c r="E180" s="502">
        <v>76500</v>
      </c>
      <c r="F180" s="1172">
        <v>0</v>
      </c>
      <c r="G180" s="1172"/>
      <c r="H180" s="502">
        <v>0</v>
      </c>
      <c r="I180" s="1164">
        <f t="shared" si="21"/>
        <v>0</v>
      </c>
      <c r="J180" s="502"/>
      <c r="K180" s="1173">
        <f t="shared" si="22"/>
        <v>0</v>
      </c>
      <c r="L180" s="1233">
        <f t="shared" si="20"/>
        <v>0</v>
      </c>
      <c r="M180" s="2075"/>
    </row>
    <row r="181" spans="1:13" ht="15" customHeight="1">
      <c r="A181" s="1159"/>
      <c r="B181" s="1944"/>
      <c r="C181" s="1935"/>
      <c r="D181" s="1171">
        <v>4399</v>
      </c>
      <c r="E181" s="502">
        <v>23500</v>
      </c>
      <c r="F181" s="1172">
        <v>0</v>
      </c>
      <c r="G181" s="1172"/>
      <c r="H181" s="502">
        <v>0</v>
      </c>
      <c r="I181" s="1164">
        <f t="shared" si="21"/>
        <v>0</v>
      </c>
      <c r="J181" s="502"/>
      <c r="K181" s="1173">
        <f t="shared" si="22"/>
        <v>0</v>
      </c>
      <c r="L181" s="1233">
        <f t="shared" si="20"/>
        <v>0</v>
      </c>
      <c r="M181" s="2075"/>
    </row>
    <row r="182" spans="1:13" ht="15" customHeight="1">
      <c r="A182" s="1159"/>
      <c r="B182" s="1944"/>
      <c r="C182" s="1935"/>
      <c r="D182" s="1171">
        <v>4418</v>
      </c>
      <c r="E182" s="502">
        <v>6863</v>
      </c>
      <c r="F182" s="1172">
        <v>9543</v>
      </c>
      <c r="G182" s="1172"/>
      <c r="H182" s="502">
        <v>2718</v>
      </c>
      <c r="I182" s="1164">
        <f t="shared" si="21"/>
        <v>0.39603671863616496</v>
      </c>
      <c r="J182" s="502"/>
      <c r="K182" s="1173">
        <f t="shared" si="22"/>
        <v>2718</v>
      </c>
      <c r="L182" s="1233">
        <f t="shared" si="20"/>
        <v>0.39603671863616496</v>
      </c>
      <c r="M182" s="2075"/>
    </row>
    <row r="183" spans="1:13" ht="15" customHeight="1">
      <c r="A183" s="1159"/>
      <c r="B183" s="1944"/>
      <c r="C183" s="1935"/>
      <c r="D183" s="1171">
        <v>4419</v>
      </c>
      <c r="E183" s="502">
        <v>1719</v>
      </c>
      <c r="F183" s="1172">
        <v>2543</v>
      </c>
      <c r="G183" s="1172"/>
      <c r="H183" s="502">
        <v>480</v>
      </c>
      <c r="I183" s="1164">
        <f t="shared" si="21"/>
        <v>0.27923211169284468</v>
      </c>
      <c r="J183" s="502"/>
      <c r="K183" s="1173">
        <f t="shared" si="22"/>
        <v>480</v>
      </c>
      <c r="L183" s="1233">
        <f t="shared" si="20"/>
        <v>0.27923211169284468</v>
      </c>
      <c r="M183" s="2075"/>
    </row>
    <row r="184" spans="1:13" ht="15" customHeight="1">
      <c r="A184" s="1159"/>
      <c r="B184" s="1944"/>
      <c r="C184" s="1935"/>
      <c r="D184" s="1171">
        <v>4428</v>
      </c>
      <c r="E184" s="502">
        <v>2125</v>
      </c>
      <c r="F184" s="1172">
        <v>2125</v>
      </c>
      <c r="G184" s="1172"/>
      <c r="H184" s="502">
        <v>1275</v>
      </c>
      <c r="I184" s="1164">
        <f t="shared" si="21"/>
        <v>0.6</v>
      </c>
      <c r="J184" s="502"/>
      <c r="K184" s="1173">
        <f t="shared" si="22"/>
        <v>1275</v>
      </c>
      <c r="L184" s="1233">
        <f t="shared" si="20"/>
        <v>0.6</v>
      </c>
      <c r="M184" s="2075"/>
    </row>
    <row r="185" spans="1:13" ht="15" customHeight="1">
      <c r="A185" s="1159"/>
      <c r="B185" s="1944"/>
      <c r="C185" s="1935"/>
      <c r="D185" s="1171">
        <v>4429</v>
      </c>
      <c r="E185" s="502">
        <v>375</v>
      </c>
      <c r="F185" s="1172">
        <v>375</v>
      </c>
      <c r="G185" s="1172"/>
      <c r="H185" s="502">
        <v>225</v>
      </c>
      <c r="I185" s="1164">
        <f t="shared" si="21"/>
        <v>0.6</v>
      </c>
      <c r="J185" s="502"/>
      <c r="K185" s="1173">
        <f t="shared" si="22"/>
        <v>225</v>
      </c>
      <c r="L185" s="1233">
        <f t="shared" si="20"/>
        <v>0.6</v>
      </c>
      <c r="M185" s="2075"/>
    </row>
    <row r="186" spans="1:13" ht="15" customHeight="1">
      <c r="A186" s="1159"/>
      <c r="B186" s="1944"/>
      <c r="C186" s="1935"/>
      <c r="D186" s="1171">
        <v>4708</v>
      </c>
      <c r="E186" s="502">
        <v>3889</v>
      </c>
      <c r="F186" s="1172">
        <v>24419</v>
      </c>
      <c r="G186" s="1172"/>
      <c r="H186" s="502">
        <v>1853</v>
      </c>
      <c r="I186" s="1164">
        <f t="shared" si="21"/>
        <v>0.4764721007971201</v>
      </c>
      <c r="J186" s="502"/>
      <c r="K186" s="1173">
        <f t="shared" si="22"/>
        <v>1853</v>
      </c>
      <c r="L186" s="1233">
        <f t="shared" si="20"/>
        <v>0.4764721007971201</v>
      </c>
      <c r="M186" s="2075"/>
    </row>
    <row r="187" spans="1:13" ht="15" customHeight="1">
      <c r="A187" s="1159"/>
      <c r="B187" s="1944"/>
      <c r="C187" s="1935"/>
      <c r="D187" s="1171">
        <v>4709</v>
      </c>
      <c r="E187" s="502">
        <v>1195</v>
      </c>
      <c r="F187" s="1172">
        <v>5169</v>
      </c>
      <c r="G187" s="1172"/>
      <c r="H187" s="502">
        <v>327</v>
      </c>
      <c r="I187" s="1164">
        <f t="shared" si="21"/>
        <v>0.27364016736401675</v>
      </c>
      <c r="J187" s="502"/>
      <c r="K187" s="1173">
        <f t="shared" si="22"/>
        <v>327</v>
      </c>
      <c r="L187" s="1233">
        <f t="shared" si="20"/>
        <v>0.27364016736401675</v>
      </c>
      <c r="M187" s="2075"/>
    </row>
    <row r="188" spans="1:13" ht="15" customHeight="1">
      <c r="A188" s="1159"/>
      <c r="B188" s="1944"/>
      <c r="C188" s="1935"/>
      <c r="D188" s="1171">
        <v>4718</v>
      </c>
      <c r="E188" s="502">
        <v>56</v>
      </c>
      <c r="F188" s="1172">
        <v>97</v>
      </c>
      <c r="G188" s="1172"/>
      <c r="H188" s="502">
        <v>0</v>
      </c>
      <c r="I188" s="1164">
        <f t="shared" si="21"/>
        <v>0</v>
      </c>
      <c r="J188" s="502"/>
      <c r="K188" s="1173">
        <f t="shared" si="22"/>
        <v>0</v>
      </c>
      <c r="L188" s="1233">
        <f t="shared" si="20"/>
        <v>0</v>
      </c>
      <c r="M188" s="2075"/>
    </row>
    <row r="189" spans="1:13" s="257" customFormat="1" ht="15" customHeight="1">
      <c r="A189" s="1159"/>
      <c r="B189" s="1944"/>
      <c r="C189" s="1935"/>
      <c r="D189" s="1171">
        <v>4719</v>
      </c>
      <c r="E189" s="502">
        <v>19</v>
      </c>
      <c r="F189" s="1172">
        <v>34</v>
      </c>
      <c r="G189" s="1172"/>
      <c r="H189" s="502">
        <v>0</v>
      </c>
      <c r="I189" s="1164">
        <f t="shared" si="21"/>
        <v>0</v>
      </c>
      <c r="J189" s="502"/>
      <c r="K189" s="1173">
        <f t="shared" si="22"/>
        <v>0</v>
      </c>
      <c r="L189" s="1233">
        <f t="shared" si="20"/>
        <v>0</v>
      </c>
      <c r="M189" s="2075"/>
    </row>
    <row r="190" spans="1:13" s="289" customFormat="1" ht="12" customHeight="1">
      <c r="A190" s="1159"/>
      <c r="B190" s="1944"/>
      <c r="C190" s="668" t="s">
        <v>26</v>
      </c>
      <c r="D190" s="1162"/>
      <c r="E190" s="1163"/>
      <c r="F190" s="1163"/>
      <c r="G190" s="1163"/>
      <c r="H190" s="513"/>
      <c r="I190" s="1164"/>
      <c r="J190" s="513"/>
      <c r="K190" s="1139"/>
      <c r="L190" s="1233"/>
      <c r="M190" s="2075"/>
    </row>
    <row r="191" spans="1:13" s="257" customFormat="1" ht="12" customHeight="1">
      <c r="A191" s="1159"/>
      <c r="B191" s="1944"/>
      <c r="C191" s="169" t="s">
        <v>27</v>
      </c>
      <c r="D191" s="202"/>
      <c r="E191" s="203"/>
      <c r="F191" s="203"/>
      <c r="G191" s="203"/>
      <c r="H191" s="579"/>
      <c r="I191" s="778"/>
      <c r="J191" s="579"/>
      <c r="K191" s="702"/>
      <c r="L191" s="1233"/>
      <c r="M191" s="2075"/>
    </row>
    <row r="192" spans="1:13" s="189" customFormat="1" ht="12" customHeight="1">
      <c r="A192" s="1159"/>
      <c r="B192" s="1186"/>
      <c r="C192" s="911" t="s">
        <v>28</v>
      </c>
      <c r="D192" s="902"/>
      <c r="E192" s="912">
        <f>SUM(E196,E195,E193)</f>
        <v>0</v>
      </c>
      <c r="F192" s="912">
        <f>SUM(F196,F195,F193)</f>
        <v>0</v>
      </c>
      <c r="G192" s="912"/>
      <c r="H192" s="912">
        <f>SUM(H196,H195,H193)</f>
        <v>0</v>
      </c>
      <c r="I192" s="1358"/>
      <c r="J192" s="912">
        <f>SUM(J196,J195,J193)</f>
        <v>0</v>
      </c>
      <c r="K192" s="912">
        <f>SUM(K196,K195,K193)</f>
        <v>0</v>
      </c>
      <c r="L192" s="1233"/>
      <c r="M192" s="1244"/>
    </row>
    <row r="193" spans="1:13" s="189" customFormat="1" ht="12" customHeight="1">
      <c r="A193" s="1159"/>
      <c r="B193" s="1186"/>
      <c r="C193" s="404" t="s">
        <v>29</v>
      </c>
      <c r="D193" s="905"/>
      <c r="E193" s="907"/>
      <c r="F193" s="907"/>
      <c r="G193" s="907"/>
      <c r="H193" s="907"/>
      <c r="I193" s="1352"/>
      <c r="J193" s="906"/>
      <c r="K193" s="909"/>
      <c r="L193" s="1233"/>
      <c r="M193" s="1244"/>
    </row>
    <row r="194" spans="1:13" s="178" customFormat="1" ht="22.5">
      <c r="A194" s="1159"/>
      <c r="B194" s="1186"/>
      <c r="C194" s="405" t="s">
        <v>109</v>
      </c>
      <c r="D194" s="908"/>
      <c r="E194" s="909"/>
      <c r="F194" s="909"/>
      <c r="G194" s="909"/>
      <c r="H194" s="909"/>
      <c r="I194" s="1352"/>
      <c r="J194" s="906"/>
      <c r="K194" s="906"/>
      <c r="L194" s="1233"/>
      <c r="M194" s="1244"/>
    </row>
    <row r="195" spans="1:13" s="178" customFormat="1" ht="12" customHeight="1">
      <c r="A195" s="1159"/>
      <c r="B195" s="1186"/>
      <c r="C195" s="904" t="s">
        <v>31</v>
      </c>
      <c r="D195" s="905"/>
      <c r="E195" s="1354"/>
      <c r="F195" s="907"/>
      <c r="G195" s="907"/>
      <c r="H195" s="906"/>
      <c r="I195" s="1352"/>
      <c r="J195" s="906"/>
      <c r="K195" s="1329"/>
      <c r="L195" s="1233"/>
      <c r="M195" s="1244"/>
    </row>
    <row r="196" spans="1:13" s="178" customFormat="1" ht="12" customHeight="1" thickBot="1">
      <c r="A196" s="1174"/>
      <c r="B196" s="1245"/>
      <c r="C196" s="679" t="s">
        <v>32</v>
      </c>
      <c r="D196" s="1242"/>
      <c r="E196" s="1243"/>
      <c r="F196" s="1243"/>
      <c r="G196" s="1243"/>
      <c r="H196" s="683"/>
      <c r="I196" s="1178"/>
      <c r="J196" s="683"/>
      <c r="K196" s="1176"/>
      <c r="L196" s="1233"/>
      <c r="M196" s="1246"/>
    </row>
    <row r="197" spans="1:13" s="640" customFormat="1" ht="22.5">
      <c r="A197" s="392" t="s">
        <v>138</v>
      </c>
      <c r="B197" s="393"/>
      <c r="C197" s="1068" t="s">
        <v>587</v>
      </c>
      <c r="D197" s="1247"/>
      <c r="E197" s="395">
        <f>SUM(E198,E275)</f>
        <v>16632000</v>
      </c>
      <c r="F197" s="395">
        <f>SUM(F198,F275)</f>
        <v>26498617</v>
      </c>
      <c r="G197" s="395"/>
      <c r="H197" s="395">
        <f>SUM(H198,H275)</f>
        <v>17607467</v>
      </c>
      <c r="I197" s="396">
        <f t="shared" ref="I197:I227" si="23">H197/E197</f>
        <v>1.058650012025012</v>
      </c>
      <c r="J197" s="395">
        <f>SUM(J198,J275)</f>
        <v>700000</v>
      </c>
      <c r="K197" s="1151">
        <f>SUM(K198,K275)</f>
        <v>18307467</v>
      </c>
      <c r="L197" s="1010">
        <f t="shared" si="20"/>
        <v>1.1007375541125541</v>
      </c>
      <c r="M197" s="1152"/>
    </row>
    <row r="198" spans="1:13" s="420" customFormat="1" ht="15.75" customHeight="1">
      <c r="A198" s="1215"/>
      <c r="B198" s="1972" t="s">
        <v>588</v>
      </c>
      <c r="C198" s="660" t="s">
        <v>589</v>
      </c>
      <c r="D198" s="661"/>
      <c r="E198" s="525">
        <f>SUM(E199,E268)</f>
        <v>15784000</v>
      </c>
      <c r="F198" s="525">
        <f>SUM(F199,F268)</f>
        <v>17338776</v>
      </c>
      <c r="G198" s="525"/>
      <c r="H198" s="525">
        <f>SUM(H199,H268)</f>
        <v>17607467</v>
      </c>
      <c r="I198" s="1208">
        <f t="shared" si="23"/>
        <v>1.1155262924480487</v>
      </c>
      <c r="J198" s="525">
        <f>SUM(J199,J268)</f>
        <v>700000</v>
      </c>
      <c r="K198" s="1135">
        <f>SUM(K199,K268)</f>
        <v>18307467</v>
      </c>
      <c r="L198" s="1230">
        <f t="shared" si="20"/>
        <v>1.159875</v>
      </c>
      <c r="M198" s="2137" t="s">
        <v>625</v>
      </c>
    </row>
    <row r="199" spans="1:13" s="420" customFormat="1" ht="15" customHeight="1">
      <c r="A199" s="1159"/>
      <c r="B199" s="1944"/>
      <c r="C199" s="664" t="s">
        <v>18</v>
      </c>
      <c r="D199" s="665"/>
      <c r="E199" s="528">
        <f>SUM(E200,E228,E229,E232,E266,E267,)</f>
        <v>15586000</v>
      </c>
      <c r="F199" s="528">
        <f>SUM(F200,F228,F229,F232,F266,F267,)</f>
        <v>17140776</v>
      </c>
      <c r="G199" s="528"/>
      <c r="H199" s="528">
        <f>SUM(H200,H228,H229,H232,H266,H267,)</f>
        <v>17389667</v>
      </c>
      <c r="I199" s="808">
        <f t="shared" si="23"/>
        <v>1.1157235339407161</v>
      </c>
      <c r="J199" s="528">
        <f>SUM(J200,J228,J229,J232,J266,J267,)</f>
        <v>500000</v>
      </c>
      <c r="K199" s="1136">
        <f>SUM(K200,K228,K229,K232,K266,K267,)</f>
        <v>17889667</v>
      </c>
      <c r="L199" s="1232">
        <f t="shared" si="20"/>
        <v>1.1478036058000769</v>
      </c>
      <c r="M199" s="2138"/>
    </row>
    <row r="200" spans="1:13" s="420" customFormat="1" ht="15" customHeight="1">
      <c r="A200" s="1159"/>
      <c r="B200" s="1944"/>
      <c r="C200" s="668" t="s">
        <v>19</v>
      </c>
      <c r="D200" s="669"/>
      <c r="E200" s="513">
        <f>SUM(E201,E208)</f>
        <v>11439037</v>
      </c>
      <c r="F200" s="513">
        <f>SUM(F201,F208)</f>
        <v>12993627</v>
      </c>
      <c r="G200" s="513"/>
      <c r="H200" s="513">
        <f>SUM(H201,H208)</f>
        <v>13170887</v>
      </c>
      <c r="I200" s="809">
        <f t="shared" si="23"/>
        <v>1.1513982339597293</v>
      </c>
      <c r="J200" s="513">
        <f>SUM(J201,J208)</f>
        <v>500000</v>
      </c>
      <c r="K200" s="1137">
        <f>SUM(K201,K208)</f>
        <v>13670887</v>
      </c>
      <c r="L200" s="1233">
        <f t="shared" si="20"/>
        <v>1.1951082070982024</v>
      </c>
      <c r="M200" s="2138"/>
    </row>
    <row r="201" spans="1:13" s="420" customFormat="1" ht="15" customHeight="1">
      <c r="A201" s="1159"/>
      <c r="B201" s="1944"/>
      <c r="C201" s="1938" t="s">
        <v>20</v>
      </c>
      <c r="D201" s="669" t="s">
        <v>22</v>
      </c>
      <c r="E201" s="513">
        <f>SUM(E202:E207)</f>
        <v>9273471</v>
      </c>
      <c r="F201" s="513">
        <f>SUM(F202:F207)</f>
        <v>10794265</v>
      </c>
      <c r="G201" s="513"/>
      <c r="H201" s="513">
        <f>SUM(H202:H207)</f>
        <v>10694299</v>
      </c>
      <c r="I201" s="809">
        <f t="shared" si="23"/>
        <v>1.1532142603346687</v>
      </c>
      <c r="J201" s="513">
        <f>SUM(J202:J207)</f>
        <v>500000</v>
      </c>
      <c r="K201" s="1137">
        <f>SUM(K202:K207)</f>
        <v>11194299</v>
      </c>
      <c r="L201" s="1233">
        <f t="shared" si="20"/>
        <v>1.2071315044819788</v>
      </c>
      <c r="M201" s="2138"/>
    </row>
    <row r="202" spans="1:13" s="420" customFormat="1" ht="15" customHeight="1">
      <c r="A202" s="1159"/>
      <c r="B202" s="1944"/>
      <c r="C202" s="1939"/>
      <c r="D202" s="674">
        <v>4010</v>
      </c>
      <c r="E202" s="502">
        <v>7192075</v>
      </c>
      <c r="F202" s="502">
        <v>8492075</v>
      </c>
      <c r="G202" s="502"/>
      <c r="H202" s="502">
        <v>8246818</v>
      </c>
      <c r="I202" s="1138">
        <f t="shared" si="23"/>
        <v>1.1466535040304779</v>
      </c>
      <c r="J202" s="502">
        <v>417920</v>
      </c>
      <c r="K202" s="1139">
        <f t="shared" ref="K202:K207" si="24">H202+J202</f>
        <v>8664738</v>
      </c>
      <c r="L202" s="1233">
        <f t="shared" si="20"/>
        <v>1.204761908072427</v>
      </c>
      <c r="M202" s="2138"/>
    </row>
    <row r="203" spans="1:13" s="420" customFormat="1" ht="15" customHeight="1">
      <c r="A203" s="1159"/>
      <c r="B203" s="1944"/>
      <c r="C203" s="1939"/>
      <c r="D203" s="674">
        <v>4040</v>
      </c>
      <c r="E203" s="502">
        <v>571915</v>
      </c>
      <c r="F203" s="502">
        <v>538119</v>
      </c>
      <c r="G203" s="502"/>
      <c r="H203" s="502">
        <v>686648</v>
      </c>
      <c r="I203" s="1138">
        <f t="shared" si="23"/>
        <v>1.2006119790528313</v>
      </c>
      <c r="J203" s="502">
        <v>0</v>
      </c>
      <c r="K203" s="1139">
        <f t="shared" si="24"/>
        <v>686648</v>
      </c>
      <c r="L203" s="1233">
        <f t="shared" si="20"/>
        <v>1.2006119790528313</v>
      </c>
      <c r="M203" s="2138"/>
    </row>
    <row r="204" spans="1:13" s="420" customFormat="1" ht="15" customHeight="1">
      <c r="A204" s="1159"/>
      <c r="B204" s="1944"/>
      <c r="C204" s="1939"/>
      <c r="D204" s="674">
        <v>4110</v>
      </c>
      <c r="E204" s="502">
        <v>1292991</v>
      </c>
      <c r="F204" s="502">
        <v>1513591</v>
      </c>
      <c r="G204" s="502"/>
      <c r="H204" s="502">
        <v>1497013</v>
      </c>
      <c r="I204" s="1138">
        <f t="shared" si="23"/>
        <v>1.1577907348156329</v>
      </c>
      <c r="J204" s="502">
        <v>71841</v>
      </c>
      <c r="K204" s="1139">
        <f t="shared" si="24"/>
        <v>1568854</v>
      </c>
      <c r="L204" s="1233">
        <f t="shared" si="20"/>
        <v>1.2133526064759925</v>
      </c>
      <c r="M204" s="2138"/>
    </row>
    <row r="205" spans="1:13" s="420" customFormat="1" ht="15" customHeight="1">
      <c r="A205" s="1159"/>
      <c r="B205" s="1944"/>
      <c r="C205" s="1939"/>
      <c r="D205" s="674">
        <v>4120</v>
      </c>
      <c r="E205" s="502">
        <v>161942</v>
      </c>
      <c r="F205" s="502">
        <v>188242</v>
      </c>
      <c r="G205" s="502"/>
      <c r="H205" s="502">
        <v>191990</v>
      </c>
      <c r="I205" s="1138">
        <f t="shared" si="23"/>
        <v>1.1855479122154846</v>
      </c>
      <c r="J205" s="502">
        <v>10239</v>
      </c>
      <c r="K205" s="1139">
        <f t="shared" si="24"/>
        <v>202229</v>
      </c>
      <c r="L205" s="1233">
        <f t="shared" si="20"/>
        <v>1.2487742525101579</v>
      </c>
      <c r="M205" s="2138"/>
    </row>
    <row r="206" spans="1:13" s="420" customFormat="1" ht="15" customHeight="1">
      <c r="A206" s="1159"/>
      <c r="B206" s="1944"/>
      <c r="C206" s="1939"/>
      <c r="D206" s="674">
        <v>4170</v>
      </c>
      <c r="E206" s="502">
        <v>10860</v>
      </c>
      <c r="F206" s="502">
        <v>10860</v>
      </c>
      <c r="G206" s="502"/>
      <c r="H206" s="502">
        <v>17260</v>
      </c>
      <c r="I206" s="1138">
        <f t="shared" si="23"/>
        <v>1.5893186003683242</v>
      </c>
      <c r="J206" s="502">
        <v>0</v>
      </c>
      <c r="K206" s="1139">
        <f t="shared" si="24"/>
        <v>17260</v>
      </c>
      <c r="L206" s="1233">
        <f t="shared" si="20"/>
        <v>1.5893186003683242</v>
      </c>
      <c r="M206" s="2138"/>
    </row>
    <row r="207" spans="1:13" s="420" customFormat="1" ht="15" customHeight="1">
      <c r="A207" s="1159"/>
      <c r="B207" s="1944"/>
      <c r="C207" s="2117"/>
      <c r="D207" s="674">
        <v>4710</v>
      </c>
      <c r="E207" s="502">
        <v>43688</v>
      </c>
      <c r="F207" s="502">
        <v>51378</v>
      </c>
      <c r="G207" s="502"/>
      <c r="H207" s="502">
        <v>54570</v>
      </c>
      <c r="I207" s="1138">
        <f t="shared" si="23"/>
        <v>1.2490844167734847</v>
      </c>
      <c r="J207" s="502">
        <v>0</v>
      </c>
      <c r="K207" s="1139">
        <f t="shared" si="24"/>
        <v>54570</v>
      </c>
      <c r="L207" s="1233">
        <f t="shared" si="20"/>
        <v>1.2490844167734847</v>
      </c>
      <c r="M207" s="2138"/>
    </row>
    <row r="208" spans="1:13" s="420" customFormat="1" ht="15" customHeight="1">
      <c r="A208" s="1159"/>
      <c r="B208" s="1944"/>
      <c r="C208" s="1934" t="s">
        <v>21</v>
      </c>
      <c r="D208" s="669" t="s">
        <v>22</v>
      </c>
      <c r="E208" s="513">
        <f>SUM(E209:E227)</f>
        <v>2165566</v>
      </c>
      <c r="F208" s="513">
        <f>SUM(F209:F227)</f>
        <v>2199362</v>
      </c>
      <c r="G208" s="513"/>
      <c r="H208" s="513">
        <f>SUM(H209:H227)</f>
        <v>2476588</v>
      </c>
      <c r="I208" s="809">
        <f t="shared" si="23"/>
        <v>1.1436215751447889</v>
      </c>
      <c r="J208" s="513">
        <f>SUM(J209:J227)</f>
        <v>0</v>
      </c>
      <c r="K208" s="1137">
        <f>SUM(K209:K227)</f>
        <v>2476588</v>
      </c>
      <c r="L208" s="1233">
        <f t="shared" si="20"/>
        <v>1.1436215751447889</v>
      </c>
      <c r="M208" s="2138"/>
    </row>
    <row r="209" spans="1:13" s="420" customFormat="1" ht="15" customHeight="1">
      <c r="A209" s="1159"/>
      <c r="B209" s="1944"/>
      <c r="C209" s="1935"/>
      <c r="D209" s="674">
        <v>4140</v>
      </c>
      <c r="E209" s="502">
        <v>6000</v>
      </c>
      <c r="F209" s="502">
        <v>6000</v>
      </c>
      <c r="G209" s="502"/>
      <c r="H209" s="502">
        <v>6000</v>
      </c>
      <c r="I209" s="1138">
        <f t="shared" si="23"/>
        <v>1</v>
      </c>
      <c r="J209" s="502"/>
      <c r="K209" s="1139">
        <f t="shared" ref="K209:K227" si="25">H209+J209</f>
        <v>6000</v>
      </c>
      <c r="L209" s="1233">
        <f t="shared" si="20"/>
        <v>1</v>
      </c>
      <c r="M209" s="2138"/>
    </row>
    <row r="210" spans="1:13" s="420" customFormat="1" ht="15" customHeight="1">
      <c r="A210" s="1159"/>
      <c r="B210" s="1944"/>
      <c r="C210" s="1935"/>
      <c r="D210" s="674">
        <v>4210</v>
      </c>
      <c r="E210" s="502">
        <v>289750</v>
      </c>
      <c r="F210" s="502">
        <v>289750</v>
      </c>
      <c r="G210" s="502"/>
      <c r="H210" s="502">
        <v>330680</v>
      </c>
      <c r="I210" s="1138">
        <f t="shared" si="23"/>
        <v>1.1412597066436583</v>
      </c>
      <c r="J210" s="502"/>
      <c r="K210" s="1139">
        <f t="shared" si="25"/>
        <v>330680</v>
      </c>
      <c r="L210" s="1233">
        <f t="shared" si="20"/>
        <v>1.1412597066436583</v>
      </c>
      <c r="M210" s="2138"/>
    </row>
    <row r="211" spans="1:13" s="420" customFormat="1" ht="15" customHeight="1">
      <c r="A211" s="1159"/>
      <c r="B211" s="1944"/>
      <c r="C211" s="1935"/>
      <c r="D211" s="674">
        <v>4220</v>
      </c>
      <c r="E211" s="502">
        <v>6000</v>
      </c>
      <c r="F211" s="502">
        <v>6000</v>
      </c>
      <c r="G211" s="502"/>
      <c r="H211" s="502">
        <v>6000</v>
      </c>
      <c r="I211" s="1138">
        <f t="shared" si="23"/>
        <v>1</v>
      </c>
      <c r="J211" s="502"/>
      <c r="K211" s="1139">
        <f t="shared" si="25"/>
        <v>6000</v>
      </c>
      <c r="L211" s="1233">
        <f t="shared" si="20"/>
        <v>1</v>
      </c>
      <c r="M211" s="2138"/>
    </row>
    <row r="212" spans="1:13" s="420" customFormat="1" ht="15" customHeight="1">
      <c r="A212" s="1159"/>
      <c r="B212" s="1944"/>
      <c r="C212" s="1935"/>
      <c r="D212" s="674">
        <v>4260</v>
      </c>
      <c r="E212" s="502">
        <v>138200</v>
      </c>
      <c r="F212" s="502">
        <v>203273</v>
      </c>
      <c r="G212" s="502"/>
      <c r="H212" s="502">
        <v>343000</v>
      </c>
      <c r="I212" s="1138">
        <f t="shared" si="23"/>
        <v>2.4819102749638207</v>
      </c>
      <c r="J212" s="502"/>
      <c r="K212" s="1139">
        <f t="shared" si="25"/>
        <v>343000</v>
      </c>
      <c r="L212" s="1233">
        <f t="shared" si="20"/>
        <v>2.4819102749638207</v>
      </c>
      <c r="M212" s="2138"/>
    </row>
    <row r="213" spans="1:13" s="420" customFormat="1" ht="15" customHeight="1">
      <c r="A213" s="1159"/>
      <c r="B213" s="1944"/>
      <c r="C213" s="1935"/>
      <c r="D213" s="674">
        <v>4270</v>
      </c>
      <c r="E213" s="502">
        <v>71500</v>
      </c>
      <c r="F213" s="502">
        <v>71500</v>
      </c>
      <c r="G213" s="502"/>
      <c r="H213" s="502">
        <v>86000</v>
      </c>
      <c r="I213" s="1138">
        <f t="shared" si="23"/>
        <v>1.2027972027972027</v>
      </c>
      <c r="J213" s="502"/>
      <c r="K213" s="1139">
        <f t="shared" si="25"/>
        <v>86000</v>
      </c>
      <c r="L213" s="1233">
        <f t="shared" si="20"/>
        <v>1.2027972027972027</v>
      </c>
      <c r="M213" s="2138"/>
    </row>
    <row r="214" spans="1:13" s="420" customFormat="1" ht="15" customHeight="1">
      <c r="A214" s="1159"/>
      <c r="B214" s="1944"/>
      <c r="C214" s="1935"/>
      <c r="D214" s="674">
        <v>4280</v>
      </c>
      <c r="E214" s="502">
        <v>7517</v>
      </c>
      <c r="F214" s="502">
        <v>7517</v>
      </c>
      <c r="G214" s="502"/>
      <c r="H214" s="502">
        <v>15989</v>
      </c>
      <c r="I214" s="1138">
        <f t="shared" si="23"/>
        <v>2.1270453638419582</v>
      </c>
      <c r="J214" s="502"/>
      <c r="K214" s="1139">
        <f t="shared" si="25"/>
        <v>15989</v>
      </c>
      <c r="L214" s="1233">
        <f t="shared" si="20"/>
        <v>2.1270453638419582</v>
      </c>
      <c r="M214" s="2138"/>
    </row>
    <row r="215" spans="1:13" s="420" customFormat="1" ht="15" customHeight="1">
      <c r="A215" s="1159"/>
      <c r="B215" s="1944"/>
      <c r="C215" s="1935"/>
      <c r="D215" s="674">
        <v>4300</v>
      </c>
      <c r="E215" s="502">
        <v>731462</v>
      </c>
      <c r="F215" s="502">
        <v>727779</v>
      </c>
      <c r="G215" s="502"/>
      <c r="H215" s="502">
        <v>768819</v>
      </c>
      <c r="I215" s="1138">
        <f t="shared" si="23"/>
        <v>1.0510716893016998</v>
      </c>
      <c r="J215" s="502"/>
      <c r="K215" s="1139">
        <f t="shared" si="25"/>
        <v>768819</v>
      </c>
      <c r="L215" s="1233">
        <f t="shared" si="20"/>
        <v>1.0510716893016998</v>
      </c>
      <c r="M215" s="2138"/>
    </row>
    <row r="216" spans="1:13" s="420" customFormat="1" ht="15" customHeight="1">
      <c r="A216" s="1159"/>
      <c r="B216" s="1944"/>
      <c r="C216" s="1935"/>
      <c r="D216" s="674">
        <v>4360</v>
      </c>
      <c r="E216" s="502">
        <v>44400</v>
      </c>
      <c r="F216" s="502">
        <v>44400</v>
      </c>
      <c r="G216" s="502"/>
      <c r="H216" s="502">
        <v>37800</v>
      </c>
      <c r="I216" s="1138">
        <f t="shared" si="23"/>
        <v>0.85135135135135132</v>
      </c>
      <c r="J216" s="502"/>
      <c r="K216" s="1139">
        <f t="shared" si="25"/>
        <v>37800</v>
      </c>
      <c r="L216" s="1233">
        <f t="shared" si="20"/>
        <v>0.85135135135135132</v>
      </c>
      <c r="M216" s="2138"/>
    </row>
    <row r="217" spans="1:13" s="420" customFormat="1" ht="15" customHeight="1">
      <c r="A217" s="1159"/>
      <c r="B217" s="1944"/>
      <c r="C217" s="1935"/>
      <c r="D217" s="674">
        <v>4380</v>
      </c>
      <c r="E217" s="502">
        <v>500</v>
      </c>
      <c r="F217" s="502">
        <v>500</v>
      </c>
      <c r="G217" s="502"/>
      <c r="H217" s="502">
        <v>1000</v>
      </c>
      <c r="I217" s="1138">
        <f t="shared" si="23"/>
        <v>2</v>
      </c>
      <c r="J217" s="502"/>
      <c r="K217" s="1139">
        <f t="shared" si="25"/>
        <v>1000</v>
      </c>
      <c r="L217" s="1233">
        <f t="shared" si="20"/>
        <v>2</v>
      </c>
      <c r="M217" s="2138"/>
    </row>
    <row r="218" spans="1:13" s="420" customFormat="1" ht="15" customHeight="1">
      <c r="A218" s="1159"/>
      <c r="B218" s="1944"/>
      <c r="C218" s="1935"/>
      <c r="D218" s="674">
        <v>4390</v>
      </c>
      <c r="E218" s="502">
        <v>7000</v>
      </c>
      <c r="F218" s="502">
        <v>7000</v>
      </c>
      <c r="G218" s="502"/>
      <c r="H218" s="502">
        <v>2500</v>
      </c>
      <c r="I218" s="1138">
        <f t="shared" si="23"/>
        <v>0.35714285714285715</v>
      </c>
      <c r="J218" s="502"/>
      <c r="K218" s="1139">
        <f t="shared" si="25"/>
        <v>2500</v>
      </c>
      <c r="L218" s="1233">
        <f t="shared" si="20"/>
        <v>0.35714285714285715</v>
      </c>
      <c r="M218" s="2138"/>
    </row>
    <row r="219" spans="1:13" s="420" customFormat="1" ht="15" customHeight="1">
      <c r="A219" s="1159"/>
      <c r="B219" s="1944"/>
      <c r="C219" s="1935"/>
      <c r="D219" s="674">
        <v>4400</v>
      </c>
      <c r="E219" s="502">
        <v>113700</v>
      </c>
      <c r="F219" s="502">
        <v>81200</v>
      </c>
      <c r="G219" s="502"/>
      <c r="H219" s="502">
        <v>92200</v>
      </c>
      <c r="I219" s="1138">
        <f t="shared" si="23"/>
        <v>0.81090589270008795</v>
      </c>
      <c r="J219" s="502"/>
      <c r="K219" s="1139">
        <f t="shared" si="25"/>
        <v>92200</v>
      </c>
      <c r="L219" s="1233">
        <f t="shared" si="20"/>
        <v>0.81090589270008795</v>
      </c>
      <c r="M219" s="2138"/>
    </row>
    <row r="220" spans="1:13" s="420" customFormat="1" ht="15" customHeight="1">
      <c r="A220" s="1159"/>
      <c r="B220" s="1944"/>
      <c r="C220" s="1935"/>
      <c r="D220" s="674">
        <v>4410</v>
      </c>
      <c r="E220" s="502">
        <v>35200</v>
      </c>
      <c r="F220" s="502">
        <v>38883</v>
      </c>
      <c r="G220" s="502"/>
      <c r="H220" s="502">
        <v>39400</v>
      </c>
      <c r="I220" s="1138">
        <f t="shared" si="23"/>
        <v>1.1193181818181819</v>
      </c>
      <c r="J220" s="502"/>
      <c r="K220" s="1139">
        <f t="shared" si="25"/>
        <v>39400</v>
      </c>
      <c r="L220" s="1233">
        <f t="shared" si="20"/>
        <v>1.1193181818181819</v>
      </c>
      <c r="M220" s="2138"/>
    </row>
    <row r="221" spans="1:13" s="420" customFormat="1" ht="15" customHeight="1">
      <c r="A221" s="1159"/>
      <c r="B221" s="1944"/>
      <c r="C221" s="1935"/>
      <c r="D221" s="674">
        <v>4420</v>
      </c>
      <c r="E221" s="502">
        <v>1000</v>
      </c>
      <c r="F221" s="502">
        <v>1000</v>
      </c>
      <c r="G221" s="502"/>
      <c r="H221" s="502">
        <v>1000</v>
      </c>
      <c r="I221" s="1138">
        <f t="shared" si="23"/>
        <v>1</v>
      </c>
      <c r="J221" s="502"/>
      <c r="K221" s="1139">
        <f t="shared" si="25"/>
        <v>1000</v>
      </c>
      <c r="L221" s="1233">
        <f t="shared" ref="L221:L281" si="26">K221/E221</f>
        <v>1</v>
      </c>
      <c r="M221" s="2138"/>
    </row>
    <row r="222" spans="1:13" s="420" customFormat="1" ht="15" customHeight="1">
      <c r="A222" s="1159"/>
      <c r="B222" s="1944"/>
      <c r="C222" s="1935"/>
      <c r="D222" s="674">
        <v>4430</v>
      </c>
      <c r="E222" s="502">
        <v>27200</v>
      </c>
      <c r="F222" s="502">
        <v>27200</v>
      </c>
      <c r="G222" s="502"/>
      <c r="H222" s="502">
        <v>25100</v>
      </c>
      <c r="I222" s="1138">
        <f t="shared" si="23"/>
        <v>0.92279411764705888</v>
      </c>
      <c r="J222" s="502"/>
      <c r="K222" s="1139">
        <f t="shared" si="25"/>
        <v>25100</v>
      </c>
      <c r="L222" s="1233">
        <f t="shared" si="26"/>
        <v>0.92279411764705888</v>
      </c>
      <c r="M222" s="2138"/>
    </row>
    <row r="223" spans="1:13" s="420" customFormat="1" ht="15" customHeight="1">
      <c r="A223" s="1159"/>
      <c r="B223" s="1944"/>
      <c r="C223" s="1935"/>
      <c r="D223" s="674">
        <v>4440</v>
      </c>
      <c r="E223" s="502">
        <v>501077</v>
      </c>
      <c r="F223" s="502">
        <v>509873</v>
      </c>
      <c r="G223" s="502"/>
      <c r="H223" s="502">
        <v>528000</v>
      </c>
      <c r="I223" s="1138">
        <f t="shared" si="23"/>
        <v>1.0537302650091702</v>
      </c>
      <c r="J223" s="502"/>
      <c r="K223" s="1139">
        <f t="shared" si="25"/>
        <v>528000</v>
      </c>
      <c r="L223" s="1233">
        <f t="shared" si="26"/>
        <v>1.0537302650091702</v>
      </c>
      <c r="M223" s="2138"/>
    </row>
    <row r="224" spans="1:13" s="420" customFormat="1" ht="15" customHeight="1">
      <c r="A224" s="1159"/>
      <c r="B224" s="1944"/>
      <c r="C224" s="1935"/>
      <c r="D224" s="674">
        <v>4480</v>
      </c>
      <c r="E224" s="502">
        <v>27000</v>
      </c>
      <c r="F224" s="502">
        <v>26715</v>
      </c>
      <c r="G224" s="502"/>
      <c r="H224" s="502">
        <v>28000</v>
      </c>
      <c r="I224" s="1138">
        <f t="shared" si="23"/>
        <v>1.037037037037037</v>
      </c>
      <c r="J224" s="502"/>
      <c r="K224" s="1139">
        <f t="shared" si="25"/>
        <v>28000</v>
      </c>
      <c r="L224" s="1233">
        <f t="shared" si="26"/>
        <v>1.037037037037037</v>
      </c>
      <c r="M224" s="2138"/>
    </row>
    <row r="225" spans="1:13" s="420" customFormat="1" ht="15" customHeight="1">
      <c r="A225" s="1159"/>
      <c r="B225" s="1944"/>
      <c r="C225" s="1935"/>
      <c r="D225" s="674">
        <v>4520</v>
      </c>
      <c r="E225" s="502">
        <v>92760</v>
      </c>
      <c r="F225" s="502">
        <v>85472</v>
      </c>
      <c r="G225" s="502"/>
      <c r="H225" s="502">
        <v>93000</v>
      </c>
      <c r="I225" s="1138">
        <f t="shared" si="23"/>
        <v>1.0025873221216042</v>
      </c>
      <c r="J225" s="502"/>
      <c r="K225" s="1139">
        <f t="shared" si="25"/>
        <v>93000</v>
      </c>
      <c r="L225" s="1233">
        <f t="shared" si="26"/>
        <v>1.0025873221216042</v>
      </c>
      <c r="M225" s="2138"/>
    </row>
    <row r="226" spans="1:13" s="420" customFormat="1" ht="15" customHeight="1">
      <c r="A226" s="1159"/>
      <c r="B226" s="1944"/>
      <c r="C226" s="1935"/>
      <c r="D226" s="674">
        <v>4610</v>
      </c>
      <c r="E226" s="502">
        <v>4500</v>
      </c>
      <c r="F226" s="502">
        <v>4500</v>
      </c>
      <c r="G226" s="502"/>
      <c r="H226" s="502">
        <v>4500</v>
      </c>
      <c r="I226" s="1138">
        <f t="shared" si="23"/>
        <v>1</v>
      </c>
      <c r="J226" s="502"/>
      <c r="K226" s="1139">
        <f t="shared" si="25"/>
        <v>4500</v>
      </c>
      <c r="L226" s="1233">
        <f t="shared" si="26"/>
        <v>1</v>
      </c>
      <c r="M226" s="2138"/>
    </row>
    <row r="227" spans="1:13" s="420" customFormat="1" ht="15" customHeight="1">
      <c r="A227" s="1159"/>
      <c r="B227" s="1944"/>
      <c r="C227" s="2118"/>
      <c r="D227" s="690">
        <v>4700</v>
      </c>
      <c r="E227" s="502">
        <v>60800</v>
      </c>
      <c r="F227" s="502">
        <v>60800</v>
      </c>
      <c r="G227" s="502"/>
      <c r="H227" s="502">
        <v>67600</v>
      </c>
      <c r="I227" s="1138">
        <f t="shared" si="23"/>
        <v>1.111842105263158</v>
      </c>
      <c r="J227" s="502"/>
      <c r="K227" s="1139">
        <f t="shared" si="25"/>
        <v>67600</v>
      </c>
      <c r="L227" s="1233">
        <f t="shared" si="26"/>
        <v>1.111842105263158</v>
      </c>
      <c r="M227" s="2138"/>
    </row>
    <row r="228" spans="1:13" s="420" customFormat="1" ht="15" customHeight="1">
      <c r="A228" s="1159"/>
      <c r="B228" s="1944"/>
      <c r="C228" s="668" t="s">
        <v>23</v>
      </c>
      <c r="D228" s="669"/>
      <c r="E228" s="513"/>
      <c r="F228" s="513"/>
      <c r="G228" s="513"/>
      <c r="H228" s="513"/>
      <c r="I228" s="1138"/>
      <c r="J228" s="513"/>
      <c r="K228" s="1137"/>
      <c r="L228" s="1233"/>
      <c r="M228" s="2138"/>
    </row>
    <row r="229" spans="1:13" s="420" customFormat="1" ht="15" customHeight="1">
      <c r="A229" s="1159"/>
      <c r="B229" s="1944"/>
      <c r="C229" s="1938" t="s">
        <v>24</v>
      </c>
      <c r="D229" s="669" t="s">
        <v>22</v>
      </c>
      <c r="E229" s="513">
        <f>SUM(E230:E231)</f>
        <v>20630</v>
      </c>
      <c r="F229" s="513">
        <f>SUM(F230:F231)</f>
        <v>20630</v>
      </c>
      <c r="G229" s="513"/>
      <c r="H229" s="513">
        <f>SUM(H230:H231)</f>
        <v>18780</v>
      </c>
      <c r="I229" s="1138">
        <f t="shared" ref="I229:I264" si="27">H229/E229</f>
        <v>0.9103247697527872</v>
      </c>
      <c r="J229" s="513">
        <f>SUM(J230:J231)</f>
        <v>0</v>
      </c>
      <c r="K229" s="1137">
        <f>SUM(K230:K231)</f>
        <v>18780</v>
      </c>
      <c r="L229" s="1233">
        <f t="shared" si="26"/>
        <v>0.9103247697527872</v>
      </c>
      <c r="M229" s="2138"/>
    </row>
    <row r="230" spans="1:13" s="1150" customFormat="1" ht="15" customHeight="1">
      <c r="A230" s="1159"/>
      <c r="B230" s="1944"/>
      <c r="C230" s="1939"/>
      <c r="D230" s="674">
        <v>3020</v>
      </c>
      <c r="E230" s="502">
        <v>19500</v>
      </c>
      <c r="F230" s="502">
        <v>19500</v>
      </c>
      <c r="G230" s="502"/>
      <c r="H230" s="502">
        <v>17500</v>
      </c>
      <c r="I230" s="1138">
        <f t="shared" si="27"/>
        <v>0.89743589743589747</v>
      </c>
      <c r="J230" s="502"/>
      <c r="K230" s="1139">
        <f>H230+J230</f>
        <v>17500</v>
      </c>
      <c r="L230" s="1233">
        <f t="shared" si="26"/>
        <v>0.89743589743589747</v>
      </c>
      <c r="M230" s="2138"/>
    </row>
    <row r="231" spans="1:13" s="1150" customFormat="1" ht="15" customHeight="1">
      <c r="A231" s="1159"/>
      <c r="B231" s="1944"/>
      <c r="C231" s="1939"/>
      <c r="D231" s="1374">
        <v>3030</v>
      </c>
      <c r="E231" s="1375">
        <v>1130</v>
      </c>
      <c r="F231" s="1375">
        <v>1130</v>
      </c>
      <c r="G231" s="1375"/>
      <c r="H231" s="1375">
        <v>1280</v>
      </c>
      <c r="I231" s="1376">
        <f t="shared" si="27"/>
        <v>1.1327433628318584</v>
      </c>
      <c r="J231" s="1375"/>
      <c r="K231" s="702">
        <f>H231+J231</f>
        <v>1280</v>
      </c>
      <c r="L231" s="1233">
        <f t="shared" si="26"/>
        <v>1.1327433628318584</v>
      </c>
      <c r="M231" s="2138"/>
    </row>
    <row r="232" spans="1:13" s="420" customFormat="1" ht="14.25" customHeight="1">
      <c r="A232" s="1159"/>
      <c r="B232" s="1944" t="s">
        <v>588</v>
      </c>
      <c r="C232" s="1934" t="s">
        <v>25</v>
      </c>
      <c r="D232" s="1325" t="s">
        <v>22</v>
      </c>
      <c r="E232" s="906">
        <f>SUM(E233:E265)</f>
        <v>4126333</v>
      </c>
      <c r="F232" s="906">
        <f>SUM(F233:F265)</f>
        <v>4126519</v>
      </c>
      <c r="G232" s="906">
        <f>SUM(G233:G265)</f>
        <v>0</v>
      </c>
      <c r="H232" s="906">
        <f>SUM(H233:H265)</f>
        <v>4200000</v>
      </c>
      <c r="I232" s="1377">
        <f t="shared" si="27"/>
        <v>1.0178528974757974</v>
      </c>
      <c r="J232" s="906">
        <f>SUM(J233:J265)</f>
        <v>0</v>
      </c>
      <c r="K232" s="906">
        <f>SUM(K233:K265)</f>
        <v>4200000</v>
      </c>
      <c r="L232" s="1233">
        <f t="shared" si="26"/>
        <v>1.0178528974757974</v>
      </c>
      <c r="M232" s="2139"/>
    </row>
    <row r="233" spans="1:13" s="420" customFormat="1" ht="14.25" customHeight="1">
      <c r="A233" s="1159"/>
      <c r="B233" s="1944"/>
      <c r="C233" s="1935"/>
      <c r="D233" s="1328">
        <v>3028</v>
      </c>
      <c r="E233" s="1329">
        <v>5900</v>
      </c>
      <c r="F233" s="1329">
        <v>5900</v>
      </c>
      <c r="G233" s="1329"/>
      <c r="H233" s="1329">
        <v>5900</v>
      </c>
      <c r="I233" s="1138">
        <f t="shared" si="27"/>
        <v>1</v>
      </c>
      <c r="J233" s="1329"/>
      <c r="K233" s="1329">
        <f t="shared" ref="K233:K265" si="28">H233+J233</f>
        <v>5900</v>
      </c>
      <c r="L233" s="1233">
        <f t="shared" si="26"/>
        <v>1</v>
      </c>
      <c r="M233" s="2139"/>
    </row>
    <row r="234" spans="1:13" s="420" customFormat="1" ht="14.25" customHeight="1">
      <c r="A234" s="1159"/>
      <c r="B234" s="1944"/>
      <c r="C234" s="1935"/>
      <c r="D234" s="1328">
        <v>3029</v>
      </c>
      <c r="E234" s="1329">
        <v>1100</v>
      </c>
      <c r="F234" s="1329">
        <v>1100</v>
      </c>
      <c r="G234" s="1329"/>
      <c r="H234" s="1329">
        <v>1100</v>
      </c>
      <c r="I234" s="1138">
        <f t="shared" si="27"/>
        <v>1</v>
      </c>
      <c r="J234" s="1329"/>
      <c r="K234" s="1329">
        <f t="shared" si="28"/>
        <v>1100</v>
      </c>
      <c r="L234" s="1233">
        <f t="shared" si="26"/>
        <v>1</v>
      </c>
      <c r="M234" s="2139"/>
    </row>
    <row r="235" spans="1:13" s="420" customFormat="1" ht="14.25" customHeight="1">
      <c r="A235" s="1159"/>
      <c r="B235" s="1944"/>
      <c r="C235" s="1935"/>
      <c r="D235" s="1328">
        <v>4018</v>
      </c>
      <c r="E235" s="1329">
        <v>2461395</v>
      </c>
      <c r="F235" s="1329">
        <v>2461395</v>
      </c>
      <c r="G235" s="1329"/>
      <c r="H235" s="1329">
        <v>2547015</v>
      </c>
      <c r="I235" s="1138">
        <f t="shared" si="27"/>
        <v>1.0347851523221587</v>
      </c>
      <c r="J235" s="1329"/>
      <c r="K235" s="1329">
        <f t="shared" si="28"/>
        <v>2547015</v>
      </c>
      <c r="L235" s="1233">
        <f t="shared" si="26"/>
        <v>1.0347851523221587</v>
      </c>
      <c r="M235" s="2139"/>
    </row>
    <row r="236" spans="1:13" s="420" customFormat="1" ht="14.25" customHeight="1">
      <c r="A236" s="1159"/>
      <c r="B236" s="1944"/>
      <c r="C236" s="1935"/>
      <c r="D236" s="1328">
        <v>4019</v>
      </c>
      <c r="E236" s="1329">
        <v>459102</v>
      </c>
      <c r="F236" s="1329">
        <v>459102</v>
      </c>
      <c r="G236" s="1329"/>
      <c r="H236" s="1329">
        <v>475072</v>
      </c>
      <c r="I236" s="1138">
        <f t="shared" si="27"/>
        <v>1.0347852982561609</v>
      </c>
      <c r="J236" s="1329"/>
      <c r="K236" s="1329">
        <f t="shared" si="28"/>
        <v>475072</v>
      </c>
      <c r="L236" s="1233">
        <f t="shared" si="26"/>
        <v>1.0347852982561609</v>
      </c>
      <c r="M236" s="2139"/>
    </row>
    <row r="237" spans="1:13" s="420" customFormat="1" ht="14.25" customHeight="1">
      <c r="A237" s="1159"/>
      <c r="B237" s="1944"/>
      <c r="C237" s="1935"/>
      <c r="D237" s="1328">
        <v>4048</v>
      </c>
      <c r="E237" s="1329">
        <v>168532</v>
      </c>
      <c r="F237" s="1329">
        <v>164739</v>
      </c>
      <c r="G237" s="1329"/>
      <c r="H237" s="1329">
        <v>170161</v>
      </c>
      <c r="I237" s="1138">
        <f t="shared" si="27"/>
        <v>1.0096658201409821</v>
      </c>
      <c r="J237" s="1329"/>
      <c r="K237" s="1329">
        <f t="shared" si="28"/>
        <v>170161</v>
      </c>
      <c r="L237" s="1233">
        <f t="shared" si="26"/>
        <v>1.0096658201409821</v>
      </c>
      <c r="M237" s="2139"/>
    </row>
    <row r="238" spans="1:13" s="420" customFormat="1" ht="14.25" customHeight="1">
      <c r="A238" s="1159"/>
      <c r="B238" s="1944"/>
      <c r="C238" s="1935"/>
      <c r="D238" s="1328">
        <v>4049</v>
      </c>
      <c r="E238" s="1329">
        <v>31435</v>
      </c>
      <c r="F238" s="1329">
        <v>30728</v>
      </c>
      <c r="G238" s="1329"/>
      <c r="H238" s="1329">
        <v>31739</v>
      </c>
      <c r="I238" s="1138">
        <f t="shared" si="27"/>
        <v>1.0096707491649435</v>
      </c>
      <c r="J238" s="1329"/>
      <c r="K238" s="1329">
        <f t="shared" si="28"/>
        <v>31739</v>
      </c>
      <c r="L238" s="1233">
        <f t="shared" si="26"/>
        <v>1.0096707491649435</v>
      </c>
      <c r="M238" s="2139"/>
    </row>
    <row r="239" spans="1:13" s="420" customFormat="1" ht="14.25" customHeight="1">
      <c r="A239" s="1159"/>
      <c r="B239" s="1944"/>
      <c r="C239" s="1935"/>
      <c r="D239" s="1328">
        <v>4118</v>
      </c>
      <c r="E239" s="1329">
        <v>452085</v>
      </c>
      <c r="F239" s="1329">
        <v>452085</v>
      </c>
      <c r="G239" s="1329"/>
      <c r="H239" s="1329">
        <v>467083</v>
      </c>
      <c r="I239" s="1138">
        <f t="shared" si="27"/>
        <v>1.0331751772343696</v>
      </c>
      <c r="J239" s="1329"/>
      <c r="K239" s="1329">
        <f t="shared" si="28"/>
        <v>467083</v>
      </c>
      <c r="L239" s="1233">
        <f t="shared" si="26"/>
        <v>1.0331751772343696</v>
      </c>
      <c r="M239" s="2139"/>
    </row>
    <row r="240" spans="1:13" s="420" customFormat="1" ht="14.25" customHeight="1">
      <c r="A240" s="1159"/>
      <c r="B240" s="1944"/>
      <c r="C240" s="1935"/>
      <c r="D240" s="1328">
        <v>4119</v>
      </c>
      <c r="E240" s="1329">
        <v>84324</v>
      </c>
      <c r="F240" s="1329">
        <v>84324</v>
      </c>
      <c r="G240" s="1329"/>
      <c r="H240" s="1329">
        <v>87121</v>
      </c>
      <c r="I240" s="1138">
        <f t="shared" si="27"/>
        <v>1.0331696788577391</v>
      </c>
      <c r="J240" s="1329"/>
      <c r="K240" s="1329">
        <f t="shared" si="28"/>
        <v>87121</v>
      </c>
      <c r="L240" s="1233">
        <f t="shared" si="26"/>
        <v>1.0331696788577391</v>
      </c>
      <c r="M240" s="2139"/>
    </row>
    <row r="241" spans="1:13" s="420" customFormat="1" ht="14.25" customHeight="1">
      <c r="A241" s="1159"/>
      <c r="B241" s="1944"/>
      <c r="C241" s="1935"/>
      <c r="D241" s="1328">
        <v>4128</v>
      </c>
      <c r="E241" s="1329">
        <v>64433</v>
      </c>
      <c r="F241" s="1329">
        <v>64433</v>
      </c>
      <c r="G241" s="1329"/>
      <c r="H241" s="1329">
        <v>66571</v>
      </c>
      <c r="I241" s="1138">
        <f t="shared" si="27"/>
        <v>1.0331817546909192</v>
      </c>
      <c r="J241" s="1329"/>
      <c r="K241" s="1329">
        <f t="shared" si="28"/>
        <v>66571</v>
      </c>
      <c r="L241" s="1233">
        <f t="shared" si="26"/>
        <v>1.0331817546909192</v>
      </c>
      <c r="M241" s="2139"/>
    </row>
    <row r="242" spans="1:13" s="420" customFormat="1" ht="14.25" customHeight="1">
      <c r="A242" s="1159"/>
      <c r="B242" s="1944"/>
      <c r="C242" s="1935"/>
      <c r="D242" s="1328">
        <v>4129</v>
      </c>
      <c r="E242" s="1329">
        <v>12018</v>
      </c>
      <c r="F242" s="1329">
        <v>12018</v>
      </c>
      <c r="G242" s="1329"/>
      <c r="H242" s="1329">
        <v>12417</v>
      </c>
      <c r="I242" s="1138">
        <f t="shared" si="27"/>
        <v>1.0332001997004494</v>
      </c>
      <c r="J242" s="1329"/>
      <c r="K242" s="1329">
        <f t="shared" si="28"/>
        <v>12417</v>
      </c>
      <c r="L242" s="1233">
        <f t="shared" si="26"/>
        <v>1.0332001997004494</v>
      </c>
      <c r="M242" s="2139"/>
    </row>
    <row r="243" spans="1:13" s="420" customFormat="1" ht="14.25" customHeight="1">
      <c r="A243" s="1159"/>
      <c r="B243" s="1944"/>
      <c r="C243" s="1935"/>
      <c r="D243" s="1328">
        <v>4218</v>
      </c>
      <c r="E243" s="1329">
        <v>71975</v>
      </c>
      <c r="F243" s="1329">
        <v>58490</v>
      </c>
      <c r="G243" s="1329"/>
      <c r="H243" s="1329">
        <v>62366</v>
      </c>
      <c r="I243" s="1138">
        <f t="shared" si="27"/>
        <v>0.86649531087183052</v>
      </c>
      <c r="J243" s="1329"/>
      <c r="K243" s="1329">
        <f t="shared" si="28"/>
        <v>62366</v>
      </c>
      <c r="L243" s="1233">
        <f t="shared" si="26"/>
        <v>0.86649531087183052</v>
      </c>
      <c r="M243" s="2139"/>
    </row>
    <row r="244" spans="1:13" s="420" customFormat="1" ht="14.25" customHeight="1">
      <c r="A244" s="1159"/>
      <c r="B244" s="1944"/>
      <c r="C244" s="1935"/>
      <c r="D244" s="1328">
        <v>4219</v>
      </c>
      <c r="E244" s="1329">
        <v>13425</v>
      </c>
      <c r="F244" s="1329">
        <v>10910</v>
      </c>
      <c r="G244" s="1329"/>
      <c r="H244" s="1329">
        <v>11634</v>
      </c>
      <c r="I244" s="1138">
        <f t="shared" si="27"/>
        <v>0.86659217877094974</v>
      </c>
      <c r="J244" s="1329"/>
      <c r="K244" s="1329">
        <f t="shared" si="28"/>
        <v>11634</v>
      </c>
      <c r="L244" s="1233">
        <f t="shared" si="26"/>
        <v>0.86659217877094974</v>
      </c>
      <c r="M244" s="2139"/>
    </row>
    <row r="245" spans="1:13" s="420" customFormat="1" ht="14.25" customHeight="1">
      <c r="A245" s="1159"/>
      <c r="B245" s="1944"/>
      <c r="C245" s="1935"/>
      <c r="D245" s="1328">
        <v>4268</v>
      </c>
      <c r="E245" s="1329">
        <v>39106</v>
      </c>
      <c r="F245" s="1329">
        <v>47956</v>
      </c>
      <c r="G245" s="1329"/>
      <c r="H245" s="1329">
        <v>76695</v>
      </c>
      <c r="I245" s="1138">
        <f t="shared" si="27"/>
        <v>1.9612079987725668</v>
      </c>
      <c r="J245" s="1329"/>
      <c r="K245" s="1329">
        <f t="shared" si="28"/>
        <v>76695</v>
      </c>
      <c r="L245" s="1233">
        <f t="shared" si="26"/>
        <v>1.9612079987725668</v>
      </c>
      <c r="M245" s="2139"/>
    </row>
    <row r="246" spans="1:13" s="420" customFormat="1" ht="14.25" customHeight="1">
      <c r="A246" s="1159"/>
      <c r="B246" s="1944"/>
      <c r="C246" s="1935"/>
      <c r="D246" s="1328">
        <v>4269</v>
      </c>
      <c r="E246" s="1329">
        <v>7294</v>
      </c>
      <c r="F246" s="1329">
        <v>8944</v>
      </c>
      <c r="G246" s="1329"/>
      <c r="H246" s="1329">
        <v>14305</v>
      </c>
      <c r="I246" s="1138">
        <f t="shared" si="27"/>
        <v>1.9612009871126954</v>
      </c>
      <c r="J246" s="1329"/>
      <c r="K246" s="1329">
        <f t="shared" si="28"/>
        <v>14305</v>
      </c>
      <c r="L246" s="1233">
        <f t="shared" si="26"/>
        <v>1.9612009871126954</v>
      </c>
      <c r="M246" s="2139"/>
    </row>
    <row r="247" spans="1:13" s="420" customFormat="1" ht="14.25" customHeight="1">
      <c r="A247" s="1159"/>
      <c r="B247" s="1944"/>
      <c r="C247" s="1935"/>
      <c r="D247" s="1328">
        <v>4278</v>
      </c>
      <c r="E247" s="1329">
        <v>7585</v>
      </c>
      <c r="F247" s="1329">
        <v>7585</v>
      </c>
      <c r="G247" s="1329"/>
      <c r="H247" s="1329">
        <v>11378</v>
      </c>
      <c r="I247" s="1138">
        <f t="shared" si="27"/>
        <v>1.5000659195781147</v>
      </c>
      <c r="J247" s="1329"/>
      <c r="K247" s="1329">
        <f t="shared" si="28"/>
        <v>11378</v>
      </c>
      <c r="L247" s="1233">
        <f t="shared" si="26"/>
        <v>1.5000659195781147</v>
      </c>
      <c r="M247" s="2139"/>
    </row>
    <row r="248" spans="1:13" s="420" customFormat="1" ht="14.25" customHeight="1">
      <c r="A248" s="1159"/>
      <c r="B248" s="1944"/>
      <c r="C248" s="1935"/>
      <c r="D248" s="1328">
        <v>4279</v>
      </c>
      <c r="E248" s="1329">
        <v>1415</v>
      </c>
      <c r="F248" s="1329">
        <v>1415</v>
      </c>
      <c r="G248" s="1329"/>
      <c r="H248" s="1329">
        <v>2122</v>
      </c>
      <c r="I248" s="1138">
        <f t="shared" si="27"/>
        <v>1.4996466431095405</v>
      </c>
      <c r="J248" s="1329"/>
      <c r="K248" s="1329">
        <f t="shared" si="28"/>
        <v>2122</v>
      </c>
      <c r="L248" s="1233">
        <f t="shared" si="26"/>
        <v>1.4996466431095405</v>
      </c>
      <c r="M248" s="2139"/>
    </row>
    <row r="249" spans="1:13" s="420" customFormat="1" ht="14.25" customHeight="1">
      <c r="A249" s="1159"/>
      <c r="B249" s="1944"/>
      <c r="C249" s="1935"/>
      <c r="D249" s="1328">
        <v>4288</v>
      </c>
      <c r="E249" s="1329">
        <v>2107</v>
      </c>
      <c r="F249" s="1329">
        <v>2107</v>
      </c>
      <c r="G249" s="1329"/>
      <c r="H249" s="1329">
        <v>2781</v>
      </c>
      <c r="I249" s="1138">
        <f t="shared" si="27"/>
        <v>1.3198860939724728</v>
      </c>
      <c r="J249" s="1329"/>
      <c r="K249" s="1329">
        <f t="shared" si="28"/>
        <v>2781</v>
      </c>
      <c r="L249" s="1233">
        <f t="shared" si="26"/>
        <v>1.3198860939724728</v>
      </c>
      <c r="M249" s="2139"/>
    </row>
    <row r="250" spans="1:13" s="420" customFormat="1" ht="14.25" customHeight="1">
      <c r="A250" s="1159"/>
      <c r="B250" s="1944"/>
      <c r="C250" s="1935"/>
      <c r="D250" s="1328">
        <v>4289</v>
      </c>
      <c r="E250" s="1329">
        <v>393</v>
      </c>
      <c r="F250" s="1329">
        <v>393</v>
      </c>
      <c r="G250" s="1329"/>
      <c r="H250" s="1329">
        <v>519</v>
      </c>
      <c r="I250" s="1138">
        <f t="shared" si="27"/>
        <v>1.3206106870229009</v>
      </c>
      <c r="J250" s="1329"/>
      <c r="K250" s="1329">
        <f t="shared" si="28"/>
        <v>519</v>
      </c>
      <c r="L250" s="1233">
        <f t="shared" si="26"/>
        <v>1.3206106870229009</v>
      </c>
      <c r="M250" s="2139"/>
    </row>
    <row r="251" spans="1:13" s="420" customFormat="1" ht="14.25" customHeight="1">
      <c r="A251" s="1159"/>
      <c r="B251" s="1944"/>
      <c r="C251" s="1935"/>
      <c r="D251" s="1328">
        <v>4308</v>
      </c>
      <c r="E251" s="1329">
        <v>133668</v>
      </c>
      <c r="F251" s="1329">
        <v>142096</v>
      </c>
      <c r="G251" s="1329"/>
      <c r="H251" s="1329">
        <v>56805</v>
      </c>
      <c r="I251" s="1138">
        <f t="shared" si="27"/>
        <v>0.42497082323368346</v>
      </c>
      <c r="J251" s="1329"/>
      <c r="K251" s="1329">
        <f t="shared" si="28"/>
        <v>56805</v>
      </c>
      <c r="L251" s="1233">
        <f t="shared" si="26"/>
        <v>0.42497082323368346</v>
      </c>
      <c r="M251" s="2139"/>
    </row>
    <row r="252" spans="1:13" s="420" customFormat="1" ht="14.25" customHeight="1">
      <c r="A252" s="1159"/>
      <c r="B252" s="1944"/>
      <c r="C252" s="1935"/>
      <c r="D252" s="1328">
        <v>4309</v>
      </c>
      <c r="E252" s="1329">
        <v>24932</v>
      </c>
      <c r="F252" s="1329">
        <v>26504</v>
      </c>
      <c r="G252" s="1329"/>
      <c r="H252" s="1329">
        <v>10595</v>
      </c>
      <c r="I252" s="1138">
        <f t="shared" si="27"/>
        <v>0.42495587999358253</v>
      </c>
      <c r="J252" s="1329"/>
      <c r="K252" s="1329">
        <f t="shared" si="28"/>
        <v>10595</v>
      </c>
      <c r="L252" s="1233">
        <f t="shared" si="26"/>
        <v>0.42495587999358253</v>
      </c>
      <c r="M252" s="2139"/>
    </row>
    <row r="253" spans="1:13" s="420" customFormat="1" ht="14.25" customHeight="1">
      <c r="A253" s="1159"/>
      <c r="B253" s="1944"/>
      <c r="C253" s="1935"/>
      <c r="D253" s="1328">
        <v>4368</v>
      </c>
      <c r="E253" s="1329">
        <v>5057</v>
      </c>
      <c r="F253" s="1329">
        <v>5057</v>
      </c>
      <c r="G253" s="1329"/>
      <c r="H253" s="1329">
        <v>8428</v>
      </c>
      <c r="I253" s="1138">
        <f t="shared" si="27"/>
        <v>1.6666007514336563</v>
      </c>
      <c r="J253" s="1329"/>
      <c r="K253" s="1329">
        <f t="shared" si="28"/>
        <v>8428</v>
      </c>
      <c r="L253" s="1233">
        <f t="shared" si="26"/>
        <v>1.6666007514336563</v>
      </c>
      <c r="M253" s="2139"/>
    </row>
    <row r="254" spans="1:13" s="420" customFormat="1" ht="14.25" customHeight="1">
      <c r="A254" s="1159"/>
      <c r="B254" s="1944"/>
      <c r="C254" s="1935"/>
      <c r="D254" s="1328">
        <v>4369</v>
      </c>
      <c r="E254" s="1329">
        <v>943</v>
      </c>
      <c r="F254" s="1329">
        <v>943</v>
      </c>
      <c r="G254" s="1329"/>
      <c r="H254" s="1329">
        <v>1572</v>
      </c>
      <c r="I254" s="1138">
        <f t="shared" si="27"/>
        <v>1.6670201484623541</v>
      </c>
      <c r="J254" s="1329"/>
      <c r="K254" s="1329">
        <f t="shared" si="28"/>
        <v>1572</v>
      </c>
      <c r="L254" s="1233">
        <f t="shared" si="26"/>
        <v>1.6670201484623541</v>
      </c>
      <c r="M254" s="2139"/>
    </row>
    <row r="255" spans="1:13" s="420" customFormat="1" ht="14.25" customHeight="1">
      <c r="A255" s="1159"/>
      <c r="B255" s="1944"/>
      <c r="C255" s="1935"/>
      <c r="D255" s="1328">
        <v>4418</v>
      </c>
      <c r="E255" s="1329">
        <v>15170</v>
      </c>
      <c r="F255" s="1329">
        <v>15170</v>
      </c>
      <c r="G255" s="1329"/>
      <c r="H255" s="1329">
        <v>12642</v>
      </c>
      <c r="I255" s="1138">
        <f t="shared" si="27"/>
        <v>0.83335530652603829</v>
      </c>
      <c r="J255" s="1329"/>
      <c r="K255" s="1329">
        <f t="shared" si="28"/>
        <v>12642</v>
      </c>
      <c r="L255" s="1233">
        <f t="shared" si="26"/>
        <v>0.83335530652603829</v>
      </c>
      <c r="M255" s="2139"/>
    </row>
    <row r="256" spans="1:13" s="420" customFormat="1" ht="14.25" customHeight="1">
      <c r="A256" s="1159"/>
      <c r="B256" s="1944"/>
      <c r="C256" s="1935"/>
      <c r="D256" s="1328">
        <v>4419</v>
      </c>
      <c r="E256" s="1329">
        <v>2830</v>
      </c>
      <c r="F256" s="1329">
        <v>2830</v>
      </c>
      <c r="G256" s="1329"/>
      <c r="H256" s="1329">
        <v>2358</v>
      </c>
      <c r="I256" s="1138">
        <f t="shared" si="27"/>
        <v>0.83321554770318018</v>
      </c>
      <c r="J256" s="1329"/>
      <c r="K256" s="1329">
        <f t="shared" si="28"/>
        <v>2358</v>
      </c>
      <c r="L256" s="1233">
        <f t="shared" si="26"/>
        <v>0.83321554770318018</v>
      </c>
      <c r="M256" s="2139"/>
    </row>
    <row r="257" spans="1:13" s="420" customFormat="1" ht="14.25" customHeight="1">
      <c r="A257" s="1159"/>
      <c r="B257" s="1944"/>
      <c r="C257" s="1935"/>
      <c r="D257" s="1328">
        <v>4438</v>
      </c>
      <c r="E257" s="1329">
        <v>0</v>
      </c>
      <c r="F257" s="1329">
        <v>0</v>
      </c>
      <c r="G257" s="1329"/>
      <c r="H257" s="1329">
        <v>2107</v>
      </c>
      <c r="I257" s="1138"/>
      <c r="J257" s="1329"/>
      <c r="K257" s="1329">
        <f t="shared" si="28"/>
        <v>2107</v>
      </c>
      <c r="L257" s="1233"/>
      <c r="M257" s="2139"/>
    </row>
    <row r="258" spans="1:13" s="420" customFormat="1" ht="14.25" customHeight="1">
      <c r="A258" s="1159"/>
      <c r="B258" s="1944"/>
      <c r="C258" s="1935"/>
      <c r="D258" s="1328">
        <v>4439</v>
      </c>
      <c r="E258" s="1329">
        <v>0</v>
      </c>
      <c r="F258" s="1329">
        <v>0</v>
      </c>
      <c r="G258" s="1329"/>
      <c r="H258" s="1329">
        <v>393</v>
      </c>
      <c r="I258" s="1138"/>
      <c r="J258" s="1329"/>
      <c r="K258" s="1329">
        <f t="shared" si="28"/>
        <v>393</v>
      </c>
      <c r="L258" s="1233"/>
      <c r="M258" s="2139"/>
    </row>
    <row r="259" spans="1:13" s="420" customFormat="1" ht="14.25" customHeight="1">
      <c r="A259" s="1159"/>
      <c r="B259" s="1944"/>
      <c r="C259" s="1935"/>
      <c r="D259" s="1328">
        <v>4618</v>
      </c>
      <c r="E259" s="1329">
        <v>1686</v>
      </c>
      <c r="F259" s="1329">
        <v>1686</v>
      </c>
      <c r="G259" s="1329"/>
      <c r="H259" s="1329">
        <v>843</v>
      </c>
      <c r="I259" s="1138">
        <f t="shared" si="27"/>
        <v>0.5</v>
      </c>
      <c r="J259" s="1329"/>
      <c r="K259" s="1329">
        <f t="shared" si="28"/>
        <v>843</v>
      </c>
      <c r="L259" s="1233">
        <f t="shared" si="26"/>
        <v>0.5</v>
      </c>
      <c r="M259" s="2139"/>
    </row>
    <row r="260" spans="1:13" s="420" customFormat="1" ht="14.25" customHeight="1">
      <c r="A260" s="1159"/>
      <c r="B260" s="1944"/>
      <c r="C260" s="1935"/>
      <c r="D260" s="1328">
        <v>4619</v>
      </c>
      <c r="E260" s="1329">
        <v>314</v>
      </c>
      <c r="F260" s="1329">
        <v>314</v>
      </c>
      <c r="G260" s="1329"/>
      <c r="H260" s="1329">
        <v>157</v>
      </c>
      <c r="I260" s="1138">
        <f t="shared" si="27"/>
        <v>0.5</v>
      </c>
      <c r="J260" s="1329"/>
      <c r="K260" s="1329">
        <f t="shared" si="28"/>
        <v>157</v>
      </c>
      <c r="L260" s="1233">
        <f t="shared" si="26"/>
        <v>0.5</v>
      </c>
      <c r="M260" s="2139"/>
    </row>
    <row r="261" spans="1:13" s="420" customFormat="1" ht="14.25" customHeight="1">
      <c r="A261" s="1159"/>
      <c r="B261" s="1944"/>
      <c r="C261" s="1935"/>
      <c r="D261" s="1328">
        <v>4708</v>
      </c>
      <c r="E261" s="1329">
        <v>40033</v>
      </c>
      <c r="F261" s="1329">
        <v>40033</v>
      </c>
      <c r="G261" s="1329"/>
      <c r="H261" s="1329">
        <v>35398</v>
      </c>
      <c r="I261" s="1138">
        <f t="shared" si="27"/>
        <v>0.88422051807259017</v>
      </c>
      <c r="J261" s="1329"/>
      <c r="K261" s="1329">
        <f t="shared" si="28"/>
        <v>35398</v>
      </c>
      <c r="L261" s="1233">
        <f t="shared" si="26"/>
        <v>0.88422051807259017</v>
      </c>
      <c r="M261" s="2139"/>
    </row>
    <row r="262" spans="1:13" s="420" customFormat="1" ht="14.25" customHeight="1">
      <c r="A262" s="1159"/>
      <c r="B262" s="1944"/>
      <c r="C262" s="1935"/>
      <c r="D262" s="1328">
        <v>4709</v>
      </c>
      <c r="E262" s="1329">
        <v>7467</v>
      </c>
      <c r="F262" s="1329">
        <v>7467</v>
      </c>
      <c r="G262" s="1329"/>
      <c r="H262" s="1329">
        <v>6602</v>
      </c>
      <c r="I262" s="1138">
        <f t="shared" si="27"/>
        <v>0.88415695727869292</v>
      </c>
      <c r="J262" s="1329"/>
      <c r="K262" s="1329">
        <f t="shared" si="28"/>
        <v>6602</v>
      </c>
      <c r="L262" s="1233">
        <f t="shared" si="26"/>
        <v>0.88415695727869292</v>
      </c>
      <c r="M262" s="2139"/>
    </row>
    <row r="263" spans="1:13" s="420" customFormat="1" ht="14.25" customHeight="1">
      <c r="A263" s="1159"/>
      <c r="B263" s="1944"/>
      <c r="C263" s="1935"/>
      <c r="D263" s="1328">
        <v>4718</v>
      </c>
      <c r="E263" s="1329">
        <v>8941</v>
      </c>
      <c r="F263" s="1329">
        <v>8941</v>
      </c>
      <c r="G263" s="1329"/>
      <c r="H263" s="1329">
        <v>13587</v>
      </c>
      <c r="I263" s="1138">
        <f t="shared" si="27"/>
        <v>1.5196286768817806</v>
      </c>
      <c r="J263" s="1329"/>
      <c r="K263" s="1329">
        <f t="shared" si="28"/>
        <v>13587</v>
      </c>
      <c r="L263" s="1233">
        <f t="shared" si="26"/>
        <v>1.5196286768817806</v>
      </c>
      <c r="M263" s="2139"/>
    </row>
    <row r="264" spans="1:13" s="420" customFormat="1" ht="14.25" customHeight="1">
      <c r="A264" s="1159"/>
      <c r="B264" s="1944"/>
      <c r="C264" s="1935"/>
      <c r="D264" s="1328">
        <v>4719</v>
      </c>
      <c r="E264" s="1329">
        <v>1668</v>
      </c>
      <c r="F264" s="1329">
        <v>1668</v>
      </c>
      <c r="G264" s="1329"/>
      <c r="H264" s="1329">
        <v>2534</v>
      </c>
      <c r="I264" s="1138">
        <f t="shared" si="27"/>
        <v>1.5191846522781776</v>
      </c>
      <c r="J264" s="1329"/>
      <c r="K264" s="1329">
        <f t="shared" si="28"/>
        <v>2534</v>
      </c>
      <c r="L264" s="1233">
        <f t="shared" si="26"/>
        <v>1.5191846522781776</v>
      </c>
      <c r="M264" s="2139"/>
    </row>
    <row r="265" spans="1:13" s="420" customFormat="1" ht="14.25" customHeight="1">
      <c r="A265" s="1159"/>
      <c r="B265" s="1944"/>
      <c r="C265" s="2118"/>
      <c r="D265" s="1328">
        <v>2958</v>
      </c>
      <c r="E265" s="1329">
        <v>0</v>
      </c>
      <c r="F265" s="1329">
        <v>186</v>
      </c>
      <c r="G265" s="1329"/>
      <c r="H265" s="1329">
        <v>0</v>
      </c>
      <c r="I265" s="1138"/>
      <c r="J265" s="1329"/>
      <c r="K265" s="1329">
        <f t="shared" si="28"/>
        <v>0</v>
      </c>
      <c r="L265" s="1233"/>
      <c r="M265" s="2139"/>
    </row>
    <row r="266" spans="1:13" s="420" customFormat="1" ht="12.75" customHeight="1">
      <c r="A266" s="1159"/>
      <c r="B266" s="1944"/>
      <c r="C266" s="668" t="s">
        <v>26</v>
      </c>
      <c r="D266" s="669"/>
      <c r="E266" s="513"/>
      <c r="F266" s="513"/>
      <c r="G266" s="513"/>
      <c r="H266" s="513"/>
      <c r="I266" s="809"/>
      <c r="J266" s="513"/>
      <c r="K266" s="1137"/>
      <c r="L266" s="1233"/>
      <c r="M266" s="2139"/>
    </row>
    <row r="267" spans="1:13" s="420" customFormat="1" ht="13.5" customHeight="1">
      <c r="A267" s="1159"/>
      <c r="B267" s="1944"/>
      <c r="C267" s="668" t="s">
        <v>27</v>
      </c>
      <c r="D267" s="669"/>
      <c r="E267" s="513"/>
      <c r="F267" s="513"/>
      <c r="G267" s="513"/>
      <c r="H267" s="513"/>
      <c r="I267" s="809"/>
      <c r="J267" s="513"/>
      <c r="K267" s="1137"/>
      <c r="L267" s="1233"/>
      <c r="M267" s="2139"/>
    </row>
    <row r="268" spans="1:13" s="420" customFormat="1" ht="13.5" customHeight="1">
      <c r="A268" s="1159"/>
      <c r="B268" s="1944"/>
      <c r="C268" s="676" t="s">
        <v>28</v>
      </c>
      <c r="D268" s="677"/>
      <c r="E268" s="528">
        <f>SUM(E269,E273,E274)</f>
        <v>198000</v>
      </c>
      <c r="F268" s="528">
        <f>SUM(F269,F273,F274)</f>
        <v>198000</v>
      </c>
      <c r="G268" s="528"/>
      <c r="H268" s="528">
        <f>SUM(H269,H273,H274)</f>
        <v>217800</v>
      </c>
      <c r="I268" s="808">
        <f>H268/E268</f>
        <v>1.1000000000000001</v>
      </c>
      <c r="J268" s="528">
        <f>SUM(J269,J273,J274)</f>
        <v>200000</v>
      </c>
      <c r="K268" s="1136">
        <f>SUM(K269,K273,K274)</f>
        <v>417800</v>
      </c>
      <c r="L268" s="1232">
        <f t="shared" si="26"/>
        <v>2.11010101010101</v>
      </c>
      <c r="M268" s="2139"/>
    </row>
    <row r="269" spans="1:13" s="420" customFormat="1" ht="15" customHeight="1">
      <c r="A269" s="1159"/>
      <c r="B269" s="1944"/>
      <c r="C269" s="1938" t="s">
        <v>29</v>
      </c>
      <c r="D269" s="669" t="s">
        <v>22</v>
      </c>
      <c r="E269" s="513">
        <f>SUM(E270:E271)</f>
        <v>198000</v>
      </c>
      <c r="F269" s="513">
        <f>SUM(F270:F271)</f>
        <v>198000</v>
      </c>
      <c r="G269" s="513"/>
      <c r="H269" s="513">
        <f>SUM(H270:H271)</f>
        <v>217800</v>
      </c>
      <c r="I269" s="809">
        <f>H269/E269</f>
        <v>1.1000000000000001</v>
      </c>
      <c r="J269" s="513">
        <f>SUM(J270:J271)</f>
        <v>200000</v>
      </c>
      <c r="K269" s="1137">
        <f>SUM(K270:K271)</f>
        <v>417800</v>
      </c>
      <c r="L269" s="1233">
        <f t="shared" si="26"/>
        <v>2.11010101010101</v>
      </c>
      <c r="M269" s="2139"/>
    </row>
    <row r="270" spans="1:13" s="420" customFormat="1" ht="15" customHeight="1">
      <c r="A270" s="1159"/>
      <c r="B270" s="1944"/>
      <c r="C270" s="1939"/>
      <c r="D270" s="674">
        <v>6050</v>
      </c>
      <c r="E270" s="502">
        <v>150000</v>
      </c>
      <c r="F270" s="502">
        <v>0</v>
      </c>
      <c r="G270" s="502"/>
      <c r="H270" s="502">
        <v>27800</v>
      </c>
      <c r="I270" s="809">
        <f>H270/E270</f>
        <v>0.18533333333333332</v>
      </c>
      <c r="J270" s="502">
        <v>200000</v>
      </c>
      <c r="K270" s="1139">
        <f>H270+J270</f>
        <v>227800</v>
      </c>
      <c r="L270" s="1233">
        <f t="shared" si="26"/>
        <v>1.5186666666666666</v>
      </c>
      <c r="M270" s="2139"/>
    </row>
    <row r="271" spans="1:13" s="420" customFormat="1" ht="15" customHeight="1">
      <c r="A271" s="1159"/>
      <c r="B271" s="1944"/>
      <c r="C271" s="1939"/>
      <c r="D271" s="674">
        <v>6060</v>
      </c>
      <c r="E271" s="502">
        <v>48000</v>
      </c>
      <c r="F271" s="502">
        <v>198000</v>
      </c>
      <c r="G271" s="502"/>
      <c r="H271" s="502">
        <v>190000</v>
      </c>
      <c r="I271" s="1138">
        <f>H271/E271</f>
        <v>3.9583333333333335</v>
      </c>
      <c r="J271" s="502"/>
      <c r="K271" s="1139">
        <f>H271+J271</f>
        <v>190000</v>
      </c>
      <c r="L271" s="1233">
        <f t="shared" si="26"/>
        <v>3.9583333333333335</v>
      </c>
      <c r="M271" s="2139"/>
    </row>
    <row r="272" spans="1:13" s="420" customFormat="1" ht="21.75" customHeight="1">
      <c r="A272" s="1159"/>
      <c r="B272" s="1944"/>
      <c r="C272" s="405" t="s">
        <v>30</v>
      </c>
      <c r="D272" s="669"/>
      <c r="E272" s="502"/>
      <c r="F272" s="502"/>
      <c r="G272" s="502"/>
      <c r="H272" s="502"/>
      <c r="I272" s="809"/>
      <c r="J272" s="502"/>
      <c r="K272" s="1137"/>
      <c r="L272" s="1233"/>
      <c r="M272" s="2139"/>
    </row>
    <row r="273" spans="1:25" s="420" customFormat="1" ht="13.5" customHeight="1">
      <c r="A273" s="1159"/>
      <c r="B273" s="1944"/>
      <c r="C273" s="668" t="s">
        <v>31</v>
      </c>
      <c r="D273" s="669"/>
      <c r="E273" s="513"/>
      <c r="F273" s="513"/>
      <c r="G273" s="513"/>
      <c r="H273" s="513"/>
      <c r="I273" s="809"/>
      <c r="J273" s="513"/>
      <c r="K273" s="1137"/>
      <c r="L273" s="1233"/>
      <c r="M273" s="2139"/>
    </row>
    <row r="274" spans="1:25" s="420" customFormat="1" ht="13.5" customHeight="1" thickBot="1">
      <c r="A274" s="1174"/>
      <c r="B274" s="1945"/>
      <c r="C274" s="679" t="s">
        <v>32</v>
      </c>
      <c r="D274" s="680"/>
      <c r="E274" s="683"/>
      <c r="F274" s="683"/>
      <c r="G274" s="683"/>
      <c r="H274" s="683"/>
      <c r="I274" s="1141"/>
      <c r="J274" s="683"/>
      <c r="K274" s="627"/>
      <c r="L274" s="1233"/>
      <c r="M274" s="2140"/>
    </row>
    <row r="275" spans="1:25" s="640" customFormat="1" ht="20.100000000000001" customHeight="1">
      <c r="A275" s="1930"/>
      <c r="B275" s="1973" t="s">
        <v>142</v>
      </c>
      <c r="C275" s="1248" t="s">
        <v>17</v>
      </c>
      <c r="D275" s="1249"/>
      <c r="E275" s="607">
        <f>SUM(E276,E289)</f>
        <v>848000</v>
      </c>
      <c r="F275" s="607">
        <f>SUM(F276,F289)</f>
        <v>9159841</v>
      </c>
      <c r="G275" s="607"/>
      <c r="H275" s="607">
        <f>SUM(H276,H289)</f>
        <v>0</v>
      </c>
      <c r="I275" s="1134">
        <f>H275/E275</f>
        <v>0</v>
      </c>
      <c r="J275" s="607">
        <f>SUM(J276,J289)</f>
        <v>0</v>
      </c>
      <c r="K275" s="524">
        <f>SUM(K276,K289)</f>
        <v>0</v>
      </c>
      <c r="L275" s="1230">
        <f t="shared" si="26"/>
        <v>0</v>
      </c>
      <c r="M275" s="2121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</row>
    <row r="276" spans="1:25" s="640" customFormat="1" ht="14.1" customHeight="1">
      <c r="A276" s="1930"/>
      <c r="B276" s="1932"/>
      <c r="C276" s="664" t="s">
        <v>18</v>
      </c>
      <c r="D276" s="665"/>
      <c r="E276" s="528">
        <f>SUM(E277,E280,E285,E286,E287,E288)</f>
        <v>848000</v>
      </c>
      <c r="F276" s="528">
        <f>SUM(F277,F280,F285,F286,F287,F288)</f>
        <v>9159841</v>
      </c>
      <c r="G276" s="528"/>
      <c r="H276" s="528">
        <f>SUM(H277,H280,H285,H286,H287,H288)</f>
        <v>0</v>
      </c>
      <c r="I276" s="808">
        <f>H276/E276</f>
        <v>0</v>
      </c>
      <c r="J276" s="528">
        <f>SUM(J277,J280,J285,J286,J287,J288)</f>
        <v>0</v>
      </c>
      <c r="K276" s="1136">
        <f>SUM(K277,K280,K285,K286,K287,K288)</f>
        <v>0</v>
      </c>
      <c r="L276" s="1232">
        <f t="shared" si="26"/>
        <v>0</v>
      </c>
      <c r="M276" s="2121"/>
      <c r="N276" s="420"/>
      <c r="O276" s="420"/>
      <c r="P276" s="420"/>
      <c r="Q276" s="420"/>
      <c r="R276" s="420"/>
      <c r="S276" s="420"/>
      <c r="T276" s="420"/>
      <c r="U276" s="420"/>
      <c r="V276" s="420"/>
      <c r="W276" s="420"/>
      <c r="X276" s="420"/>
      <c r="Y276" s="420"/>
    </row>
    <row r="277" spans="1:25" s="640" customFormat="1" ht="14.1" customHeight="1">
      <c r="A277" s="1930"/>
      <c r="B277" s="1932"/>
      <c r="C277" s="668" t="s">
        <v>19</v>
      </c>
      <c r="D277" s="669"/>
      <c r="E277" s="513"/>
      <c r="F277" s="513"/>
      <c r="G277" s="513"/>
      <c r="H277" s="513">
        <f>SUM(H278,H279)</f>
        <v>0</v>
      </c>
      <c r="I277" s="809"/>
      <c r="J277" s="513">
        <f>SUM(J278,J279)</f>
        <v>0</v>
      </c>
      <c r="K277" s="1137"/>
      <c r="L277" s="1232"/>
      <c r="M277" s="2121"/>
      <c r="N277" s="420"/>
      <c r="O277" s="420"/>
      <c r="P277" s="420"/>
      <c r="Q277" s="420"/>
      <c r="R277" s="420"/>
      <c r="S277" s="420"/>
      <c r="T277" s="420"/>
      <c r="U277" s="420"/>
      <c r="V277" s="420"/>
      <c r="W277" s="420"/>
      <c r="X277" s="420"/>
      <c r="Y277" s="420"/>
    </row>
    <row r="278" spans="1:25" s="640" customFormat="1" ht="14.1" customHeight="1">
      <c r="A278" s="1930"/>
      <c r="B278" s="1932"/>
      <c r="C278" s="668" t="s">
        <v>20</v>
      </c>
      <c r="D278" s="669"/>
      <c r="E278" s="513"/>
      <c r="F278" s="513"/>
      <c r="G278" s="513"/>
      <c r="H278" s="513"/>
      <c r="I278" s="809"/>
      <c r="J278" s="513"/>
      <c r="K278" s="1137"/>
      <c r="L278" s="1232"/>
      <c r="M278" s="2121"/>
      <c r="N278" s="420"/>
      <c r="O278" s="420"/>
      <c r="P278" s="420"/>
      <c r="Q278" s="420"/>
      <c r="R278" s="420"/>
      <c r="S278" s="420"/>
      <c r="T278" s="420"/>
      <c r="U278" s="420"/>
      <c r="V278" s="420"/>
      <c r="W278" s="420"/>
      <c r="X278" s="420"/>
      <c r="Y278" s="420"/>
    </row>
    <row r="279" spans="1:25" s="640" customFormat="1" ht="14.1" customHeight="1">
      <c r="A279" s="1930"/>
      <c r="B279" s="1932"/>
      <c r="C279" s="672" t="s">
        <v>21</v>
      </c>
      <c r="D279" s="673"/>
      <c r="E279" s="513"/>
      <c r="F279" s="513"/>
      <c r="G279" s="513"/>
      <c r="H279" s="513"/>
      <c r="I279" s="809"/>
      <c r="J279" s="513"/>
      <c r="K279" s="1137"/>
      <c r="L279" s="1232"/>
      <c r="M279" s="2121"/>
      <c r="N279" s="420"/>
      <c r="O279" s="420"/>
      <c r="P279" s="420"/>
      <c r="Q279" s="420"/>
      <c r="R279" s="420"/>
      <c r="S279" s="420"/>
      <c r="T279" s="420"/>
      <c r="U279" s="420"/>
      <c r="V279" s="420"/>
      <c r="W279" s="420"/>
      <c r="X279" s="420"/>
      <c r="Y279" s="420"/>
    </row>
    <row r="280" spans="1:25" s="640" customFormat="1" ht="14.1" customHeight="1">
      <c r="A280" s="1930"/>
      <c r="B280" s="1932"/>
      <c r="C280" s="1938" t="s">
        <v>23</v>
      </c>
      <c r="D280" s="673" t="s">
        <v>22</v>
      </c>
      <c r="E280" s="513">
        <f>SUM(E281:E284)</f>
        <v>848000</v>
      </c>
      <c r="F280" s="513">
        <f>SUM(F281:F284)</f>
        <v>9159841</v>
      </c>
      <c r="G280" s="513"/>
      <c r="H280" s="513">
        <f>SUM(H281:H284)</f>
        <v>0</v>
      </c>
      <c r="I280" s="809">
        <f>H280/E280</f>
        <v>0</v>
      </c>
      <c r="J280" s="513">
        <f>SUM(J281:J284)</f>
        <v>0</v>
      </c>
      <c r="K280" s="1137">
        <f>SUM(K281:K284)</f>
        <v>0</v>
      </c>
      <c r="L280" s="1233">
        <f t="shared" si="26"/>
        <v>0</v>
      </c>
      <c r="M280" s="2121"/>
      <c r="N280" s="420"/>
      <c r="O280" s="420"/>
      <c r="P280" s="420"/>
      <c r="Q280" s="420"/>
      <c r="R280" s="420"/>
      <c r="S280" s="420"/>
      <c r="T280" s="420"/>
      <c r="U280" s="420"/>
      <c r="V280" s="420"/>
      <c r="W280" s="420"/>
      <c r="X280" s="420"/>
      <c r="Y280" s="420"/>
    </row>
    <row r="281" spans="1:25" s="640" customFormat="1" ht="14.1" customHeight="1">
      <c r="A281" s="1930"/>
      <c r="B281" s="1932"/>
      <c r="C281" s="1939"/>
      <c r="D281" s="674">
        <v>2009</v>
      </c>
      <c r="E281" s="502">
        <v>848000</v>
      </c>
      <c r="F281" s="502">
        <v>9105000</v>
      </c>
      <c r="G281" s="502"/>
      <c r="H281" s="502">
        <v>0</v>
      </c>
      <c r="I281" s="1138">
        <f>H281/E281</f>
        <v>0</v>
      </c>
      <c r="J281" s="502"/>
      <c r="K281" s="1139">
        <f>H281+J281</f>
        <v>0</v>
      </c>
      <c r="L281" s="1233">
        <f t="shared" si="26"/>
        <v>0</v>
      </c>
      <c r="M281" s="2121"/>
      <c r="N281" s="420"/>
      <c r="O281" s="420"/>
      <c r="P281" s="420"/>
      <c r="Q281" s="420"/>
      <c r="R281" s="420"/>
      <c r="S281" s="420"/>
      <c r="T281" s="420"/>
      <c r="U281" s="420"/>
      <c r="V281" s="420"/>
      <c r="W281" s="420"/>
      <c r="X281" s="420"/>
      <c r="Y281" s="420"/>
    </row>
    <row r="282" spans="1:25" s="640" customFormat="1" ht="14.1" customHeight="1">
      <c r="A282" s="1930"/>
      <c r="B282" s="1932"/>
      <c r="C282" s="1939"/>
      <c r="D282" s="674">
        <v>2918</v>
      </c>
      <c r="E282" s="502">
        <v>0</v>
      </c>
      <c r="F282" s="502">
        <v>1772</v>
      </c>
      <c r="G282" s="502"/>
      <c r="H282" s="502">
        <v>0</v>
      </c>
      <c r="I282" s="1138"/>
      <c r="J282" s="502"/>
      <c r="K282" s="1139">
        <f t="shared" ref="K282:K283" si="29">H282+J282</f>
        <v>0</v>
      </c>
      <c r="L282" s="1233"/>
      <c r="M282" s="2121"/>
      <c r="N282" s="420"/>
      <c r="O282" s="420"/>
      <c r="P282" s="420"/>
      <c r="Q282" s="420"/>
      <c r="R282" s="420"/>
      <c r="S282" s="420"/>
      <c r="T282" s="420"/>
      <c r="U282" s="420"/>
      <c r="V282" s="420"/>
      <c r="W282" s="420"/>
      <c r="X282" s="420"/>
      <c r="Y282" s="420"/>
    </row>
    <row r="283" spans="1:25" s="640" customFormat="1" ht="14.1" customHeight="1">
      <c r="A283" s="1930"/>
      <c r="B283" s="1932"/>
      <c r="C283" s="1939"/>
      <c r="D283" s="674">
        <v>2919</v>
      </c>
      <c r="E283" s="502">
        <v>0</v>
      </c>
      <c r="F283" s="502">
        <v>314</v>
      </c>
      <c r="G283" s="502"/>
      <c r="H283" s="502">
        <v>0</v>
      </c>
      <c r="I283" s="1138"/>
      <c r="J283" s="502"/>
      <c r="K283" s="1139">
        <f t="shared" si="29"/>
        <v>0</v>
      </c>
      <c r="L283" s="1232"/>
      <c r="M283" s="2121"/>
      <c r="N283" s="420"/>
      <c r="O283" s="420"/>
      <c r="P283" s="420"/>
      <c r="Q283" s="420"/>
      <c r="R283" s="420"/>
      <c r="S283" s="420"/>
      <c r="T283" s="420"/>
      <c r="U283" s="420"/>
      <c r="V283" s="420"/>
      <c r="W283" s="420"/>
      <c r="X283" s="420"/>
      <c r="Y283" s="420"/>
    </row>
    <row r="284" spans="1:25" s="640" customFormat="1" ht="14.1" customHeight="1">
      <c r="A284" s="1930"/>
      <c r="B284" s="1932"/>
      <c r="C284" s="1939"/>
      <c r="D284" s="674">
        <v>2959</v>
      </c>
      <c r="E284" s="502">
        <v>0</v>
      </c>
      <c r="F284" s="502">
        <v>52755</v>
      </c>
      <c r="G284" s="502"/>
      <c r="H284" s="502">
        <v>0</v>
      </c>
      <c r="I284" s="1138"/>
      <c r="J284" s="502"/>
      <c r="K284" s="1139">
        <f>H284+J284</f>
        <v>0</v>
      </c>
      <c r="L284" s="1232"/>
      <c r="M284" s="2121"/>
      <c r="N284" s="420"/>
      <c r="O284" s="420"/>
      <c r="P284" s="420"/>
      <c r="Q284" s="420"/>
      <c r="R284" s="420"/>
      <c r="S284" s="420"/>
      <c r="T284" s="420"/>
      <c r="U284" s="420"/>
      <c r="V284" s="420"/>
      <c r="W284" s="420"/>
      <c r="X284" s="420"/>
      <c r="Y284" s="420"/>
    </row>
    <row r="285" spans="1:25" s="640" customFormat="1" ht="14.1" customHeight="1">
      <c r="A285" s="1930"/>
      <c r="B285" s="1932"/>
      <c r="C285" s="668" t="s">
        <v>24</v>
      </c>
      <c r="D285" s="669"/>
      <c r="E285" s="513"/>
      <c r="F285" s="513"/>
      <c r="G285" s="513"/>
      <c r="H285" s="513"/>
      <c r="I285" s="1138"/>
      <c r="J285" s="513"/>
      <c r="K285" s="1137"/>
      <c r="L285" s="1232"/>
      <c r="M285" s="2121"/>
      <c r="N285" s="420"/>
      <c r="O285" s="420"/>
      <c r="P285" s="420"/>
      <c r="Q285" s="420"/>
      <c r="R285" s="420"/>
      <c r="S285" s="420"/>
      <c r="T285" s="420"/>
      <c r="U285" s="420"/>
      <c r="V285" s="420"/>
      <c r="W285" s="420"/>
      <c r="X285" s="420"/>
      <c r="Y285" s="420"/>
    </row>
    <row r="286" spans="1:25" s="640" customFormat="1" ht="14.1" customHeight="1">
      <c r="A286" s="1930"/>
      <c r="B286" s="1932"/>
      <c r="C286" s="405" t="s">
        <v>25</v>
      </c>
      <c r="D286" s="673"/>
      <c r="E286" s="513"/>
      <c r="F286" s="513"/>
      <c r="G286" s="513"/>
      <c r="H286" s="513"/>
      <c r="I286" s="1138"/>
      <c r="J286" s="513"/>
      <c r="K286" s="1137"/>
      <c r="L286" s="1232"/>
      <c r="M286" s="2121"/>
      <c r="N286" s="420"/>
      <c r="O286" s="420"/>
      <c r="P286" s="420"/>
      <c r="Q286" s="420"/>
      <c r="R286" s="420"/>
      <c r="S286" s="420"/>
      <c r="T286" s="420"/>
      <c r="U286" s="420"/>
      <c r="V286" s="420"/>
      <c r="W286" s="420"/>
      <c r="X286" s="420"/>
      <c r="Y286" s="420"/>
    </row>
    <row r="287" spans="1:25" s="640" customFormat="1" ht="14.1" customHeight="1">
      <c r="A287" s="1930"/>
      <c r="B287" s="1932"/>
      <c r="C287" s="668" t="s">
        <v>26</v>
      </c>
      <c r="D287" s="669"/>
      <c r="E287" s="513"/>
      <c r="F287" s="513"/>
      <c r="G287" s="513"/>
      <c r="H287" s="513"/>
      <c r="I287" s="809"/>
      <c r="J287" s="513"/>
      <c r="K287" s="1137"/>
      <c r="L287" s="1232"/>
      <c r="M287" s="2121"/>
      <c r="N287" s="420"/>
      <c r="O287" s="420"/>
      <c r="P287" s="420"/>
      <c r="Q287" s="420"/>
      <c r="R287" s="420"/>
      <c r="S287" s="420"/>
      <c r="T287" s="420"/>
      <c r="U287" s="420"/>
      <c r="V287" s="420"/>
      <c r="W287" s="420"/>
      <c r="X287" s="420"/>
      <c r="Y287" s="420"/>
    </row>
    <row r="288" spans="1:25" s="640" customFormat="1" ht="14.1" customHeight="1">
      <c r="A288" s="1930"/>
      <c r="B288" s="1932"/>
      <c r="C288" s="668" t="s">
        <v>27</v>
      </c>
      <c r="D288" s="669"/>
      <c r="E288" s="513"/>
      <c r="F288" s="513"/>
      <c r="G288" s="513"/>
      <c r="H288" s="513"/>
      <c r="I288" s="809"/>
      <c r="J288" s="513"/>
      <c r="K288" s="1137"/>
      <c r="L288" s="1232"/>
      <c r="M288" s="2121"/>
      <c r="N288" s="420"/>
      <c r="O288" s="420"/>
      <c r="P288" s="420"/>
      <c r="Q288" s="420"/>
      <c r="R288" s="420"/>
      <c r="S288" s="420"/>
      <c r="T288" s="420"/>
      <c r="U288" s="420"/>
      <c r="V288" s="420"/>
      <c r="W288" s="420"/>
      <c r="X288" s="420"/>
      <c r="Y288" s="420"/>
    </row>
    <row r="289" spans="1:25" s="640" customFormat="1" ht="14.1" customHeight="1">
      <c r="A289" s="1930"/>
      <c r="B289" s="1932"/>
      <c r="C289" s="676" t="s">
        <v>28</v>
      </c>
      <c r="D289" s="677"/>
      <c r="E289" s="528">
        <f>SUM(E290,E292,E293)</f>
        <v>0</v>
      </c>
      <c r="F289" s="528">
        <f>SUM(F290,F292,F293)</f>
        <v>0</v>
      </c>
      <c r="G289" s="528"/>
      <c r="H289" s="528">
        <f>SUM(H290,H292,H293)</f>
        <v>0</v>
      </c>
      <c r="I289" s="808"/>
      <c r="J289" s="528">
        <f>SUM(J290,J292,J293)</f>
        <v>0</v>
      </c>
      <c r="K289" s="1136">
        <f>SUM(K290,K292,K293)</f>
        <v>0</v>
      </c>
      <c r="L289" s="1232"/>
      <c r="M289" s="2121"/>
      <c r="N289" s="420"/>
      <c r="O289" s="420"/>
      <c r="P289" s="420"/>
      <c r="Q289" s="420"/>
      <c r="R289" s="420"/>
      <c r="S289" s="420"/>
      <c r="T289" s="420"/>
      <c r="U289" s="420"/>
      <c r="V289" s="420"/>
      <c r="W289" s="420"/>
      <c r="X289" s="420"/>
      <c r="Y289" s="420"/>
    </row>
    <row r="290" spans="1:25" s="640" customFormat="1" ht="14.1" customHeight="1">
      <c r="A290" s="1930"/>
      <c r="B290" s="1932"/>
      <c r="C290" s="668" t="s">
        <v>29</v>
      </c>
      <c r="D290" s="669"/>
      <c r="E290" s="513"/>
      <c r="F290" s="513"/>
      <c r="G290" s="513"/>
      <c r="H290" s="513"/>
      <c r="I290" s="809"/>
      <c r="J290" s="513"/>
      <c r="K290" s="1137"/>
      <c r="L290" s="1232"/>
      <c r="M290" s="2121"/>
      <c r="N290" s="420"/>
      <c r="O290" s="420"/>
      <c r="P290" s="420"/>
      <c r="Q290" s="420"/>
      <c r="R290" s="420"/>
      <c r="S290" s="420"/>
      <c r="T290" s="420"/>
      <c r="U290" s="420"/>
      <c r="V290" s="420"/>
      <c r="W290" s="420"/>
      <c r="X290" s="420"/>
      <c r="Y290" s="420"/>
    </row>
    <row r="291" spans="1:25" s="640" customFormat="1" ht="14.1" customHeight="1">
      <c r="A291" s="1930"/>
      <c r="B291" s="1932"/>
      <c r="C291" s="672" t="s">
        <v>30</v>
      </c>
      <c r="D291" s="673"/>
      <c r="E291" s="513"/>
      <c r="F291" s="513"/>
      <c r="G291" s="513"/>
      <c r="H291" s="513"/>
      <c r="I291" s="809"/>
      <c r="J291" s="513"/>
      <c r="K291" s="1137"/>
      <c r="L291" s="1232"/>
      <c r="M291" s="2121"/>
      <c r="N291" s="420"/>
      <c r="O291" s="420"/>
      <c r="P291" s="420"/>
      <c r="Q291" s="420"/>
      <c r="R291" s="420"/>
      <c r="S291" s="420"/>
      <c r="T291" s="420"/>
      <c r="U291" s="420"/>
      <c r="V291" s="420"/>
      <c r="W291" s="420"/>
      <c r="X291" s="420"/>
      <c r="Y291" s="420"/>
    </row>
    <row r="292" spans="1:25" s="640" customFormat="1" ht="14.1" customHeight="1">
      <c r="A292" s="1930"/>
      <c r="B292" s="1932"/>
      <c r="C292" s="668" t="s">
        <v>31</v>
      </c>
      <c r="D292" s="669"/>
      <c r="E292" s="513"/>
      <c r="F292" s="513"/>
      <c r="G292" s="513"/>
      <c r="H292" s="513"/>
      <c r="I292" s="809"/>
      <c r="J292" s="513"/>
      <c r="K292" s="1137"/>
      <c r="L292" s="1232"/>
      <c r="M292" s="2121"/>
      <c r="N292" s="420"/>
      <c r="O292" s="420"/>
      <c r="P292" s="420"/>
      <c r="Q292" s="420"/>
      <c r="R292" s="420"/>
      <c r="S292" s="420"/>
      <c r="T292" s="420"/>
      <c r="U292" s="420"/>
      <c r="V292" s="420"/>
      <c r="W292" s="420"/>
      <c r="X292" s="420"/>
      <c r="Y292" s="420"/>
    </row>
    <row r="293" spans="1:25" s="640" customFormat="1" ht="14.1" customHeight="1" thickBot="1">
      <c r="A293" s="1930"/>
      <c r="B293" s="1972"/>
      <c r="C293" s="169" t="s">
        <v>32</v>
      </c>
      <c r="D293" s="810"/>
      <c r="E293" s="172"/>
      <c r="F293" s="172"/>
      <c r="G293" s="172"/>
      <c r="H293" s="172"/>
      <c r="I293" s="1240"/>
      <c r="J293" s="172"/>
      <c r="K293" s="455"/>
      <c r="L293" s="1250"/>
      <c r="M293" s="2121"/>
      <c r="N293" s="420"/>
      <c r="O293" s="420"/>
      <c r="P293" s="420"/>
      <c r="Q293" s="420"/>
      <c r="R293" s="420"/>
      <c r="S293" s="420"/>
      <c r="T293" s="420"/>
      <c r="U293" s="420"/>
      <c r="V293" s="420"/>
      <c r="W293" s="420"/>
      <c r="X293" s="420"/>
      <c r="Y293" s="420"/>
    </row>
    <row r="294" spans="1:25" s="1196" customFormat="1" ht="20.25" customHeight="1" thickBot="1">
      <c r="A294" s="2109" t="s">
        <v>33</v>
      </c>
      <c r="B294" s="2110"/>
      <c r="C294" s="2111"/>
      <c r="D294" s="793"/>
      <c r="E294" s="1191">
        <f>SUM(E5,E23,E70,E100,E197)</f>
        <v>37674538</v>
      </c>
      <c r="F294" s="1191">
        <f>SUM(F5,F23,F70,F100,F197)</f>
        <v>39836962</v>
      </c>
      <c r="G294" s="1191">
        <f>SUM(G5,G23,G70,G100,G197)</f>
        <v>0</v>
      </c>
      <c r="H294" s="1192">
        <f>SUM(H5,H23,H70,H100,H197)</f>
        <v>24827118</v>
      </c>
      <c r="I294" s="1251">
        <f>H294/E294</f>
        <v>0.65898931527707116</v>
      </c>
      <c r="J294" s="1191">
        <f>SUM(J5,J23,J70,J100,J197)</f>
        <v>793800</v>
      </c>
      <c r="K294" s="1192">
        <f>SUM(K5,K23,K70,K100,K197)</f>
        <v>25620918</v>
      </c>
      <c r="L294" s="1194">
        <f t="shared" ref="L294" si="30">K294/E294</f>
        <v>0.68005924850359145</v>
      </c>
      <c r="M294" s="1252"/>
    </row>
    <row r="296" spans="1:25" s="257" customFormat="1">
      <c r="A296" s="1197"/>
      <c r="D296" s="1197"/>
      <c r="E296" s="738"/>
      <c r="F296" s="738"/>
      <c r="G296" s="738"/>
      <c r="H296" s="738"/>
      <c r="I296" s="738"/>
      <c r="J296" s="738"/>
      <c r="K296" s="738"/>
      <c r="L296" s="989"/>
    </row>
  </sheetData>
  <mergeCells count="46">
    <mergeCell ref="A24:A52"/>
    <mergeCell ref="B24:B52"/>
    <mergeCell ref="M24:M52"/>
    <mergeCell ref="C31:C45"/>
    <mergeCell ref="A53:A69"/>
    <mergeCell ref="B53:B69"/>
    <mergeCell ref="M53:M69"/>
    <mergeCell ref="C60:C62"/>
    <mergeCell ref="A1:M1"/>
    <mergeCell ref="B4:C4"/>
    <mergeCell ref="A6:A22"/>
    <mergeCell ref="B6:B22"/>
    <mergeCell ref="M6:M22"/>
    <mergeCell ref="C13:C15"/>
    <mergeCell ref="B71:B99"/>
    <mergeCell ref="M71:M99"/>
    <mergeCell ref="C78:C92"/>
    <mergeCell ref="A101:A123"/>
    <mergeCell ref="B101:B123"/>
    <mergeCell ref="M101:M123"/>
    <mergeCell ref="C108:C112"/>
    <mergeCell ref="C116:C118"/>
    <mergeCell ref="C119:C121"/>
    <mergeCell ref="A71:A99"/>
    <mergeCell ref="A124:A148"/>
    <mergeCell ref="B124:B148"/>
    <mergeCell ref="M124:M148"/>
    <mergeCell ref="C131:C141"/>
    <mergeCell ref="B149:B191"/>
    <mergeCell ref="M149:M191"/>
    <mergeCell ref="C153:C162"/>
    <mergeCell ref="C165:C189"/>
    <mergeCell ref="M275:M293"/>
    <mergeCell ref="C280:C284"/>
    <mergeCell ref="A294:C294"/>
    <mergeCell ref="M198:M231"/>
    <mergeCell ref="C201:C207"/>
    <mergeCell ref="C208:C227"/>
    <mergeCell ref="C229:C231"/>
    <mergeCell ref="C232:C265"/>
    <mergeCell ref="M232:M274"/>
    <mergeCell ref="C269:C271"/>
    <mergeCell ref="A275:A293"/>
    <mergeCell ref="B275:B293"/>
    <mergeCell ref="B198:B231"/>
    <mergeCell ref="B232:B27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5" fitToHeight="0" orientation="landscape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FF"/>
  </sheetPr>
  <dimension ref="A1:L130"/>
  <sheetViews>
    <sheetView view="pageBreakPreview" zoomScaleSheetLayoutView="100" workbookViewId="0">
      <selection activeCell="P6" sqref="P6"/>
    </sheetView>
  </sheetViews>
  <sheetFormatPr defaultRowHeight="12.75"/>
  <cols>
    <col min="1" max="1" width="4.5703125" style="2" bestFit="1" customWidth="1"/>
    <col min="2" max="2" width="7.42578125" style="2" bestFit="1" customWidth="1"/>
    <col min="3" max="3" width="41.85546875" style="2" customWidth="1"/>
    <col min="4" max="4" width="5.28515625" style="55" bestFit="1" customWidth="1"/>
    <col min="5" max="5" width="12.140625" style="2" customWidth="1"/>
    <col min="6" max="6" width="10.7109375" style="2" customWidth="1"/>
    <col min="7" max="7" width="2.5703125" style="2" hidden="1" customWidth="1"/>
    <col min="8" max="8" width="12" style="2" hidden="1" customWidth="1"/>
    <col min="9" max="9" width="9" style="2" hidden="1" customWidth="1"/>
    <col min="10" max="10" width="9.5703125" style="2" hidden="1" customWidth="1"/>
    <col min="11" max="11" width="11.5703125" style="2" bestFit="1" customWidth="1"/>
    <col min="12" max="12" width="74.140625" style="2" customWidth="1"/>
    <col min="13" max="245" width="9.140625" style="2" customWidth="1"/>
    <col min="246" max="246" width="4.28515625" style="2" bestFit="1" customWidth="1"/>
    <col min="247" max="247" width="6.85546875" style="2" bestFit="1" customWidth="1"/>
    <col min="248" max="248" width="11" style="2" customWidth="1"/>
    <col min="249" max="249" width="11.140625" style="2" bestFit="1" customWidth="1"/>
    <col min="250" max="250" width="10.85546875" style="2" customWidth="1"/>
    <col min="251" max="251" width="11.5703125" style="2" customWidth="1"/>
    <col min="252" max="252" width="11.140625" style="2" bestFit="1" customWidth="1"/>
    <col min="253" max="253" width="11" style="2" customWidth="1"/>
    <col min="254" max="254" width="10.42578125" style="2" customWidth="1"/>
    <col min="255" max="255" width="11.28515625" style="2" customWidth="1"/>
    <col min="256" max="257" width="9.140625" style="2" bestFit="1" customWidth="1"/>
    <col min="258" max="259" width="11.140625" style="2" bestFit="1" customWidth="1"/>
    <col min="260" max="260" width="11.5703125" style="2" bestFit="1" customWidth="1"/>
    <col min="261" max="261" width="9.140625" style="2" bestFit="1" customWidth="1"/>
    <col min="262" max="262" width="10.28515625" style="2" customWidth="1"/>
    <col min="263" max="501" width="9.140625" style="2" customWidth="1"/>
    <col min="502" max="502" width="4.28515625" style="2" bestFit="1" customWidth="1"/>
    <col min="503" max="503" width="6.85546875" style="2" bestFit="1" customWidth="1"/>
    <col min="504" max="504" width="11" style="2" customWidth="1"/>
    <col min="505" max="505" width="11.140625" style="2" bestFit="1" customWidth="1"/>
    <col min="506" max="506" width="10.85546875" style="2" customWidth="1"/>
    <col min="507" max="507" width="11.5703125" style="2" customWidth="1"/>
    <col min="508" max="508" width="11.140625" style="2" bestFit="1" customWidth="1"/>
    <col min="509" max="509" width="11" style="2" customWidth="1"/>
    <col min="510" max="510" width="10.42578125" style="2" customWidth="1"/>
    <col min="511" max="511" width="11.28515625" style="2" customWidth="1"/>
    <col min="512" max="513" width="9.140625" style="2" bestFit="1" customWidth="1"/>
    <col min="514" max="515" width="11.140625" style="2" bestFit="1" customWidth="1"/>
    <col min="516" max="516" width="11.5703125" style="2" bestFit="1" customWidth="1"/>
    <col min="517" max="517" width="9.140625" style="2" bestFit="1" customWidth="1"/>
    <col min="518" max="518" width="10.28515625" style="2" customWidth="1"/>
    <col min="519" max="757" width="9.140625" style="2" customWidth="1"/>
    <col min="758" max="758" width="4.28515625" style="2" bestFit="1" customWidth="1"/>
    <col min="759" max="759" width="6.85546875" style="2" bestFit="1" customWidth="1"/>
    <col min="760" max="760" width="11" style="2" customWidth="1"/>
    <col min="761" max="761" width="11.140625" style="2" bestFit="1" customWidth="1"/>
    <col min="762" max="762" width="10.85546875" style="2" customWidth="1"/>
    <col min="763" max="763" width="11.5703125" style="2" customWidth="1"/>
    <col min="764" max="764" width="11.140625" style="2" bestFit="1" customWidth="1"/>
    <col min="765" max="765" width="11" style="2" customWidth="1"/>
    <col min="766" max="766" width="10.42578125" style="2" customWidth="1"/>
    <col min="767" max="767" width="11.28515625" style="2" customWidth="1"/>
    <col min="768" max="769" width="9.140625" style="2" bestFit="1" customWidth="1"/>
    <col min="770" max="771" width="11.140625" style="2" bestFit="1" customWidth="1"/>
    <col min="772" max="772" width="11.5703125" style="2" bestFit="1" customWidth="1"/>
    <col min="773" max="773" width="9.140625" style="2" bestFit="1" customWidth="1"/>
    <col min="774" max="774" width="10.28515625" style="2" customWidth="1"/>
    <col min="775" max="1013" width="9.140625" style="2" customWidth="1"/>
    <col min="1014" max="1014" width="4.28515625" style="2" bestFit="1" customWidth="1"/>
    <col min="1015" max="1015" width="6.85546875" style="2" bestFit="1" customWidth="1"/>
    <col min="1016" max="1016" width="11" style="2" customWidth="1"/>
    <col min="1017" max="1017" width="11.140625" style="2" bestFit="1" customWidth="1"/>
    <col min="1018" max="1018" width="10.85546875" style="2" customWidth="1"/>
    <col min="1019" max="1019" width="11.5703125" style="2" customWidth="1"/>
    <col min="1020" max="1020" width="11.140625" style="2" bestFit="1" customWidth="1"/>
    <col min="1021" max="1021" width="11" style="2" customWidth="1"/>
    <col min="1022" max="1022" width="10.42578125" style="2" customWidth="1"/>
    <col min="1023" max="1023" width="11.28515625" style="2" customWidth="1"/>
    <col min="1024" max="1025" width="9.140625" style="2" bestFit="1" customWidth="1"/>
    <col min="1026" max="1027" width="11.140625" style="2" bestFit="1" customWidth="1"/>
    <col min="1028" max="1028" width="11.5703125" style="2" bestFit="1" customWidth="1"/>
    <col min="1029" max="1029" width="9.140625" style="2" bestFit="1" customWidth="1"/>
    <col min="1030" max="1030" width="10.28515625" style="2" customWidth="1"/>
    <col min="1031" max="1269" width="9.140625" style="2" customWidth="1"/>
    <col min="1270" max="1270" width="4.28515625" style="2" bestFit="1" customWidth="1"/>
    <col min="1271" max="1271" width="6.85546875" style="2" bestFit="1" customWidth="1"/>
    <col min="1272" max="1272" width="11" style="2" customWidth="1"/>
    <col min="1273" max="1273" width="11.140625" style="2" bestFit="1" customWidth="1"/>
    <col min="1274" max="1274" width="10.85546875" style="2" customWidth="1"/>
    <col min="1275" max="1275" width="11.5703125" style="2" customWidth="1"/>
    <col min="1276" max="1276" width="11.140625" style="2" bestFit="1" customWidth="1"/>
    <col min="1277" max="1277" width="11" style="2" customWidth="1"/>
    <col min="1278" max="1278" width="10.42578125" style="2" customWidth="1"/>
    <col min="1279" max="1279" width="11.28515625" style="2" customWidth="1"/>
    <col min="1280" max="1281" width="9.140625" style="2" bestFit="1" customWidth="1"/>
    <col min="1282" max="1283" width="11.140625" style="2" bestFit="1" customWidth="1"/>
    <col min="1284" max="1284" width="11.5703125" style="2" bestFit="1" customWidth="1"/>
    <col min="1285" max="1285" width="9.140625" style="2" bestFit="1" customWidth="1"/>
    <col min="1286" max="1286" width="10.28515625" style="2" customWidth="1"/>
    <col min="1287" max="1525" width="9.140625" style="2" customWidth="1"/>
    <col min="1526" max="1526" width="4.28515625" style="2" bestFit="1" customWidth="1"/>
    <col min="1527" max="1527" width="6.85546875" style="2" bestFit="1" customWidth="1"/>
    <col min="1528" max="1528" width="11" style="2" customWidth="1"/>
    <col min="1529" max="1529" width="11.140625" style="2" bestFit="1" customWidth="1"/>
    <col min="1530" max="1530" width="10.85546875" style="2" customWidth="1"/>
    <col min="1531" max="1531" width="11.5703125" style="2" customWidth="1"/>
    <col min="1532" max="1532" width="11.140625" style="2" bestFit="1" customWidth="1"/>
    <col min="1533" max="1533" width="11" style="2" customWidth="1"/>
    <col min="1534" max="1534" width="10.42578125" style="2" customWidth="1"/>
    <col min="1535" max="1535" width="11.28515625" style="2" customWidth="1"/>
    <col min="1536" max="1537" width="9.140625" style="2" bestFit="1" customWidth="1"/>
    <col min="1538" max="1539" width="11.140625" style="2" bestFit="1" customWidth="1"/>
    <col min="1540" max="1540" width="11.5703125" style="2" bestFit="1" customWidth="1"/>
    <col min="1541" max="1541" width="9.140625" style="2" bestFit="1" customWidth="1"/>
    <col min="1542" max="1542" width="10.28515625" style="2" customWidth="1"/>
    <col min="1543" max="1781" width="9.140625" style="2" customWidth="1"/>
    <col min="1782" max="1782" width="4.28515625" style="2" bestFit="1" customWidth="1"/>
    <col min="1783" max="1783" width="6.85546875" style="2" bestFit="1" customWidth="1"/>
    <col min="1784" max="1784" width="11" style="2" customWidth="1"/>
    <col min="1785" max="1785" width="11.140625" style="2" bestFit="1" customWidth="1"/>
    <col min="1786" max="1786" width="10.85546875" style="2" customWidth="1"/>
    <col min="1787" max="1787" width="11.5703125" style="2" customWidth="1"/>
    <col min="1788" max="1788" width="11.140625" style="2" bestFit="1" customWidth="1"/>
    <col min="1789" max="1789" width="11" style="2" customWidth="1"/>
    <col min="1790" max="1790" width="10.42578125" style="2" customWidth="1"/>
    <col min="1791" max="1791" width="11.28515625" style="2" customWidth="1"/>
    <col min="1792" max="1793" width="9.140625" style="2" bestFit="1" customWidth="1"/>
    <col min="1794" max="1795" width="11.140625" style="2" bestFit="1" customWidth="1"/>
    <col min="1796" max="1796" width="11.5703125" style="2" bestFit="1" customWidth="1"/>
    <col min="1797" max="1797" width="9.140625" style="2" bestFit="1" customWidth="1"/>
    <col min="1798" max="1798" width="10.28515625" style="2" customWidth="1"/>
    <col min="1799" max="2037" width="9.140625" style="2" customWidth="1"/>
    <col min="2038" max="2038" width="4.28515625" style="2" bestFit="1" customWidth="1"/>
    <col min="2039" max="2039" width="6.85546875" style="2" bestFit="1" customWidth="1"/>
    <col min="2040" max="2040" width="11" style="2" customWidth="1"/>
    <col min="2041" max="2041" width="11.140625" style="2" bestFit="1" customWidth="1"/>
    <col min="2042" max="2042" width="10.85546875" style="2" customWidth="1"/>
    <col min="2043" max="2043" width="11.5703125" style="2" customWidth="1"/>
    <col min="2044" max="2044" width="11.140625" style="2" bestFit="1" customWidth="1"/>
    <col min="2045" max="2045" width="11" style="2" customWidth="1"/>
    <col min="2046" max="2046" width="10.42578125" style="2" customWidth="1"/>
    <col min="2047" max="2047" width="11.28515625" style="2" customWidth="1"/>
    <col min="2048" max="2049" width="9.140625" style="2" bestFit="1" customWidth="1"/>
    <col min="2050" max="2051" width="11.140625" style="2" bestFit="1" customWidth="1"/>
    <col min="2052" max="2052" width="11.5703125" style="2" bestFit="1" customWidth="1"/>
    <col min="2053" max="2053" width="9.140625" style="2" bestFit="1" customWidth="1"/>
    <col min="2054" max="2054" width="10.28515625" style="2" customWidth="1"/>
    <col min="2055" max="2293" width="9.140625" style="2" customWidth="1"/>
    <col min="2294" max="2294" width="4.28515625" style="2" bestFit="1" customWidth="1"/>
    <col min="2295" max="2295" width="6.85546875" style="2" bestFit="1" customWidth="1"/>
    <col min="2296" max="2296" width="11" style="2" customWidth="1"/>
    <col min="2297" max="2297" width="11.140625" style="2" bestFit="1" customWidth="1"/>
    <col min="2298" max="2298" width="10.85546875" style="2" customWidth="1"/>
    <col min="2299" max="2299" width="11.5703125" style="2" customWidth="1"/>
    <col min="2300" max="2300" width="11.140625" style="2" bestFit="1" customWidth="1"/>
    <col min="2301" max="2301" width="11" style="2" customWidth="1"/>
    <col min="2302" max="2302" width="10.42578125" style="2" customWidth="1"/>
    <col min="2303" max="2303" width="11.28515625" style="2" customWidth="1"/>
    <col min="2304" max="2305" width="9.140625" style="2" bestFit="1" customWidth="1"/>
    <col min="2306" max="2307" width="11.140625" style="2" bestFit="1" customWidth="1"/>
    <col min="2308" max="2308" width="11.5703125" style="2" bestFit="1" customWidth="1"/>
    <col min="2309" max="2309" width="9.140625" style="2" bestFit="1" customWidth="1"/>
    <col min="2310" max="2310" width="10.28515625" style="2" customWidth="1"/>
    <col min="2311" max="2549" width="9.140625" style="2" customWidth="1"/>
    <col min="2550" max="2550" width="4.28515625" style="2" bestFit="1" customWidth="1"/>
    <col min="2551" max="2551" width="6.85546875" style="2" bestFit="1" customWidth="1"/>
    <col min="2552" max="2552" width="11" style="2" customWidth="1"/>
    <col min="2553" max="2553" width="11.140625" style="2" bestFit="1" customWidth="1"/>
    <col min="2554" max="2554" width="10.85546875" style="2" customWidth="1"/>
    <col min="2555" max="2555" width="11.5703125" style="2" customWidth="1"/>
    <col min="2556" max="2556" width="11.140625" style="2" bestFit="1" customWidth="1"/>
    <col min="2557" max="2557" width="11" style="2" customWidth="1"/>
    <col min="2558" max="2558" width="10.42578125" style="2" customWidth="1"/>
    <col min="2559" max="2559" width="11.28515625" style="2" customWidth="1"/>
    <col min="2560" max="2561" width="9.140625" style="2" bestFit="1" customWidth="1"/>
    <col min="2562" max="2563" width="11.140625" style="2" bestFit="1" customWidth="1"/>
    <col min="2564" max="2564" width="11.5703125" style="2" bestFit="1" customWidth="1"/>
    <col min="2565" max="2565" width="9.140625" style="2" bestFit="1" customWidth="1"/>
    <col min="2566" max="2566" width="10.28515625" style="2" customWidth="1"/>
    <col min="2567" max="2805" width="9.140625" style="2" customWidth="1"/>
    <col min="2806" max="2806" width="4.28515625" style="2" bestFit="1" customWidth="1"/>
    <col min="2807" max="2807" width="6.85546875" style="2" bestFit="1" customWidth="1"/>
    <col min="2808" max="2808" width="11" style="2" customWidth="1"/>
    <col min="2809" max="2809" width="11.140625" style="2" bestFit="1" customWidth="1"/>
    <col min="2810" max="2810" width="10.85546875" style="2" customWidth="1"/>
    <col min="2811" max="2811" width="11.5703125" style="2" customWidth="1"/>
    <col min="2812" max="2812" width="11.140625" style="2" bestFit="1" customWidth="1"/>
    <col min="2813" max="2813" width="11" style="2" customWidth="1"/>
    <col min="2814" max="2814" width="10.42578125" style="2" customWidth="1"/>
    <col min="2815" max="2815" width="11.28515625" style="2" customWidth="1"/>
    <col min="2816" max="2817" width="9.140625" style="2" bestFit="1" customWidth="1"/>
    <col min="2818" max="2819" width="11.140625" style="2" bestFit="1" customWidth="1"/>
    <col min="2820" max="2820" width="11.5703125" style="2" bestFit="1" customWidth="1"/>
    <col min="2821" max="2821" width="9.140625" style="2" bestFit="1" customWidth="1"/>
    <col min="2822" max="2822" width="10.28515625" style="2" customWidth="1"/>
    <col min="2823" max="3061" width="9.140625" style="2" customWidth="1"/>
    <col min="3062" max="3062" width="4.28515625" style="2" bestFit="1" customWidth="1"/>
    <col min="3063" max="3063" width="6.85546875" style="2" bestFit="1" customWidth="1"/>
    <col min="3064" max="3064" width="11" style="2" customWidth="1"/>
    <col min="3065" max="3065" width="11.140625" style="2" bestFit="1" customWidth="1"/>
    <col min="3066" max="3066" width="10.85546875" style="2" customWidth="1"/>
    <col min="3067" max="3067" width="11.5703125" style="2" customWidth="1"/>
    <col min="3068" max="3068" width="11.140625" style="2" bestFit="1" customWidth="1"/>
    <col min="3069" max="3069" width="11" style="2" customWidth="1"/>
    <col min="3070" max="3070" width="10.42578125" style="2" customWidth="1"/>
    <col min="3071" max="3071" width="11.28515625" style="2" customWidth="1"/>
    <col min="3072" max="3073" width="9.140625" style="2" bestFit="1" customWidth="1"/>
    <col min="3074" max="3075" width="11.140625" style="2" bestFit="1" customWidth="1"/>
    <col min="3076" max="3076" width="11.5703125" style="2" bestFit="1" customWidth="1"/>
    <col min="3077" max="3077" width="9.140625" style="2" bestFit="1" customWidth="1"/>
    <col min="3078" max="3078" width="10.28515625" style="2" customWidth="1"/>
    <col min="3079" max="3317" width="9.140625" style="2" customWidth="1"/>
    <col min="3318" max="3318" width="4.28515625" style="2" bestFit="1" customWidth="1"/>
    <col min="3319" max="3319" width="6.85546875" style="2" bestFit="1" customWidth="1"/>
    <col min="3320" max="3320" width="11" style="2" customWidth="1"/>
    <col min="3321" max="3321" width="11.140625" style="2" bestFit="1" customWidth="1"/>
    <col min="3322" max="3322" width="10.85546875" style="2" customWidth="1"/>
    <col min="3323" max="3323" width="11.5703125" style="2" customWidth="1"/>
    <col min="3324" max="3324" width="11.140625" style="2" bestFit="1" customWidth="1"/>
    <col min="3325" max="3325" width="11" style="2" customWidth="1"/>
    <col min="3326" max="3326" width="10.42578125" style="2" customWidth="1"/>
    <col min="3327" max="3327" width="11.28515625" style="2" customWidth="1"/>
    <col min="3328" max="3329" width="9.140625" style="2" bestFit="1" customWidth="1"/>
    <col min="3330" max="3331" width="11.140625" style="2" bestFit="1" customWidth="1"/>
    <col min="3332" max="3332" width="11.5703125" style="2" bestFit="1" customWidth="1"/>
    <col min="3333" max="3333" width="9.140625" style="2" bestFit="1" customWidth="1"/>
    <col min="3334" max="3334" width="10.28515625" style="2" customWidth="1"/>
    <col min="3335" max="3573" width="9.140625" style="2" customWidth="1"/>
    <col min="3574" max="3574" width="4.28515625" style="2" bestFit="1" customWidth="1"/>
    <col min="3575" max="3575" width="6.85546875" style="2" bestFit="1" customWidth="1"/>
    <col min="3576" max="3576" width="11" style="2" customWidth="1"/>
    <col min="3577" max="3577" width="11.140625" style="2" bestFit="1" customWidth="1"/>
    <col min="3578" max="3578" width="10.85546875" style="2" customWidth="1"/>
    <col min="3579" max="3579" width="11.5703125" style="2" customWidth="1"/>
    <col min="3580" max="3580" width="11.140625" style="2" bestFit="1" customWidth="1"/>
    <col min="3581" max="3581" width="11" style="2" customWidth="1"/>
    <col min="3582" max="3582" width="10.42578125" style="2" customWidth="1"/>
    <col min="3583" max="3583" width="11.28515625" style="2" customWidth="1"/>
    <col min="3584" max="3585" width="9.140625" style="2" bestFit="1" customWidth="1"/>
    <col min="3586" max="3587" width="11.140625" style="2" bestFit="1" customWidth="1"/>
    <col min="3588" max="3588" width="11.5703125" style="2" bestFit="1" customWidth="1"/>
    <col min="3589" max="3589" width="9.140625" style="2" bestFit="1" customWidth="1"/>
    <col min="3590" max="3590" width="10.28515625" style="2" customWidth="1"/>
    <col min="3591" max="3829" width="9.140625" style="2" customWidth="1"/>
    <col min="3830" max="3830" width="4.28515625" style="2" bestFit="1" customWidth="1"/>
    <col min="3831" max="3831" width="6.85546875" style="2" bestFit="1" customWidth="1"/>
    <col min="3832" max="3832" width="11" style="2" customWidth="1"/>
    <col min="3833" max="3833" width="11.140625" style="2" bestFit="1" customWidth="1"/>
    <col min="3834" max="3834" width="10.85546875" style="2" customWidth="1"/>
    <col min="3835" max="3835" width="11.5703125" style="2" customWidth="1"/>
    <col min="3836" max="3836" width="11.140625" style="2" bestFit="1" customWidth="1"/>
    <col min="3837" max="3837" width="11" style="2" customWidth="1"/>
    <col min="3838" max="3838" width="10.42578125" style="2" customWidth="1"/>
    <col min="3839" max="3839" width="11.28515625" style="2" customWidth="1"/>
    <col min="3840" max="3841" width="9.140625" style="2" bestFit="1" customWidth="1"/>
    <col min="3842" max="3843" width="11.140625" style="2" bestFit="1" customWidth="1"/>
    <col min="3844" max="3844" width="11.5703125" style="2" bestFit="1" customWidth="1"/>
    <col min="3845" max="3845" width="9.140625" style="2" bestFit="1" customWidth="1"/>
    <col min="3846" max="3846" width="10.28515625" style="2" customWidth="1"/>
    <col min="3847" max="4085" width="9.140625" style="2" customWidth="1"/>
    <col min="4086" max="4086" width="4.28515625" style="2" bestFit="1" customWidth="1"/>
    <col min="4087" max="4087" width="6.85546875" style="2" bestFit="1" customWidth="1"/>
    <col min="4088" max="4088" width="11" style="2" customWidth="1"/>
    <col min="4089" max="4089" width="11.140625" style="2" bestFit="1" customWidth="1"/>
    <col min="4090" max="4090" width="10.85546875" style="2" customWidth="1"/>
    <col min="4091" max="4091" width="11.5703125" style="2" customWidth="1"/>
    <col min="4092" max="4092" width="11.140625" style="2" bestFit="1" customWidth="1"/>
    <col min="4093" max="4093" width="11" style="2" customWidth="1"/>
    <col min="4094" max="4094" width="10.42578125" style="2" customWidth="1"/>
    <col min="4095" max="4095" width="11.28515625" style="2" customWidth="1"/>
    <col min="4096" max="4097" width="9.140625" style="2" bestFit="1" customWidth="1"/>
    <col min="4098" max="4099" width="11.140625" style="2" bestFit="1" customWidth="1"/>
    <col min="4100" max="4100" width="11.5703125" style="2" bestFit="1" customWidth="1"/>
    <col min="4101" max="4101" width="9.140625" style="2" bestFit="1" customWidth="1"/>
    <col min="4102" max="4102" width="10.28515625" style="2" customWidth="1"/>
    <col min="4103" max="4341" width="9.140625" style="2" customWidth="1"/>
    <col min="4342" max="4342" width="4.28515625" style="2" bestFit="1" customWidth="1"/>
    <col min="4343" max="4343" width="6.85546875" style="2" bestFit="1" customWidth="1"/>
    <col min="4344" max="4344" width="11" style="2" customWidth="1"/>
    <col min="4345" max="4345" width="11.140625" style="2" bestFit="1" customWidth="1"/>
    <col min="4346" max="4346" width="10.85546875" style="2" customWidth="1"/>
    <col min="4347" max="4347" width="11.5703125" style="2" customWidth="1"/>
    <col min="4348" max="4348" width="11.140625" style="2" bestFit="1" customWidth="1"/>
    <col min="4349" max="4349" width="11" style="2" customWidth="1"/>
    <col min="4350" max="4350" width="10.42578125" style="2" customWidth="1"/>
    <col min="4351" max="4351" width="11.28515625" style="2" customWidth="1"/>
    <col min="4352" max="4353" width="9.140625" style="2" bestFit="1" customWidth="1"/>
    <col min="4354" max="4355" width="11.140625" style="2" bestFit="1" customWidth="1"/>
    <col min="4356" max="4356" width="11.5703125" style="2" bestFit="1" customWidth="1"/>
    <col min="4357" max="4357" width="9.140625" style="2" bestFit="1" customWidth="1"/>
    <col min="4358" max="4358" width="10.28515625" style="2" customWidth="1"/>
    <col min="4359" max="4597" width="9.140625" style="2" customWidth="1"/>
    <col min="4598" max="4598" width="4.28515625" style="2" bestFit="1" customWidth="1"/>
    <col min="4599" max="4599" width="6.85546875" style="2" bestFit="1" customWidth="1"/>
    <col min="4600" max="4600" width="11" style="2" customWidth="1"/>
    <col min="4601" max="4601" width="11.140625" style="2" bestFit="1" customWidth="1"/>
    <col min="4602" max="4602" width="10.85546875" style="2" customWidth="1"/>
    <col min="4603" max="4603" width="11.5703125" style="2" customWidth="1"/>
    <col min="4604" max="4604" width="11.140625" style="2" bestFit="1" customWidth="1"/>
    <col min="4605" max="4605" width="11" style="2" customWidth="1"/>
    <col min="4606" max="4606" width="10.42578125" style="2" customWidth="1"/>
    <col min="4607" max="4607" width="11.28515625" style="2" customWidth="1"/>
    <col min="4608" max="4609" width="9.140625" style="2" bestFit="1" customWidth="1"/>
    <col min="4610" max="4611" width="11.140625" style="2" bestFit="1" customWidth="1"/>
    <col min="4612" max="4612" width="11.5703125" style="2" bestFit="1" customWidth="1"/>
    <col min="4613" max="4613" width="9.140625" style="2" bestFit="1" customWidth="1"/>
    <col min="4614" max="4614" width="10.28515625" style="2" customWidth="1"/>
    <col min="4615" max="4853" width="9.140625" style="2" customWidth="1"/>
    <col min="4854" max="4854" width="4.28515625" style="2" bestFit="1" customWidth="1"/>
    <col min="4855" max="4855" width="6.85546875" style="2" bestFit="1" customWidth="1"/>
    <col min="4856" max="4856" width="11" style="2" customWidth="1"/>
    <col min="4857" max="4857" width="11.140625" style="2" bestFit="1" customWidth="1"/>
    <col min="4858" max="4858" width="10.85546875" style="2" customWidth="1"/>
    <col min="4859" max="4859" width="11.5703125" style="2" customWidth="1"/>
    <col min="4860" max="4860" width="11.140625" style="2" bestFit="1" customWidth="1"/>
    <col min="4861" max="4861" width="11" style="2" customWidth="1"/>
    <col min="4862" max="4862" width="10.42578125" style="2" customWidth="1"/>
    <col min="4863" max="4863" width="11.28515625" style="2" customWidth="1"/>
    <col min="4864" max="4865" width="9.140625" style="2" bestFit="1" customWidth="1"/>
    <col min="4866" max="4867" width="11.140625" style="2" bestFit="1" customWidth="1"/>
    <col min="4868" max="4868" width="11.5703125" style="2" bestFit="1" customWidth="1"/>
    <col min="4869" max="4869" width="9.140625" style="2" bestFit="1" customWidth="1"/>
    <col min="4870" max="4870" width="10.28515625" style="2" customWidth="1"/>
    <col min="4871" max="5109" width="9.140625" style="2" customWidth="1"/>
    <col min="5110" max="5110" width="4.28515625" style="2" bestFit="1" customWidth="1"/>
    <col min="5111" max="5111" width="6.85546875" style="2" bestFit="1" customWidth="1"/>
    <col min="5112" max="5112" width="11" style="2" customWidth="1"/>
    <col min="5113" max="5113" width="11.140625" style="2" bestFit="1" customWidth="1"/>
    <col min="5114" max="5114" width="10.85546875" style="2" customWidth="1"/>
    <col min="5115" max="5115" width="11.5703125" style="2" customWidth="1"/>
    <col min="5116" max="5116" width="11.140625" style="2" bestFit="1" customWidth="1"/>
    <col min="5117" max="5117" width="11" style="2" customWidth="1"/>
    <col min="5118" max="5118" width="10.42578125" style="2" customWidth="1"/>
    <col min="5119" max="5119" width="11.28515625" style="2" customWidth="1"/>
    <col min="5120" max="5121" width="9.140625" style="2" bestFit="1" customWidth="1"/>
    <col min="5122" max="5123" width="11.140625" style="2" bestFit="1" customWidth="1"/>
    <col min="5124" max="5124" width="11.5703125" style="2" bestFit="1" customWidth="1"/>
    <col min="5125" max="5125" width="9.140625" style="2" bestFit="1" customWidth="1"/>
    <col min="5126" max="5126" width="10.28515625" style="2" customWidth="1"/>
    <col min="5127" max="5365" width="9.140625" style="2" customWidth="1"/>
    <col min="5366" max="5366" width="4.28515625" style="2" bestFit="1" customWidth="1"/>
    <col min="5367" max="5367" width="6.85546875" style="2" bestFit="1" customWidth="1"/>
    <col min="5368" max="5368" width="11" style="2" customWidth="1"/>
    <col min="5369" max="5369" width="11.140625" style="2" bestFit="1" customWidth="1"/>
    <col min="5370" max="5370" width="10.85546875" style="2" customWidth="1"/>
    <col min="5371" max="5371" width="11.5703125" style="2" customWidth="1"/>
    <col min="5372" max="5372" width="11.140625" style="2" bestFit="1" customWidth="1"/>
    <col min="5373" max="5373" width="11" style="2" customWidth="1"/>
    <col min="5374" max="5374" width="10.42578125" style="2" customWidth="1"/>
    <col min="5375" max="5375" width="11.28515625" style="2" customWidth="1"/>
    <col min="5376" max="5377" width="9.140625" style="2" bestFit="1" customWidth="1"/>
    <col min="5378" max="5379" width="11.140625" style="2" bestFit="1" customWidth="1"/>
    <col min="5380" max="5380" width="11.5703125" style="2" bestFit="1" customWidth="1"/>
    <col min="5381" max="5381" width="9.140625" style="2" bestFit="1" customWidth="1"/>
    <col min="5382" max="5382" width="10.28515625" style="2" customWidth="1"/>
    <col min="5383" max="5621" width="9.140625" style="2" customWidth="1"/>
    <col min="5622" max="5622" width="4.28515625" style="2" bestFit="1" customWidth="1"/>
    <col min="5623" max="5623" width="6.85546875" style="2" bestFit="1" customWidth="1"/>
    <col min="5624" max="5624" width="11" style="2" customWidth="1"/>
    <col min="5625" max="5625" width="11.140625" style="2" bestFit="1" customWidth="1"/>
    <col min="5626" max="5626" width="10.85546875" style="2" customWidth="1"/>
    <col min="5627" max="5627" width="11.5703125" style="2" customWidth="1"/>
    <col min="5628" max="5628" width="11.140625" style="2" bestFit="1" customWidth="1"/>
    <col min="5629" max="5629" width="11" style="2" customWidth="1"/>
    <col min="5630" max="5630" width="10.42578125" style="2" customWidth="1"/>
    <col min="5631" max="5631" width="11.28515625" style="2" customWidth="1"/>
    <col min="5632" max="5633" width="9.140625" style="2" bestFit="1" customWidth="1"/>
    <col min="5634" max="5635" width="11.140625" style="2" bestFit="1" customWidth="1"/>
    <col min="5636" max="5636" width="11.5703125" style="2" bestFit="1" customWidth="1"/>
    <col min="5637" max="5637" width="9.140625" style="2" bestFit="1" customWidth="1"/>
    <col min="5638" max="5638" width="10.28515625" style="2" customWidth="1"/>
    <col min="5639" max="5877" width="9.140625" style="2" customWidth="1"/>
    <col min="5878" max="5878" width="4.28515625" style="2" bestFit="1" customWidth="1"/>
    <col min="5879" max="5879" width="6.85546875" style="2" bestFit="1" customWidth="1"/>
    <col min="5880" max="5880" width="11" style="2" customWidth="1"/>
    <col min="5881" max="5881" width="11.140625" style="2" bestFit="1" customWidth="1"/>
    <col min="5882" max="5882" width="10.85546875" style="2" customWidth="1"/>
    <col min="5883" max="5883" width="11.5703125" style="2" customWidth="1"/>
    <col min="5884" max="5884" width="11.140625" style="2" bestFit="1" customWidth="1"/>
    <col min="5885" max="5885" width="11" style="2" customWidth="1"/>
    <col min="5886" max="5886" width="10.42578125" style="2" customWidth="1"/>
    <col min="5887" max="5887" width="11.28515625" style="2" customWidth="1"/>
    <col min="5888" max="5889" width="9.140625" style="2" bestFit="1" customWidth="1"/>
    <col min="5890" max="5891" width="11.140625" style="2" bestFit="1" customWidth="1"/>
    <col min="5892" max="5892" width="11.5703125" style="2" bestFit="1" customWidth="1"/>
    <col min="5893" max="5893" width="9.140625" style="2" bestFit="1" customWidth="1"/>
    <col min="5894" max="5894" width="10.28515625" style="2" customWidth="1"/>
    <col min="5895" max="6133" width="9.140625" style="2" customWidth="1"/>
    <col min="6134" max="6134" width="4.28515625" style="2" bestFit="1" customWidth="1"/>
    <col min="6135" max="6135" width="6.85546875" style="2" bestFit="1" customWidth="1"/>
    <col min="6136" max="6136" width="11" style="2" customWidth="1"/>
    <col min="6137" max="6137" width="11.140625" style="2" bestFit="1" customWidth="1"/>
    <col min="6138" max="6138" width="10.85546875" style="2" customWidth="1"/>
    <col min="6139" max="6139" width="11.5703125" style="2" customWidth="1"/>
    <col min="6140" max="6140" width="11.140625" style="2" bestFit="1" customWidth="1"/>
    <col min="6141" max="6141" width="11" style="2" customWidth="1"/>
    <col min="6142" max="6142" width="10.42578125" style="2" customWidth="1"/>
    <col min="6143" max="6143" width="11.28515625" style="2" customWidth="1"/>
    <col min="6144" max="6145" width="9.140625" style="2" bestFit="1" customWidth="1"/>
    <col min="6146" max="6147" width="11.140625" style="2" bestFit="1" customWidth="1"/>
    <col min="6148" max="6148" width="11.5703125" style="2" bestFit="1" customWidth="1"/>
    <col min="6149" max="6149" width="9.140625" style="2" bestFit="1" customWidth="1"/>
    <col min="6150" max="6150" width="10.28515625" style="2" customWidth="1"/>
    <col min="6151" max="6389" width="9.140625" style="2" customWidth="1"/>
    <col min="6390" max="6390" width="4.28515625" style="2" bestFit="1" customWidth="1"/>
    <col min="6391" max="6391" width="6.85546875" style="2" bestFit="1" customWidth="1"/>
    <col min="6392" max="6392" width="11" style="2" customWidth="1"/>
    <col min="6393" max="6393" width="11.140625" style="2" bestFit="1" customWidth="1"/>
    <col min="6394" max="6394" width="10.85546875" style="2" customWidth="1"/>
    <col min="6395" max="6395" width="11.5703125" style="2" customWidth="1"/>
    <col min="6396" max="6396" width="11.140625" style="2" bestFit="1" customWidth="1"/>
    <col min="6397" max="6397" width="11" style="2" customWidth="1"/>
    <col min="6398" max="6398" width="10.42578125" style="2" customWidth="1"/>
    <col min="6399" max="6399" width="11.28515625" style="2" customWidth="1"/>
    <col min="6400" max="6401" width="9.140625" style="2" bestFit="1" customWidth="1"/>
    <col min="6402" max="6403" width="11.140625" style="2" bestFit="1" customWidth="1"/>
    <col min="6404" max="6404" width="11.5703125" style="2" bestFit="1" customWidth="1"/>
    <col min="6405" max="6405" width="9.140625" style="2" bestFit="1" customWidth="1"/>
    <col min="6406" max="6406" width="10.28515625" style="2" customWidth="1"/>
    <col min="6407" max="6645" width="9.140625" style="2" customWidth="1"/>
    <col min="6646" max="6646" width="4.28515625" style="2" bestFit="1" customWidth="1"/>
    <col min="6647" max="6647" width="6.85546875" style="2" bestFit="1" customWidth="1"/>
    <col min="6648" max="6648" width="11" style="2" customWidth="1"/>
    <col min="6649" max="6649" width="11.140625" style="2" bestFit="1" customWidth="1"/>
    <col min="6650" max="6650" width="10.85546875" style="2" customWidth="1"/>
    <col min="6651" max="6651" width="11.5703125" style="2" customWidth="1"/>
    <col min="6652" max="6652" width="11.140625" style="2" bestFit="1" customWidth="1"/>
    <col min="6653" max="6653" width="11" style="2" customWidth="1"/>
    <col min="6654" max="6654" width="10.42578125" style="2" customWidth="1"/>
    <col min="6655" max="6655" width="11.28515625" style="2" customWidth="1"/>
    <col min="6656" max="6657" width="9.140625" style="2" bestFit="1" customWidth="1"/>
    <col min="6658" max="6659" width="11.140625" style="2" bestFit="1" customWidth="1"/>
    <col min="6660" max="6660" width="11.5703125" style="2" bestFit="1" customWidth="1"/>
    <col min="6661" max="6661" width="9.140625" style="2" bestFit="1" customWidth="1"/>
    <col min="6662" max="6662" width="10.28515625" style="2" customWidth="1"/>
    <col min="6663" max="6901" width="9.140625" style="2" customWidth="1"/>
    <col min="6902" max="6902" width="4.28515625" style="2" bestFit="1" customWidth="1"/>
    <col min="6903" max="6903" width="6.85546875" style="2" bestFit="1" customWidth="1"/>
    <col min="6904" max="6904" width="11" style="2" customWidth="1"/>
    <col min="6905" max="6905" width="11.140625" style="2" bestFit="1" customWidth="1"/>
    <col min="6906" max="6906" width="10.85546875" style="2" customWidth="1"/>
    <col min="6907" max="6907" width="11.5703125" style="2" customWidth="1"/>
    <col min="6908" max="6908" width="11.140625" style="2" bestFit="1" customWidth="1"/>
    <col min="6909" max="6909" width="11" style="2" customWidth="1"/>
    <col min="6910" max="6910" width="10.42578125" style="2" customWidth="1"/>
    <col min="6911" max="6911" width="11.28515625" style="2" customWidth="1"/>
    <col min="6912" max="6913" width="9.140625" style="2" bestFit="1" customWidth="1"/>
    <col min="6914" max="6915" width="11.140625" style="2" bestFit="1" customWidth="1"/>
    <col min="6916" max="6916" width="11.5703125" style="2" bestFit="1" customWidth="1"/>
    <col min="6917" max="6917" width="9.140625" style="2" bestFit="1" customWidth="1"/>
    <col min="6918" max="6918" width="10.28515625" style="2" customWidth="1"/>
    <col min="6919" max="7157" width="9.140625" style="2" customWidth="1"/>
    <col min="7158" max="7158" width="4.28515625" style="2" bestFit="1" customWidth="1"/>
    <col min="7159" max="7159" width="6.85546875" style="2" bestFit="1" customWidth="1"/>
    <col min="7160" max="7160" width="11" style="2" customWidth="1"/>
    <col min="7161" max="7161" width="11.140625" style="2" bestFit="1" customWidth="1"/>
    <col min="7162" max="7162" width="10.85546875" style="2" customWidth="1"/>
    <col min="7163" max="7163" width="11.5703125" style="2" customWidth="1"/>
    <col min="7164" max="7164" width="11.140625" style="2" bestFit="1" customWidth="1"/>
    <col min="7165" max="7165" width="11" style="2" customWidth="1"/>
    <col min="7166" max="7166" width="10.42578125" style="2" customWidth="1"/>
    <col min="7167" max="7167" width="11.28515625" style="2" customWidth="1"/>
    <col min="7168" max="7169" width="9.140625" style="2" bestFit="1" customWidth="1"/>
    <col min="7170" max="7171" width="11.140625" style="2" bestFit="1" customWidth="1"/>
    <col min="7172" max="7172" width="11.5703125" style="2" bestFit="1" customWidth="1"/>
    <col min="7173" max="7173" width="9.140625" style="2" bestFit="1" customWidth="1"/>
    <col min="7174" max="7174" width="10.28515625" style="2" customWidth="1"/>
    <col min="7175" max="7413" width="9.140625" style="2" customWidth="1"/>
    <col min="7414" max="7414" width="4.28515625" style="2" bestFit="1" customWidth="1"/>
    <col min="7415" max="7415" width="6.85546875" style="2" bestFit="1" customWidth="1"/>
    <col min="7416" max="7416" width="11" style="2" customWidth="1"/>
    <col min="7417" max="7417" width="11.140625" style="2" bestFit="1" customWidth="1"/>
    <col min="7418" max="7418" width="10.85546875" style="2" customWidth="1"/>
    <col min="7419" max="7419" width="11.5703125" style="2" customWidth="1"/>
    <col min="7420" max="7420" width="11.140625" style="2" bestFit="1" customWidth="1"/>
    <col min="7421" max="7421" width="11" style="2" customWidth="1"/>
    <col min="7422" max="7422" width="10.42578125" style="2" customWidth="1"/>
    <col min="7423" max="7423" width="11.28515625" style="2" customWidth="1"/>
    <col min="7424" max="7425" width="9.140625" style="2" bestFit="1" customWidth="1"/>
    <col min="7426" max="7427" width="11.140625" style="2" bestFit="1" customWidth="1"/>
    <col min="7428" max="7428" width="11.5703125" style="2" bestFit="1" customWidth="1"/>
    <col min="7429" max="7429" width="9.140625" style="2" bestFit="1" customWidth="1"/>
    <col min="7430" max="7430" width="10.28515625" style="2" customWidth="1"/>
    <col min="7431" max="7669" width="9.140625" style="2" customWidth="1"/>
    <col min="7670" max="7670" width="4.28515625" style="2" bestFit="1" customWidth="1"/>
    <col min="7671" max="7671" width="6.85546875" style="2" bestFit="1" customWidth="1"/>
    <col min="7672" max="7672" width="11" style="2" customWidth="1"/>
    <col min="7673" max="7673" width="11.140625" style="2" bestFit="1" customWidth="1"/>
    <col min="7674" max="7674" width="10.85546875" style="2" customWidth="1"/>
    <col min="7675" max="7675" width="11.5703125" style="2" customWidth="1"/>
    <col min="7676" max="7676" width="11.140625" style="2" bestFit="1" customWidth="1"/>
    <col min="7677" max="7677" width="11" style="2" customWidth="1"/>
    <col min="7678" max="7678" width="10.42578125" style="2" customWidth="1"/>
    <col min="7679" max="7679" width="11.28515625" style="2" customWidth="1"/>
    <col min="7680" max="7681" width="9.140625" style="2" bestFit="1" customWidth="1"/>
    <col min="7682" max="7683" width="11.140625" style="2" bestFit="1" customWidth="1"/>
    <col min="7684" max="7684" width="11.5703125" style="2" bestFit="1" customWidth="1"/>
    <col min="7685" max="7685" width="9.140625" style="2" bestFit="1" customWidth="1"/>
    <col min="7686" max="7686" width="10.28515625" style="2" customWidth="1"/>
    <col min="7687" max="7925" width="9.140625" style="2" customWidth="1"/>
    <col min="7926" max="7926" width="4.28515625" style="2" bestFit="1" customWidth="1"/>
    <col min="7927" max="7927" width="6.85546875" style="2" bestFit="1" customWidth="1"/>
    <col min="7928" max="7928" width="11" style="2" customWidth="1"/>
    <col min="7929" max="7929" width="11.140625" style="2" bestFit="1" customWidth="1"/>
    <col min="7930" max="7930" width="10.85546875" style="2" customWidth="1"/>
    <col min="7931" max="7931" width="11.5703125" style="2" customWidth="1"/>
    <col min="7932" max="7932" width="11.140625" style="2" bestFit="1" customWidth="1"/>
    <col min="7933" max="7933" width="11" style="2" customWidth="1"/>
    <col min="7934" max="7934" width="10.42578125" style="2" customWidth="1"/>
    <col min="7935" max="7935" width="11.28515625" style="2" customWidth="1"/>
    <col min="7936" max="7937" width="9.140625" style="2" bestFit="1" customWidth="1"/>
    <col min="7938" max="7939" width="11.140625" style="2" bestFit="1" customWidth="1"/>
    <col min="7940" max="7940" width="11.5703125" style="2" bestFit="1" customWidth="1"/>
    <col min="7941" max="7941" width="9.140625" style="2" bestFit="1" customWidth="1"/>
    <col min="7942" max="7942" width="10.28515625" style="2" customWidth="1"/>
    <col min="7943" max="8181" width="9.140625" style="2" customWidth="1"/>
    <col min="8182" max="8182" width="4.28515625" style="2" bestFit="1" customWidth="1"/>
    <col min="8183" max="8183" width="6.85546875" style="2" bestFit="1" customWidth="1"/>
    <col min="8184" max="8184" width="11" style="2" customWidth="1"/>
    <col min="8185" max="8185" width="11.140625" style="2" bestFit="1" customWidth="1"/>
    <col min="8186" max="8186" width="10.85546875" style="2" customWidth="1"/>
    <col min="8187" max="8187" width="11.5703125" style="2" customWidth="1"/>
    <col min="8188" max="8188" width="11.140625" style="2" bestFit="1" customWidth="1"/>
    <col min="8189" max="8189" width="11" style="2" customWidth="1"/>
    <col min="8190" max="8190" width="10.42578125" style="2" customWidth="1"/>
    <col min="8191" max="8191" width="11.28515625" style="2" customWidth="1"/>
    <col min="8192" max="8193" width="9.140625" style="2" bestFit="1" customWidth="1"/>
    <col min="8194" max="8195" width="11.140625" style="2" bestFit="1" customWidth="1"/>
    <col min="8196" max="8196" width="11.5703125" style="2" bestFit="1" customWidth="1"/>
    <col min="8197" max="8197" width="9.140625" style="2" bestFit="1" customWidth="1"/>
    <col min="8198" max="8198" width="10.28515625" style="2" customWidth="1"/>
    <col min="8199" max="8437" width="9.140625" style="2" customWidth="1"/>
    <col min="8438" max="8438" width="4.28515625" style="2" bestFit="1" customWidth="1"/>
    <col min="8439" max="8439" width="6.85546875" style="2" bestFit="1" customWidth="1"/>
    <col min="8440" max="8440" width="11" style="2" customWidth="1"/>
    <col min="8441" max="8441" width="11.140625" style="2" bestFit="1" customWidth="1"/>
    <col min="8442" max="8442" width="10.85546875" style="2" customWidth="1"/>
    <col min="8443" max="8443" width="11.5703125" style="2" customWidth="1"/>
    <col min="8444" max="8444" width="11.140625" style="2" bestFit="1" customWidth="1"/>
    <col min="8445" max="8445" width="11" style="2" customWidth="1"/>
    <col min="8446" max="8446" width="10.42578125" style="2" customWidth="1"/>
    <col min="8447" max="8447" width="11.28515625" style="2" customWidth="1"/>
    <col min="8448" max="8449" width="9.140625" style="2" bestFit="1" customWidth="1"/>
    <col min="8450" max="8451" width="11.140625" style="2" bestFit="1" customWidth="1"/>
    <col min="8452" max="8452" width="11.5703125" style="2" bestFit="1" customWidth="1"/>
    <col min="8453" max="8453" width="9.140625" style="2" bestFit="1" customWidth="1"/>
    <col min="8454" max="8454" width="10.28515625" style="2" customWidth="1"/>
    <col min="8455" max="8693" width="9.140625" style="2" customWidth="1"/>
    <col min="8694" max="8694" width="4.28515625" style="2" bestFit="1" customWidth="1"/>
    <col min="8695" max="8695" width="6.85546875" style="2" bestFit="1" customWidth="1"/>
    <col min="8696" max="8696" width="11" style="2" customWidth="1"/>
    <col min="8697" max="8697" width="11.140625" style="2" bestFit="1" customWidth="1"/>
    <col min="8698" max="8698" width="10.85546875" style="2" customWidth="1"/>
    <col min="8699" max="8699" width="11.5703125" style="2" customWidth="1"/>
    <col min="8700" max="8700" width="11.140625" style="2" bestFit="1" customWidth="1"/>
    <col min="8701" max="8701" width="11" style="2" customWidth="1"/>
    <col min="8702" max="8702" width="10.42578125" style="2" customWidth="1"/>
    <col min="8703" max="8703" width="11.28515625" style="2" customWidth="1"/>
    <col min="8704" max="8705" width="9.140625" style="2" bestFit="1" customWidth="1"/>
    <col min="8706" max="8707" width="11.140625" style="2" bestFit="1" customWidth="1"/>
    <col min="8708" max="8708" width="11.5703125" style="2" bestFit="1" customWidth="1"/>
    <col min="8709" max="8709" width="9.140625" style="2" bestFit="1" customWidth="1"/>
    <col min="8710" max="8710" width="10.28515625" style="2" customWidth="1"/>
    <col min="8711" max="8949" width="9.140625" style="2" customWidth="1"/>
    <col min="8950" max="8950" width="4.28515625" style="2" bestFit="1" customWidth="1"/>
    <col min="8951" max="8951" width="6.85546875" style="2" bestFit="1" customWidth="1"/>
    <col min="8952" max="8952" width="11" style="2" customWidth="1"/>
    <col min="8953" max="8953" width="11.140625" style="2" bestFit="1" customWidth="1"/>
    <col min="8954" max="8954" width="10.85546875" style="2" customWidth="1"/>
    <col min="8955" max="8955" width="11.5703125" style="2" customWidth="1"/>
    <col min="8956" max="8956" width="11.140625" style="2" bestFit="1" customWidth="1"/>
    <col min="8957" max="8957" width="11" style="2" customWidth="1"/>
    <col min="8958" max="8958" width="10.42578125" style="2" customWidth="1"/>
    <col min="8959" max="8959" width="11.28515625" style="2" customWidth="1"/>
    <col min="8960" max="8961" width="9.140625" style="2" bestFit="1" customWidth="1"/>
    <col min="8962" max="8963" width="11.140625" style="2" bestFit="1" customWidth="1"/>
    <col min="8964" max="8964" width="11.5703125" style="2" bestFit="1" customWidth="1"/>
    <col min="8965" max="8965" width="9.140625" style="2" bestFit="1" customWidth="1"/>
    <col min="8966" max="8966" width="10.28515625" style="2" customWidth="1"/>
    <col min="8967" max="9205" width="9.140625" style="2" customWidth="1"/>
    <col min="9206" max="9206" width="4.28515625" style="2" bestFit="1" customWidth="1"/>
    <col min="9207" max="9207" width="6.85546875" style="2" bestFit="1" customWidth="1"/>
    <col min="9208" max="9208" width="11" style="2" customWidth="1"/>
    <col min="9209" max="9209" width="11.140625" style="2" bestFit="1" customWidth="1"/>
    <col min="9210" max="9210" width="10.85546875" style="2" customWidth="1"/>
    <col min="9211" max="9211" width="11.5703125" style="2" customWidth="1"/>
    <col min="9212" max="9212" width="11.140625" style="2" bestFit="1" customWidth="1"/>
    <col min="9213" max="9213" width="11" style="2" customWidth="1"/>
    <col min="9214" max="9214" width="10.42578125" style="2" customWidth="1"/>
    <col min="9215" max="9215" width="11.28515625" style="2" customWidth="1"/>
    <col min="9216" max="9217" width="9.140625" style="2" bestFit="1" customWidth="1"/>
    <col min="9218" max="9219" width="11.140625" style="2" bestFit="1" customWidth="1"/>
    <col min="9220" max="9220" width="11.5703125" style="2" bestFit="1" customWidth="1"/>
    <col min="9221" max="9221" width="9.140625" style="2" bestFit="1" customWidth="1"/>
    <col min="9222" max="9222" width="10.28515625" style="2" customWidth="1"/>
    <col min="9223" max="9461" width="9.140625" style="2" customWidth="1"/>
    <col min="9462" max="9462" width="4.28515625" style="2" bestFit="1" customWidth="1"/>
    <col min="9463" max="9463" width="6.85546875" style="2" bestFit="1" customWidth="1"/>
    <col min="9464" max="9464" width="11" style="2" customWidth="1"/>
    <col min="9465" max="9465" width="11.140625" style="2" bestFit="1" customWidth="1"/>
    <col min="9466" max="9466" width="10.85546875" style="2" customWidth="1"/>
    <col min="9467" max="9467" width="11.5703125" style="2" customWidth="1"/>
    <col min="9468" max="9468" width="11.140625" style="2" bestFit="1" customWidth="1"/>
    <col min="9469" max="9469" width="11" style="2" customWidth="1"/>
    <col min="9470" max="9470" width="10.42578125" style="2" customWidth="1"/>
    <col min="9471" max="9471" width="11.28515625" style="2" customWidth="1"/>
    <col min="9472" max="9473" width="9.140625" style="2" bestFit="1" customWidth="1"/>
    <col min="9474" max="9475" width="11.140625" style="2" bestFit="1" customWidth="1"/>
    <col min="9476" max="9476" width="11.5703125" style="2" bestFit="1" customWidth="1"/>
    <col min="9477" max="9477" width="9.140625" style="2" bestFit="1" customWidth="1"/>
    <col min="9478" max="9478" width="10.28515625" style="2" customWidth="1"/>
    <col min="9479" max="9717" width="9.140625" style="2" customWidth="1"/>
    <col min="9718" max="9718" width="4.28515625" style="2" bestFit="1" customWidth="1"/>
    <col min="9719" max="9719" width="6.85546875" style="2" bestFit="1" customWidth="1"/>
    <col min="9720" max="9720" width="11" style="2" customWidth="1"/>
    <col min="9721" max="9721" width="11.140625" style="2" bestFit="1" customWidth="1"/>
    <col min="9722" max="9722" width="10.85546875" style="2" customWidth="1"/>
    <col min="9723" max="9723" width="11.5703125" style="2" customWidth="1"/>
    <col min="9724" max="9724" width="11.140625" style="2" bestFit="1" customWidth="1"/>
    <col min="9725" max="9725" width="11" style="2" customWidth="1"/>
    <col min="9726" max="9726" width="10.42578125" style="2" customWidth="1"/>
    <col min="9727" max="9727" width="11.28515625" style="2" customWidth="1"/>
    <col min="9728" max="9729" width="9.140625" style="2" bestFit="1" customWidth="1"/>
    <col min="9730" max="9731" width="11.140625" style="2" bestFit="1" customWidth="1"/>
    <col min="9732" max="9732" width="11.5703125" style="2" bestFit="1" customWidth="1"/>
    <col min="9733" max="9733" width="9.140625" style="2" bestFit="1" customWidth="1"/>
    <col min="9734" max="9734" width="10.28515625" style="2" customWidth="1"/>
    <col min="9735" max="9973" width="9.140625" style="2" customWidth="1"/>
    <col min="9974" max="9974" width="4.28515625" style="2" bestFit="1" customWidth="1"/>
    <col min="9975" max="9975" width="6.85546875" style="2" bestFit="1" customWidth="1"/>
    <col min="9976" max="9976" width="11" style="2" customWidth="1"/>
    <col min="9977" max="9977" width="11.140625" style="2" bestFit="1" customWidth="1"/>
    <col min="9978" max="9978" width="10.85546875" style="2" customWidth="1"/>
    <col min="9979" max="9979" width="11.5703125" style="2" customWidth="1"/>
    <col min="9980" max="9980" width="11.140625" style="2" bestFit="1" customWidth="1"/>
    <col min="9981" max="9981" width="11" style="2" customWidth="1"/>
    <col min="9982" max="9982" width="10.42578125" style="2" customWidth="1"/>
    <col min="9983" max="9983" width="11.28515625" style="2" customWidth="1"/>
    <col min="9984" max="9985" width="9.140625" style="2" bestFit="1" customWidth="1"/>
    <col min="9986" max="9987" width="11.140625" style="2" bestFit="1" customWidth="1"/>
    <col min="9988" max="9988" width="11.5703125" style="2" bestFit="1" customWidth="1"/>
    <col min="9989" max="9989" width="9.140625" style="2" bestFit="1" customWidth="1"/>
    <col min="9990" max="9990" width="10.28515625" style="2" customWidth="1"/>
    <col min="9991" max="10229" width="9.140625" style="2" customWidth="1"/>
    <col min="10230" max="10230" width="4.28515625" style="2" bestFit="1" customWidth="1"/>
    <col min="10231" max="10231" width="6.85546875" style="2" bestFit="1" customWidth="1"/>
    <col min="10232" max="10232" width="11" style="2" customWidth="1"/>
    <col min="10233" max="10233" width="11.140625" style="2" bestFit="1" customWidth="1"/>
    <col min="10234" max="10234" width="10.85546875" style="2" customWidth="1"/>
    <col min="10235" max="10235" width="11.5703125" style="2" customWidth="1"/>
    <col min="10236" max="10236" width="11.140625" style="2" bestFit="1" customWidth="1"/>
    <col min="10237" max="10237" width="11" style="2" customWidth="1"/>
    <col min="10238" max="10238" width="10.42578125" style="2" customWidth="1"/>
    <col min="10239" max="10239" width="11.28515625" style="2" customWidth="1"/>
    <col min="10240" max="10241" width="9.140625" style="2" bestFit="1" customWidth="1"/>
    <col min="10242" max="10243" width="11.140625" style="2" bestFit="1" customWidth="1"/>
    <col min="10244" max="10244" width="11.5703125" style="2" bestFit="1" customWidth="1"/>
    <col min="10245" max="10245" width="9.140625" style="2" bestFit="1" customWidth="1"/>
    <col min="10246" max="10246" width="10.28515625" style="2" customWidth="1"/>
    <col min="10247" max="10485" width="9.140625" style="2" customWidth="1"/>
    <col min="10486" max="10486" width="4.28515625" style="2" bestFit="1" customWidth="1"/>
    <col min="10487" max="10487" width="6.85546875" style="2" bestFit="1" customWidth="1"/>
    <col min="10488" max="10488" width="11" style="2" customWidth="1"/>
    <col min="10489" max="10489" width="11.140625" style="2" bestFit="1" customWidth="1"/>
    <col min="10490" max="10490" width="10.85546875" style="2" customWidth="1"/>
    <col min="10491" max="10491" width="11.5703125" style="2" customWidth="1"/>
    <col min="10492" max="10492" width="11.140625" style="2" bestFit="1" customWidth="1"/>
    <col min="10493" max="10493" width="11" style="2" customWidth="1"/>
    <col min="10494" max="10494" width="10.42578125" style="2" customWidth="1"/>
    <col min="10495" max="10495" width="11.28515625" style="2" customWidth="1"/>
    <col min="10496" max="10497" width="9.140625" style="2" bestFit="1" customWidth="1"/>
    <col min="10498" max="10499" width="11.140625" style="2" bestFit="1" customWidth="1"/>
    <col min="10500" max="10500" width="11.5703125" style="2" bestFit="1" customWidth="1"/>
    <col min="10501" max="10501" width="9.140625" style="2" bestFit="1" customWidth="1"/>
    <col min="10502" max="10502" width="10.28515625" style="2" customWidth="1"/>
    <col min="10503" max="10741" width="9.140625" style="2" customWidth="1"/>
    <col min="10742" max="10742" width="4.28515625" style="2" bestFit="1" customWidth="1"/>
    <col min="10743" max="10743" width="6.85546875" style="2" bestFit="1" customWidth="1"/>
    <col min="10744" max="10744" width="11" style="2" customWidth="1"/>
    <col min="10745" max="10745" width="11.140625" style="2" bestFit="1" customWidth="1"/>
    <col min="10746" max="10746" width="10.85546875" style="2" customWidth="1"/>
    <col min="10747" max="10747" width="11.5703125" style="2" customWidth="1"/>
    <col min="10748" max="10748" width="11.140625" style="2" bestFit="1" customWidth="1"/>
    <col min="10749" max="10749" width="11" style="2" customWidth="1"/>
    <col min="10750" max="10750" width="10.42578125" style="2" customWidth="1"/>
    <col min="10751" max="10751" width="11.28515625" style="2" customWidth="1"/>
    <col min="10752" max="10753" width="9.140625" style="2" bestFit="1" customWidth="1"/>
    <col min="10754" max="10755" width="11.140625" style="2" bestFit="1" customWidth="1"/>
    <col min="10756" max="10756" width="11.5703125" style="2" bestFit="1" customWidth="1"/>
    <col min="10757" max="10757" width="9.140625" style="2" bestFit="1" customWidth="1"/>
    <col min="10758" max="10758" width="10.28515625" style="2" customWidth="1"/>
    <col min="10759" max="10997" width="9.140625" style="2" customWidth="1"/>
    <col min="10998" max="10998" width="4.28515625" style="2" bestFit="1" customWidth="1"/>
    <col min="10999" max="10999" width="6.85546875" style="2" bestFit="1" customWidth="1"/>
    <col min="11000" max="11000" width="11" style="2" customWidth="1"/>
    <col min="11001" max="11001" width="11.140625" style="2" bestFit="1" customWidth="1"/>
    <col min="11002" max="11002" width="10.85546875" style="2" customWidth="1"/>
    <col min="11003" max="11003" width="11.5703125" style="2" customWidth="1"/>
    <col min="11004" max="11004" width="11.140625" style="2" bestFit="1" customWidth="1"/>
    <col min="11005" max="11005" width="11" style="2" customWidth="1"/>
    <col min="11006" max="11006" width="10.42578125" style="2" customWidth="1"/>
    <col min="11007" max="11007" width="11.28515625" style="2" customWidth="1"/>
    <col min="11008" max="11009" width="9.140625" style="2" bestFit="1" customWidth="1"/>
    <col min="11010" max="11011" width="11.140625" style="2" bestFit="1" customWidth="1"/>
    <col min="11012" max="11012" width="11.5703125" style="2" bestFit="1" customWidth="1"/>
    <col min="11013" max="11013" width="9.140625" style="2" bestFit="1" customWidth="1"/>
    <col min="11014" max="11014" width="10.28515625" style="2" customWidth="1"/>
    <col min="11015" max="11253" width="9.140625" style="2" customWidth="1"/>
    <col min="11254" max="11254" width="4.28515625" style="2" bestFit="1" customWidth="1"/>
    <col min="11255" max="11255" width="6.85546875" style="2" bestFit="1" customWidth="1"/>
    <col min="11256" max="11256" width="11" style="2" customWidth="1"/>
    <col min="11257" max="11257" width="11.140625" style="2" bestFit="1" customWidth="1"/>
    <col min="11258" max="11258" width="10.85546875" style="2" customWidth="1"/>
    <col min="11259" max="11259" width="11.5703125" style="2" customWidth="1"/>
    <col min="11260" max="11260" width="11.140625" style="2" bestFit="1" customWidth="1"/>
    <col min="11261" max="11261" width="11" style="2" customWidth="1"/>
    <col min="11262" max="11262" width="10.42578125" style="2" customWidth="1"/>
    <col min="11263" max="11263" width="11.28515625" style="2" customWidth="1"/>
    <col min="11264" max="11265" width="9.140625" style="2" bestFit="1" customWidth="1"/>
    <col min="11266" max="11267" width="11.140625" style="2" bestFit="1" customWidth="1"/>
    <col min="11268" max="11268" width="11.5703125" style="2" bestFit="1" customWidth="1"/>
    <col min="11269" max="11269" width="9.140625" style="2" bestFit="1" customWidth="1"/>
    <col min="11270" max="11270" width="10.28515625" style="2" customWidth="1"/>
    <col min="11271" max="11509" width="9.140625" style="2" customWidth="1"/>
    <col min="11510" max="11510" width="4.28515625" style="2" bestFit="1" customWidth="1"/>
    <col min="11511" max="11511" width="6.85546875" style="2" bestFit="1" customWidth="1"/>
    <col min="11512" max="11512" width="11" style="2" customWidth="1"/>
    <col min="11513" max="11513" width="11.140625" style="2" bestFit="1" customWidth="1"/>
    <col min="11514" max="11514" width="10.85546875" style="2" customWidth="1"/>
    <col min="11515" max="11515" width="11.5703125" style="2" customWidth="1"/>
    <col min="11516" max="11516" width="11.140625" style="2" bestFit="1" customWidth="1"/>
    <col min="11517" max="11517" width="11" style="2" customWidth="1"/>
    <col min="11518" max="11518" width="10.42578125" style="2" customWidth="1"/>
    <col min="11519" max="11519" width="11.28515625" style="2" customWidth="1"/>
    <col min="11520" max="11521" width="9.140625" style="2" bestFit="1" customWidth="1"/>
    <col min="11522" max="11523" width="11.140625" style="2" bestFit="1" customWidth="1"/>
    <col min="11524" max="11524" width="11.5703125" style="2" bestFit="1" customWidth="1"/>
    <col min="11525" max="11525" width="9.140625" style="2" bestFit="1" customWidth="1"/>
    <col min="11526" max="11526" width="10.28515625" style="2" customWidth="1"/>
    <col min="11527" max="11765" width="9.140625" style="2" customWidth="1"/>
    <col min="11766" max="11766" width="4.28515625" style="2" bestFit="1" customWidth="1"/>
    <col min="11767" max="11767" width="6.85546875" style="2" bestFit="1" customWidth="1"/>
    <col min="11768" max="11768" width="11" style="2" customWidth="1"/>
    <col min="11769" max="11769" width="11.140625" style="2" bestFit="1" customWidth="1"/>
    <col min="11770" max="11770" width="10.85546875" style="2" customWidth="1"/>
    <col min="11771" max="11771" width="11.5703125" style="2" customWidth="1"/>
    <col min="11772" max="11772" width="11.140625" style="2" bestFit="1" customWidth="1"/>
    <col min="11773" max="11773" width="11" style="2" customWidth="1"/>
    <col min="11774" max="11774" width="10.42578125" style="2" customWidth="1"/>
    <col min="11775" max="11775" width="11.28515625" style="2" customWidth="1"/>
    <col min="11776" max="11777" width="9.140625" style="2" bestFit="1" customWidth="1"/>
    <col min="11778" max="11779" width="11.140625" style="2" bestFit="1" customWidth="1"/>
    <col min="11780" max="11780" width="11.5703125" style="2" bestFit="1" customWidth="1"/>
    <col min="11781" max="11781" width="9.140625" style="2" bestFit="1" customWidth="1"/>
    <col min="11782" max="11782" width="10.28515625" style="2" customWidth="1"/>
    <col min="11783" max="12021" width="9.140625" style="2" customWidth="1"/>
    <col min="12022" max="12022" width="4.28515625" style="2" bestFit="1" customWidth="1"/>
    <col min="12023" max="12023" width="6.85546875" style="2" bestFit="1" customWidth="1"/>
    <col min="12024" max="12024" width="11" style="2" customWidth="1"/>
    <col min="12025" max="12025" width="11.140625" style="2" bestFit="1" customWidth="1"/>
    <col min="12026" max="12026" width="10.85546875" style="2" customWidth="1"/>
    <col min="12027" max="12027" width="11.5703125" style="2" customWidth="1"/>
    <col min="12028" max="12028" width="11.140625" style="2" bestFit="1" customWidth="1"/>
    <col min="12029" max="12029" width="11" style="2" customWidth="1"/>
    <col min="12030" max="12030" width="10.42578125" style="2" customWidth="1"/>
    <col min="12031" max="12031" width="11.28515625" style="2" customWidth="1"/>
    <col min="12032" max="12033" width="9.140625" style="2" bestFit="1" customWidth="1"/>
    <col min="12034" max="12035" width="11.140625" style="2" bestFit="1" customWidth="1"/>
    <col min="12036" max="12036" width="11.5703125" style="2" bestFit="1" customWidth="1"/>
    <col min="12037" max="12037" width="9.140625" style="2" bestFit="1" customWidth="1"/>
    <col min="12038" max="12038" width="10.28515625" style="2" customWidth="1"/>
    <col min="12039" max="12277" width="9.140625" style="2" customWidth="1"/>
    <col min="12278" max="12278" width="4.28515625" style="2" bestFit="1" customWidth="1"/>
    <col min="12279" max="12279" width="6.85546875" style="2" bestFit="1" customWidth="1"/>
    <col min="12280" max="12280" width="11" style="2" customWidth="1"/>
    <col min="12281" max="12281" width="11.140625" style="2" bestFit="1" customWidth="1"/>
    <col min="12282" max="12282" width="10.85546875" style="2" customWidth="1"/>
    <col min="12283" max="12283" width="11.5703125" style="2" customWidth="1"/>
    <col min="12284" max="12284" width="11.140625" style="2" bestFit="1" customWidth="1"/>
    <col min="12285" max="12285" width="11" style="2" customWidth="1"/>
    <col min="12286" max="12286" width="10.42578125" style="2" customWidth="1"/>
    <col min="12287" max="12287" width="11.28515625" style="2" customWidth="1"/>
    <col min="12288" max="12289" width="9.140625" style="2" bestFit="1" customWidth="1"/>
    <col min="12290" max="12291" width="11.140625" style="2" bestFit="1" customWidth="1"/>
    <col min="12292" max="12292" width="11.5703125" style="2" bestFit="1" customWidth="1"/>
    <col min="12293" max="12293" width="9.140625" style="2" bestFit="1" customWidth="1"/>
    <col min="12294" max="12294" width="10.28515625" style="2" customWidth="1"/>
    <col min="12295" max="12533" width="9.140625" style="2" customWidth="1"/>
    <col min="12534" max="12534" width="4.28515625" style="2" bestFit="1" customWidth="1"/>
    <col min="12535" max="12535" width="6.85546875" style="2" bestFit="1" customWidth="1"/>
    <col min="12536" max="12536" width="11" style="2" customWidth="1"/>
    <col min="12537" max="12537" width="11.140625" style="2" bestFit="1" customWidth="1"/>
    <col min="12538" max="12538" width="10.85546875" style="2" customWidth="1"/>
    <col min="12539" max="12539" width="11.5703125" style="2" customWidth="1"/>
    <col min="12540" max="12540" width="11.140625" style="2" bestFit="1" customWidth="1"/>
    <col min="12541" max="12541" width="11" style="2" customWidth="1"/>
    <col min="12542" max="12542" width="10.42578125" style="2" customWidth="1"/>
    <col min="12543" max="12543" width="11.28515625" style="2" customWidth="1"/>
    <col min="12544" max="12545" width="9.140625" style="2" bestFit="1" customWidth="1"/>
    <col min="12546" max="12547" width="11.140625" style="2" bestFit="1" customWidth="1"/>
    <col min="12548" max="12548" width="11.5703125" style="2" bestFit="1" customWidth="1"/>
    <col min="12549" max="12549" width="9.140625" style="2" bestFit="1" customWidth="1"/>
    <col min="12550" max="12550" width="10.28515625" style="2" customWidth="1"/>
    <col min="12551" max="12789" width="9.140625" style="2" customWidth="1"/>
    <col min="12790" max="12790" width="4.28515625" style="2" bestFit="1" customWidth="1"/>
    <col min="12791" max="12791" width="6.85546875" style="2" bestFit="1" customWidth="1"/>
    <col min="12792" max="12792" width="11" style="2" customWidth="1"/>
    <col min="12793" max="12793" width="11.140625" style="2" bestFit="1" customWidth="1"/>
    <col min="12794" max="12794" width="10.85546875" style="2" customWidth="1"/>
    <col min="12795" max="12795" width="11.5703125" style="2" customWidth="1"/>
    <col min="12796" max="12796" width="11.140625" style="2" bestFit="1" customWidth="1"/>
    <col min="12797" max="12797" width="11" style="2" customWidth="1"/>
    <col min="12798" max="12798" width="10.42578125" style="2" customWidth="1"/>
    <col min="12799" max="12799" width="11.28515625" style="2" customWidth="1"/>
    <col min="12800" max="12801" width="9.140625" style="2" bestFit="1" customWidth="1"/>
    <col min="12802" max="12803" width="11.140625" style="2" bestFit="1" customWidth="1"/>
    <col min="12804" max="12804" width="11.5703125" style="2" bestFit="1" customWidth="1"/>
    <col min="12805" max="12805" width="9.140625" style="2" bestFit="1" customWidth="1"/>
    <col min="12806" max="12806" width="10.28515625" style="2" customWidth="1"/>
    <col min="12807" max="13045" width="9.140625" style="2" customWidth="1"/>
    <col min="13046" max="13046" width="4.28515625" style="2" bestFit="1" customWidth="1"/>
    <col min="13047" max="13047" width="6.85546875" style="2" bestFit="1" customWidth="1"/>
    <col min="13048" max="13048" width="11" style="2" customWidth="1"/>
    <col min="13049" max="13049" width="11.140625" style="2" bestFit="1" customWidth="1"/>
    <col min="13050" max="13050" width="10.85546875" style="2" customWidth="1"/>
    <col min="13051" max="13051" width="11.5703125" style="2" customWidth="1"/>
    <col min="13052" max="13052" width="11.140625" style="2" bestFit="1" customWidth="1"/>
    <col min="13053" max="13053" width="11" style="2" customWidth="1"/>
    <col min="13054" max="13054" width="10.42578125" style="2" customWidth="1"/>
    <col min="13055" max="13055" width="11.28515625" style="2" customWidth="1"/>
    <col min="13056" max="13057" width="9.140625" style="2" bestFit="1" customWidth="1"/>
    <col min="13058" max="13059" width="11.140625" style="2" bestFit="1" customWidth="1"/>
    <col min="13060" max="13060" width="11.5703125" style="2" bestFit="1" customWidth="1"/>
    <col min="13061" max="13061" width="9.140625" style="2" bestFit="1" customWidth="1"/>
    <col min="13062" max="13062" width="10.28515625" style="2" customWidth="1"/>
    <col min="13063" max="13301" width="9.140625" style="2" customWidth="1"/>
    <col min="13302" max="13302" width="4.28515625" style="2" bestFit="1" customWidth="1"/>
    <col min="13303" max="13303" width="6.85546875" style="2" bestFit="1" customWidth="1"/>
    <col min="13304" max="13304" width="11" style="2" customWidth="1"/>
    <col min="13305" max="13305" width="11.140625" style="2" bestFit="1" customWidth="1"/>
    <col min="13306" max="13306" width="10.85546875" style="2" customWidth="1"/>
    <col min="13307" max="13307" width="11.5703125" style="2" customWidth="1"/>
    <col min="13308" max="13308" width="11.140625" style="2" bestFit="1" customWidth="1"/>
    <col min="13309" max="13309" width="11" style="2" customWidth="1"/>
    <col min="13310" max="13310" width="10.42578125" style="2" customWidth="1"/>
    <col min="13311" max="13311" width="11.28515625" style="2" customWidth="1"/>
    <col min="13312" max="13313" width="9.140625" style="2" bestFit="1" customWidth="1"/>
    <col min="13314" max="13315" width="11.140625" style="2" bestFit="1" customWidth="1"/>
    <col min="13316" max="13316" width="11.5703125" style="2" bestFit="1" customWidth="1"/>
    <col min="13317" max="13317" width="9.140625" style="2" bestFit="1" customWidth="1"/>
    <col min="13318" max="13318" width="10.28515625" style="2" customWidth="1"/>
    <col min="13319" max="13557" width="9.140625" style="2" customWidth="1"/>
    <col min="13558" max="13558" width="4.28515625" style="2" bestFit="1" customWidth="1"/>
    <col min="13559" max="13559" width="6.85546875" style="2" bestFit="1" customWidth="1"/>
    <col min="13560" max="13560" width="11" style="2" customWidth="1"/>
    <col min="13561" max="13561" width="11.140625" style="2" bestFit="1" customWidth="1"/>
    <col min="13562" max="13562" width="10.85546875" style="2" customWidth="1"/>
    <col min="13563" max="13563" width="11.5703125" style="2" customWidth="1"/>
    <col min="13564" max="13564" width="11.140625" style="2" bestFit="1" customWidth="1"/>
    <col min="13565" max="13565" width="11" style="2" customWidth="1"/>
    <col min="13566" max="13566" width="10.42578125" style="2" customWidth="1"/>
    <col min="13567" max="13567" width="11.28515625" style="2" customWidth="1"/>
    <col min="13568" max="13569" width="9.140625" style="2" bestFit="1" customWidth="1"/>
    <col min="13570" max="13571" width="11.140625" style="2" bestFit="1" customWidth="1"/>
    <col min="13572" max="13572" width="11.5703125" style="2" bestFit="1" customWidth="1"/>
    <col min="13573" max="13573" width="9.140625" style="2" bestFit="1" customWidth="1"/>
    <col min="13574" max="13574" width="10.28515625" style="2" customWidth="1"/>
    <col min="13575" max="13813" width="9.140625" style="2" customWidth="1"/>
    <col min="13814" max="13814" width="4.28515625" style="2" bestFit="1" customWidth="1"/>
    <col min="13815" max="13815" width="6.85546875" style="2" bestFit="1" customWidth="1"/>
    <col min="13816" max="13816" width="11" style="2" customWidth="1"/>
    <col min="13817" max="13817" width="11.140625" style="2" bestFit="1" customWidth="1"/>
    <col min="13818" max="13818" width="10.85546875" style="2" customWidth="1"/>
    <col min="13819" max="13819" width="11.5703125" style="2" customWidth="1"/>
    <col min="13820" max="13820" width="11.140625" style="2" bestFit="1" customWidth="1"/>
    <col min="13821" max="13821" width="11" style="2" customWidth="1"/>
    <col min="13822" max="13822" width="10.42578125" style="2" customWidth="1"/>
    <col min="13823" max="13823" width="11.28515625" style="2" customWidth="1"/>
    <col min="13824" max="13825" width="9.140625" style="2" bestFit="1" customWidth="1"/>
    <col min="13826" max="13827" width="11.140625" style="2" bestFit="1" customWidth="1"/>
    <col min="13828" max="13828" width="11.5703125" style="2" bestFit="1" customWidth="1"/>
    <col min="13829" max="13829" width="9.140625" style="2" bestFit="1" customWidth="1"/>
    <col min="13830" max="13830" width="10.28515625" style="2" customWidth="1"/>
    <col min="13831" max="14069" width="9.140625" style="2" customWidth="1"/>
    <col min="14070" max="14070" width="4.28515625" style="2" bestFit="1" customWidth="1"/>
    <col min="14071" max="14071" width="6.85546875" style="2" bestFit="1" customWidth="1"/>
    <col min="14072" max="14072" width="11" style="2" customWidth="1"/>
    <col min="14073" max="14073" width="11.140625" style="2" bestFit="1" customWidth="1"/>
    <col min="14074" max="14074" width="10.85546875" style="2" customWidth="1"/>
    <col min="14075" max="14075" width="11.5703125" style="2" customWidth="1"/>
    <col min="14076" max="14076" width="11.140625" style="2" bestFit="1" customWidth="1"/>
    <col min="14077" max="14077" width="11" style="2" customWidth="1"/>
    <col min="14078" max="14078" width="10.42578125" style="2" customWidth="1"/>
    <col min="14079" max="14079" width="11.28515625" style="2" customWidth="1"/>
    <col min="14080" max="14081" width="9.140625" style="2" bestFit="1" customWidth="1"/>
    <col min="14082" max="14083" width="11.140625" style="2" bestFit="1" customWidth="1"/>
    <col min="14084" max="14084" width="11.5703125" style="2" bestFit="1" customWidth="1"/>
    <col min="14085" max="14085" width="9.140625" style="2" bestFit="1" customWidth="1"/>
    <col min="14086" max="14086" width="10.28515625" style="2" customWidth="1"/>
    <col min="14087" max="14325" width="9.140625" style="2" customWidth="1"/>
    <col min="14326" max="14326" width="4.28515625" style="2" bestFit="1" customWidth="1"/>
    <col min="14327" max="14327" width="6.85546875" style="2" bestFit="1" customWidth="1"/>
    <col min="14328" max="14328" width="11" style="2" customWidth="1"/>
    <col min="14329" max="14329" width="11.140625" style="2" bestFit="1" customWidth="1"/>
    <col min="14330" max="14330" width="10.85546875" style="2" customWidth="1"/>
    <col min="14331" max="14331" width="11.5703125" style="2" customWidth="1"/>
    <col min="14332" max="14332" width="11.140625" style="2" bestFit="1" customWidth="1"/>
    <col min="14333" max="14333" width="11" style="2" customWidth="1"/>
    <col min="14334" max="14334" width="10.42578125" style="2" customWidth="1"/>
    <col min="14335" max="14335" width="11.28515625" style="2" customWidth="1"/>
    <col min="14336" max="14337" width="9.140625" style="2" bestFit="1" customWidth="1"/>
    <col min="14338" max="14339" width="11.140625" style="2" bestFit="1" customWidth="1"/>
    <col min="14340" max="14340" width="11.5703125" style="2" bestFit="1" customWidth="1"/>
    <col min="14341" max="14341" width="9.140625" style="2" bestFit="1" customWidth="1"/>
    <col min="14342" max="14342" width="10.28515625" style="2" customWidth="1"/>
    <col min="14343" max="14581" width="9.140625" style="2" customWidth="1"/>
    <col min="14582" max="14582" width="4.28515625" style="2" bestFit="1" customWidth="1"/>
    <col min="14583" max="14583" width="6.85546875" style="2" bestFit="1" customWidth="1"/>
    <col min="14584" max="14584" width="11" style="2" customWidth="1"/>
    <col min="14585" max="14585" width="11.140625" style="2" bestFit="1" customWidth="1"/>
    <col min="14586" max="14586" width="10.85546875" style="2" customWidth="1"/>
    <col min="14587" max="14587" width="11.5703125" style="2" customWidth="1"/>
    <col min="14588" max="14588" width="11.140625" style="2" bestFit="1" customWidth="1"/>
    <col min="14589" max="14589" width="11" style="2" customWidth="1"/>
    <col min="14590" max="14590" width="10.42578125" style="2" customWidth="1"/>
    <col min="14591" max="14591" width="11.28515625" style="2" customWidth="1"/>
    <col min="14592" max="14593" width="9.140625" style="2" bestFit="1" customWidth="1"/>
    <col min="14594" max="14595" width="11.140625" style="2" bestFit="1" customWidth="1"/>
    <col min="14596" max="14596" width="11.5703125" style="2" bestFit="1" customWidth="1"/>
    <col min="14597" max="14597" width="9.140625" style="2" bestFit="1" customWidth="1"/>
    <col min="14598" max="14598" width="10.28515625" style="2" customWidth="1"/>
    <col min="14599" max="14837" width="9.140625" style="2" customWidth="1"/>
    <col min="14838" max="14838" width="4.28515625" style="2" bestFit="1" customWidth="1"/>
    <col min="14839" max="14839" width="6.85546875" style="2" bestFit="1" customWidth="1"/>
    <col min="14840" max="14840" width="11" style="2" customWidth="1"/>
    <col min="14841" max="14841" width="11.140625" style="2" bestFit="1" customWidth="1"/>
    <col min="14842" max="14842" width="10.85546875" style="2" customWidth="1"/>
    <col min="14843" max="14843" width="11.5703125" style="2" customWidth="1"/>
    <col min="14844" max="14844" width="11.140625" style="2" bestFit="1" customWidth="1"/>
    <col min="14845" max="14845" width="11" style="2" customWidth="1"/>
    <col min="14846" max="14846" width="10.42578125" style="2" customWidth="1"/>
    <col min="14847" max="14847" width="11.28515625" style="2" customWidth="1"/>
    <col min="14848" max="14849" width="9.140625" style="2" bestFit="1" customWidth="1"/>
    <col min="14850" max="14851" width="11.140625" style="2" bestFit="1" customWidth="1"/>
    <col min="14852" max="14852" width="11.5703125" style="2" bestFit="1" customWidth="1"/>
    <col min="14853" max="14853" width="9.140625" style="2" bestFit="1" customWidth="1"/>
    <col min="14854" max="14854" width="10.28515625" style="2" customWidth="1"/>
    <col min="14855" max="15093" width="9.140625" style="2" customWidth="1"/>
    <col min="15094" max="15094" width="4.28515625" style="2" bestFit="1" customWidth="1"/>
    <col min="15095" max="15095" width="6.85546875" style="2" bestFit="1" customWidth="1"/>
    <col min="15096" max="15096" width="11" style="2" customWidth="1"/>
    <col min="15097" max="15097" width="11.140625" style="2" bestFit="1" customWidth="1"/>
    <col min="15098" max="15098" width="10.85546875" style="2" customWidth="1"/>
    <col min="15099" max="15099" width="11.5703125" style="2" customWidth="1"/>
    <col min="15100" max="15100" width="11.140625" style="2" bestFit="1" customWidth="1"/>
    <col min="15101" max="15101" width="11" style="2" customWidth="1"/>
    <col min="15102" max="15102" width="10.42578125" style="2" customWidth="1"/>
    <col min="15103" max="15103" width="11.28515625" style="2" customWidth="1"/>
    <col min="15104" max="15105" width="9.140625" style="2" bestFit="1" customWidth="1"/>
    <col min="15106" max="15107" width="11.140625" style="2" bestFit="1" customWidth="1"/>
    <col min="15108" max="15108" width="11.5703125" style="2" bestFit="1" customWidth="1"/>
    <col min="15109" max="15109" width="9.140625" style="2" bestFit="1" customWidth="1"/>
    <col min="15110" max="15110" width="10.28515625" style="2" customWidth="1"/>
    <col min="15111" max="15349" width="9.140625" style="2" customWidth="1"/>
    <col min="15350" max="15350" width="4.28515625" style="2" bestFit="1" customWidth="1"/>
    <col min="15351" max="15351" width="6.85546875" style="2" bestFit="1" customWidth="1"/>
    <col min="15352" max="15352" width="11" style="2" customWidth="1"/>
    <col min="15353" max="15353" width="11.140625" style="2" bestFit="1" customWidth="1"/>
    <col min="15354" max="15354" width="10.85546875" style="2" customWidth="1"/>
    <col min="15355" max="15355" width="11.5703125" style="2" customWidth="1"/>
    <col min="15356" max="15356" width="11.140625" style="2" bestFit="1" customWidth="1"/>
    <col min="15357" max="15357" width="11" style="2" customWidth="1"/>
    <col min="15358" max="15358" width="10.42578125" style="2" customWidth="1"/>
    <col min="15359" max="15359" width="11.28515625" style="2" customWidth="1"/>
    <col min="15360" max="15361" width="9.140625" style="2" bestFit="1" customWidth="1"/>
    <col min="15362" max="15363" width="11.140625" style="2" bestFit="1" customWidth="1"/>
    <col min="15364" max="15364" width="11.5703125" style="2" bestFit="1" customWidth="1"/>
    <col min="15365" max="15365" width="9.140625" style="2" bestFit="1" customWidth="1"/>
    <col min="15366" max="15366" width="10.28515625" style="2" customWidth="1"/>
    <col min="15367" max="15605" width="9.140625" style="2" customWidth="1"/>
    <col min="15606" max="15606" width="4.28515625" style="2" bestFit="1" customWidth="1"/>
    <col min="15607" max="15607" width="6.85546875" style="2" bestFit="1" customWidth="1"/>
    <col min="15608" max="15608" width="11" style="2" customWidth="1"/>
    <col min="15609" max="15609" width="11.140625" style="2" bestFit="1" customWidth="1"/>
    <col min="15610" max="15610" width="10.85546875" style="2" customWidth="1"/>
    <col min="15611" max="15611" width="11.5703125" style="2" customWidth="1"/>
    <col min="15612" max="15612" width="11.140625" style="2" bestFit="1" customWidth="1"/>
    <col min="15613" max="15613" width="11" style="2" customWidth="1"/>
    <col min="15614" max="15614" width="10.42578125" style="2" customWidth="1"/>
    <col min="15615" max="15615" width="11.28515625" style="2" customWidth="1"/>
    <col min="15616" max="15617" width="9.140625" style="2" bestFit="1" customWidth="1"/>
    <col min="15618" max="15619" width="11.140625" style="2" bestFit="1" customWidth="1"/>
    <col min="15620" max="15620" width="11.5703125" style="2" bestFit="1" customWidth="1"/>
    <col min="15621" max="15621" width="9.140625" style="2" bestFit="1" customWidth="1"/>
    <col min="15622" max="15622" width="10.28515625" style="2" customWidth="1"/>
    <col min="15623" max="15861" width="9.140625" style="2" customWidth="1"/>
    <col min="15862" max="15862" width="4.28515625" style="2" bestFit="1" customWidth="1"/>
    <col min="15863" max="15863" width="6.85546875" style="2" bestFit="1" customWidth="1"/>
    <col min="15864" max="15864" width="11" style="2" customWidth="1"/>
    <col min="15865" max="15865" width="11.140625" style="2" bestFit="1" customWidth="1"/>
    <col min="15866" max="15866" width="10.85546875" style="2" customWidth="1"/>
    <col min="15867" max="15867" width="11.5703125" style="2" customWidth="1"/>
    <col min="15868" max="15868" width="11.140625" style="2" bestFit="1" customWidth="1"/>
    <col min="15869" max="15869" width="11" style="2" customWidth="1"/>
    <col min="15870" max="15870" width="10.42578125" style="2" customWidth="1"/>
    <col min="15871" max="15871" width="11.28515625" style="2" customWidth="1"/>
    <col min="15872" max="15873" width="9.140625" style="2" bestFit="1" customWidth="1"/>
    <col min="15874" max="15875" width="11.140625" style="2" bestFit="1" customWidth="1"/>
    <col min="15876" max="15876" width="11.5703125" style="2" bestFit="1" customWidth="1"/>
    <col min="15877" max="15877" width="9.140625" style="2" bestFit="1" customWidth="1"/>
    <col min="15878" max="15878" width="10.28515625" style="2" customWidth="1"/>
    <col min="15879" max="16117" width="9.140625" style="2" customWidth="1"/>
    <col min="16118" max="16118" width="4.28515625" style="2" bestFit="1" customWidth="1"/>
    <col min="16119" max="16119" width="6.85546875" style="2" bestFit="1" customWidth="1"/>
    <col min="16120" max="16120" width="11" style="2" customWidth="1"/>
    <col min="16121" max="16121" width="11.140625" style="2" bestFit="1" customWidth="1"/>
    <col min="16122" max="16122" width="10.85546875" style="2" customWidth="1"/>
    <col min="16123" max="16123" width="11.5703125" style="2" customWidth="1"/>
    <col min="16124" max="16124" width="11.140625" style="2" bestFit="1" customWidth="1"/>
    <col min="16125" max="16125" width="11" style="2" customWidth="1"/>
    <col min="16126" max="16126" width="10.42578125" style="2" customWidth="1"/>
    <col min="16127" max="16127" width="11.28515625" style="2" customWidth="1"/>
    <col min="16128" max="16129" width="9.140625" style="2" bestFit="1" customWidth="1"/>
    <col min="16130" max="16131" width="11.140625" style="2" bestFit="1" customWidth="1"/>
    <col min="16132" max="16132" width="11.5703125" style="2" bestFit="1" customWidth="1"/>
    <col min="16133" max="16133" width="9.140625" style="2" bestFit="1" customWidth="1"/>
    <col min="16134" max="16134" width="10.28515625" style="2" customWidth="1"/>
    <col min="16135" max="16383" width="9.140625" style="2" customWidth="1"/>
    <col min="16384" max="16384" width="9.140625" style="2"/>
  </cols>
  <sheetData>
    <row r="1" spans="1:12" ht="72" customHeight="1">
      <c r="A1" s="2145" t="s">
        <v>163</v>
      </c>
      <c r="B1" s="2145"/>
      <c r="C1" s="2145"/>
      <c r="D1" s="2145"/>
      <c r="E1" s="2145"/>
      <c r="F1" s="2145"/>
      <c r="G1" s="2145"/>
      <c r="H1" s="2145"/>
      <c r="I1" s="2145"/>
      <c r="J1" s="2145"/>
      <c r="K1" s="2145"/>
      <c r="L1" s="2145"/>
    </row>
    <row r="2" spans="1:12" ht="16.5" customHeight="1" thickBo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378" t="s">
        <v>0</v>
      </c>
    </row>
    <row r="3" spans="1:12" s="8" customFormat="1" ht="90.75" thickBot="1">
      <c r="A3" s="4" t="s">
        <v>1</v>
      </c>
      <c r="B3" s="5" t="s">
        <v>2</v>
      </c>
      <c r="C3" s="4" t="s">
        <v>3</v>
      </c>
      <c r="D3" s="6" t="s">
        <v>4</v>
      </c>
      <c r="E3" s="7" t="s">
        <v>148</v>
      </c>
      <c r="F3" s="7" t="s">
        <v>150</v>
      </c>
      <c r="G3" s="7"/>
      <c r="H3" s="7" t="s">
        <v>179</v>
      </c>
      <c r="I3" s="7" t="s">
        <v>5</v>
      </c>
      <c r="J3" s="7" t="s">
        <v>178</v>
      </c>
      <c r="K3" s="7" t="s">
        <v>152</v>
      </c>
      <c r="L3" s="7" t="s">
        <v>188</v>
      </c>
    </row>
    <row r="4" spans="1:12" s="13" customFormat="1" ht="10.5" thickBot="1">
      <c r="A4" s="9" t="s">
        <v>6</v>
      </c>
      <c r="B4" s="2146" t="s">
        <v>7</v>
      </c>
      <c r="C4" s="2146"/>
      <c r="D4" s="10" t="s">
        <v>8</v>
      </c>
      <c r="E4" s="255" t="s">
        <v>9</v>
      </c>
      <c r="F4" s="255" t="s">
        <v>10</v>
      </c>
      <c r="G4" s="255"/>
      <c r="H4" s="256" t="s">
        <v>10</v>
      </c>
      <c r="I4" s="255" t="s">
        <v>12</v>
      </c>
      <c r="J4" s="255" t="s">
        <v>11</v>
      </c>
      <c r="K4" s="255" t="s">
        <v>11</v>
      </c>
      <c r="L4" s="12" t="s">
        <v>12</v>
      </c>
    </row>
    <row r="5" spans="1:12" s="20" customFormat="1">
      <c r="A5" s="14" t="s">
        <v>14</v>
      </c>
      <c r="B5" s="15"/>
      <c r="C5" s="16" t="s">
        <v>15</v>
      </c>
      <c r="D5" s="15"/>
      <c r="E5" s="17">
        <f>SUM(E6)</f>
        <v>8144</v>
      </c>
      <c r="F5" s="17">
        <f>SUM(F6)</f>
        <v>8144</v>
      </c>
      <c r="G5" s="17"/>
      <c r="H5" s="17">
        <f>SUM(H6)</f>
        <v>9366</v>
      </c>
      <c r="I5" s="18">
        <f>H5/E5</f>
        <v>1.150049115913556</v>
      </c>
      <c r="J5" s="17">
        <f>SUM(J6)</f>
        <v>0</v>
      </c>
      <c r="K5" s="17">
        <f>SUM(K6)</f>
        <v>9366</v>
      </c>
      <c r="L5" s="19"/>
    </row>
    <row r="6" spans="1:12" s="25" customFormat="1" ht="13.5" thickBot="1">
      <c r="A6" s="2147"/>
      <c r="B6" s="2148" t="s">
        <v>16</v>
      </c>
      <c r="C6" s="21" t="s">
        <v>17</v>
      </c>
      <c r="D6" s="22"/>
      <c r="E6" s="23">
        <f>SUM(E7,E18)</f>
        <v>8144</v>
      </c>
      <c r="F6" s="23">
        <f>SUM(F7,F18)</f>
        <v>8144</v>
      </c>
      <c r="G6" s="23"/>
      <c r="H6" s="23">
        <f>SUM(H7,H18)</f>
        <v>9366</v>
      </c>
      <c r="I6" s="24">
        <f>H6/E6</f>
        <v>1.150049115913556</v>
      </c>
      <c r="J6" s="23">
        <f>SUM(J7,J18)</f>
        <v>0</v>
      </c>
      <c r="K6" s="23">
        <f>SUM(K7,K18)</f>
        <v>9366</v>
      </c>
      <c r="L6" s="2149" t="s">
        <v>181</v>
      </c>
    </row>
    <row r="7" spans="1:12" ht="13.5" thickBot="1">
      <c r="A7" s="2147"/>
      <c r="B7" s="2148"/>
      <c r="C7" s="26" t="s">
        <v>18</v>
      </c>
      <c r="D7" s="27"/>
      <c r="E7" s="28">
        <f>SUM(E8,E13,E14,E15,E16,E17)</f>
        <v>8144</v>
      </c>
      <c r="F7" s="28">
        <f>SUM(F8,F13,F14,F15,F16,F17)</f>
        <v>8144</v>
      </c>
      <c r="G7" s="28"/>
      <c r="H7" s="28">
        <f>SUM(H8,H13,H14,H15,H16,H17)</f>
        <v>9366</v>
      </c>
      <c r="I7" s="29">
        <f>H7/E7</f>
        <v>1.150049115913556</v>
      </c>
      <c r="J7" s="28">
        <f>SUM(J8,J13,J14,J15,J16,J17)</f>
        <v>0</v>
      </c>
      <c r="K7" s="28">
        <f>SUM(K8,K13,K14,K15,K16,K17)</f>
        <v>9366</v>
      </c>
      <c r="L7" s="2149"/>
    </row>
    <row r="8" spans="1:12" ht="13.5" thickBot="1">
      <c r="A8" s="2147"/>
      <c r="B8" s="2148"/>
      <c r="C8" s="30" t="s">
        <v>19</v>
      </c>
      <c r="D8" s="31"/>
      <c r="E8" s="32">
        <f>E9+E10</f>
        <v>8144</v>
      </c>
      <c r="F8" s="32">
        <f>F9+F10</f>
        <v>8144</v>
      </c>
      <c r="G8" s="32"/>
      <c r="H8" s="32">
        <f>H9+H10</f>
        <v>9366</v>
      </c>
      <c r="I8" s="33">
        <f>H8/E8</f>
        <v>1.150049115913556</v>
      </c>
      <c r="J8" s="32">
        <f>J9+J10</f>
        <v>0</v>
      </c>
      <c r="K8" s="32">
        <f>SUM(K9,K10)</f>
        <v>9366</v>
      </c>
      <c r="L8" s="2149"/>
    </row>
    <row r="9" spans="1:12" ht="13.5" thickBot="1">
      <c r="A9" s="2147"/>
      <c r="B9" s="2148"/>
      <c r="C9" s="30" t="s">
        <v>20</v>
      </c>
      <c r="D9" s="31"/>
      <c r="E9" s="32"/>
      <c r="F9" s="32"/>
      <c r="G9" s="32"/>
      <c r="H9" s="32"/>
      <c r="I9" s="33"/>
      <c r="J9" s="32"/>
      <c r="K9" s="32"/>
      <c r="L9" s="2149"/>
    </row>
    <row r="10" spans="1:12" ht="14.25" customHeight="1" thickBot="1">
      <c r="A10" s="2147"/>
      <c r="B10" s="2148"/>
      <c r="C10" s="2150" t="s">
        <v>21</v>
      </c>
      <c r="D10" s="31" t="s">
        <v>22</v>
      </c>
      <c r="E10" s="32">
        <f>SUM(E11:E12)</f>
        <v>8144</v>
      </c>
      <c r="F10" s="32">
        <f>SUM(F11:F12)</f>
        <v>8144</v>
      </c>
      <c r="G10" s="32"/>
      <c r="H10" s="32">
        <f>SUM(H11:H12)</f>
        <v>9366</v>
      </c>
      <c r="I10" s="33">
        <f>H10/E10</f>
        <v>1.150049115913556</v>
      </c>
      <c r="J10" s="32"/>
      <c r="K10" s="32">
        <f>H10+J10</f>
        <v>9366</v>
      </c>
      <c r="L10" s="2149"/>
    </row>
    <row r="11" spans="1:12" ht="13.5" thickBot="1">
      <c r="A11" s="2147"/>
      <c r="B11" s="2148"/>
      <c r="C11" s="2150"/>
      <c r="D11" s="34">
        <v>4300</v>
      </c>
      <c r="E11" s="35">
        <v>1030</v>
      </c>
      <c r="F11" s="35">
        <v>1030</v>
      </c>
      <c r="G11" s="35"/>
      <c r="H11" s="35">
        <v>1185</v>
      </c>
      <c r="I11" s="36">
        <f>H11/E11</f>
        <v>1.1504854368932038</v>
      </c>
      <c r="J11" s="35"/>
      <c r="K11" s="35">
        <f>H11+J11</f>
        <v>1185</v>
      </c>
      <c r="L11" s="2149"/>
    </row>
    <row r="12" spans="1:12" ht="13.5" thickBot="1">
      <c r="A12" s="2147"/>
      <c r="B12" s="2148"/>
      <c r="C12" s="2150"/>
      <c r="D12" s="34">
        <v>4610</v>
      </c>
      <c r="E12" s="35">
        <v>7114</v>
      </c>
      <c r="F12" s="35">
        <v>7114</v>
      </c>
      <c r="G12" s="35"/>
      <c r="H12" s="35">
        <v>8181</v>
      </c>
      <c r="I12" s="36">
        <f>H12/E12</f>
        <v>1.1499859432105708</v>
      </c>
      <c r="J12" s="35"/>
      <c r="K12" s="35">
        <f>H12+J12</f>
        <v>8181</v>
      </c>
      <c r="L12" s="2149"/>
    </row>
    <row r="13" spans="1:12" ht="13.5" thickBot="1">
      <c r="A13" s="2147"/>
      <c r="B13" s="2148"/>
      <c r="C13" s="30" t="s">
        <v>23</v>
      </c>
      <c r="D13" s="31"/>
      <c r="E13" s="32"/>
      <c r="F13" s="32"/>
      <c r="G13" s="32"/>
      <c r="H13" s="32"/>
      <c r="I13" s="33"/>
      <c r="J13" s="32"/>
      <c r="K13" s="32"/>
      <c r="L13" s="2149"/>
    </row>
    <row r="14" spans="1:12" ht="13.5" thickBot="1">
      <c r="A14" s="2147"/>
      <c r="B14" s="2148"/>
      <c r="C14" s="30" t="s">
        <v>24</v>
      </c>
      <c r="D14" s="31"/>
      <c r="E14" s="32"/>
      <c r="F14" s="32"/>
      <c r="G14" s="32"/>
      <c r="H14" s="32"/>
      <c r="I14" s="33"/>
      <c r="J14" s="32"/>
      <c r="K14" s="32"/>
      <c r="L14" s="2149"/>
    </row>
    <row r="15" spans="1:12" ht="23.25" thickBot="1">
      <c r="A15" s="2147"/>
      <c r="B15" s="2148"/>
      <c r="C15" s="37" t="s">
        <v>25</v>
      </c>
      <c r="D15" s="38"/>
      <c r="E15" s="32"/>
      <c r="F15" s="32"/>
      <c r="G15" s="32"/>
      <c r="H15" s="32"/>
      <c r="I15" s="33"/>
      <c r="J15" s="32"/>
      <c r="K15" s="32"/>
      <c r="L15" s="2149"/>
    </row>
    <row r="16" spans="1:12" s="25" customFormat="1" ht="13.5" thickBot="1">
      <c r="A16" s="2147"/>
      <c r="B16" s="2148"/>
      <c r="C16" s="30" t="s">
        <v>26</v>
      </c>
      <c r="D16" s="31"/>
      <c r="E16" s="32"/>
      <c r="F16" s="32"/>
      <c r="G16" s="32"/>
      <c r="H16" s="32"/>
      <c r="I16" s="33"/>
      <c r="J16" s="32"/>
      <c r="K16" s="32"/>
      <c r="L16" s="2149"/>
    </row>
    <row r="17" spans="1:12" ht="13.5" thickBot="1">
      <c r="A17" s="2147"/>
      <c r="B17" s="2148"/>
      <c r="C17" s="30" t="s">
        <v>27</v>
      </c>
      <c r="D17" s="31"/>
      <c r="E17" s="32"/>
      <c r="F17" s="32"/>
      <c r="G17" s="32"/>
      <c r="H17" s="32"/>
      <c r="I17" s="33"/>
      <c r="J17" s="32"/>
      <c r="K17" s="32"/>
      <c r="L17" s="2149"/>
    </row>
    <row r="18" spans="1:12" s="25" customFormat="1" ht="13.5" thickBot="1">
      <c r="A18" s="2147"/>
      <c r="B18" s="2148"/>
      <c r="C18" s="39" t="s">
        <v>28</v>
      </c>
      <c r="D18" s="40"/>
      <c r="E18" s="28">
        <f>SUM(E19,E21,E22)</f>
        <v>0</v>
      </c>
      <c r="F18" s="28">
        <f>SUM(F19,F21,F22)</f>
        <v>0</v>
      </c>
      <c r="G18" s="28"/>
      <c r="H18" s="28">
        <f>SUM(H19,H21,H22)</f>
        <v>0</v>
      </c>
      <c r="I18" s="29"/>
      <c r="J18" s="28">
        <f>SUM(J19,J21,J22)</f>
        <v>0</v>
      </c>
      <c r="K18" s="28">
        <f>SUM(K19,K21,K22)</f>
        <v>0</v>
      </c>
      <c r="L18" s="2149"/>
    </row>
    <row r="19" spans="1:12" s="25" customFormat="1" ht="13.5" customHeight="1" thickBot="1">
      <c r="A19" s="2147"/>
      <c r="B19" s="2148"/>
      <c r="C19" s="30" t="s">
        <v>29</v>
      </c>
      <c r="D19" s="31"/>
      <c r="E19" s="32"/>
      <c r="F19" s="32"/>
      <c r="G19" s="32"/>
      <c r="H19" s="32"/>
      <c r="I19" s="33"/>
      <c r="J19" s="32"/>
      <c r="K19" s="32"/>
      <c r="L19" s="2149"/>
    </row>
    <row r="20" spans="1:12" ht="23.25" thickBot="1">
      <c r="A20" s="2147"/>
      <c r="B20" s="2148"/>
      <c r="C20" s="41" t="s">
        <v>30</v>
      </c>
      <c r="D20" s="38"/>
      <c r="E20" s="32"/>
      <c r="F20" s="32"/>
      <c r="G20" s="32"/>
      <c r="H20" s="32"/>
      <c r="I20" s="33"/>
      <c r="J20" s="32"/>
      <c r="K20" s="32"/>
      <c r="L20" s="2149"/>
    </row>
    <row r="21" spans="1:12" ht="13.5" thickBot="1">
      <c r="A21" s="2147"/>
      <c r="B21" s="2148"/>
      <c r="C21" s="30" t="s">
        <v>31</v>
      </c>
      <c r="D21" s="31"/>
      <c r="E21" s="32"/>
      <c r="F21" s="32"/>
      <c r="G21" s="32"/>
      <c r="H21" s="32"/>
      <c r="I21" s="33"/>
      <c r="J21" s="32"/>
      <c r="K21" s="32"/>
      <c r="L21" s="2149"/>
    </row>
    <row r="22" spans="1:12" ht="13.5" thickBot="1">
      <c r="A22" s="2147"/>
      <c r="B22" s="2148"/>
      <c r="C22" s="42" t="s">
        <v>32</v>
      </c>
      <c r="D22" s="43"/>
      <c r="E22" s="44"/>
      <c r="F22" s="44"/>
      <c r="G22" s="44"/>
      <c r="H22" s="44"/>
      <c r="I22" s="45"/>
      <c r="J22" s="44"/>
      <c r="K22" s="46"/>
      <c r="L22" s="2149"/>
    </row>
    <row r="23" spans="1:12" s="51" customFormat="1" ht="21.75" customHeight="1" thickBot="1">
      <c r="A23" s="2144" t="s">
        <v>33</v>
      </c>
      <c r="B23" s="2144"/>
      <c r="C23" s="2144"/>
      <c r="D23" s="47"/>
      <c r="E23" s="48">
        <f>E5</f>
        <v>8144</v>
      </c>
      <c r="F23" s="48">
        <f>F5</f>
        <v>8144</v>
      </c>
      <c r="G23" s="48"/>
      <c r="H23" s="48">
        <f>H5</f>
        <v>9366</v>
      </c>
      <c r="I23" s="49">
        <f>H23/E23</f>
        <v>1.150049115913556</v>
      </c>
      <c r="J23" s="48">
        <f>J5</f>
        <v>0</v>
      </c>
      <c r="K23" s="48">
        <f>K5</f>
        <v>9366</v>
      </c>
      <c r="L23" s="50"/>
    </row>
    <row r="129" spans="9:9">
      <c r="I129" s="250" t="e">
        <f>H129/E129</f>
        <v>#DIV/0!</v>
      </c>
    </row>
    <row r="130" spans="9:9">
      <c r="I130" s="2" t="e">
        <f>H130/E130</f>
        <v>#DIV/0!</v>
      </c>
    </row>
  </sheetData>
  <mergeCells count="7">
    <mergeCell ref="A23:C23"/>
    <mergeCell ref="A1:L1"/>
    <mergeCell ref="B4:C4"/>
    <mergeCell ref="A6:A22"/>
    <mergeCell ref="B6:B22"/>
    <mergeCell ref="L6:L22"/>
    <mergeCell ref="C10:C12"/>
  </mergeCells>
  <printOptions horizontalCentered="1"/>
  <pageMargins left="0.19685039370078741" right="0.19685039370078741" top="0.39370078740157483" bottom="0.19685039370078741" header="0.39370078740157483" footer="0.19685039370078741"/>
  <pageSetup paperSize="9" scale="80" fitToWidth="0" fitToHeight="0" orientation="landscape" horizontalDpi="4294967295" verticalDpi="4294967295" r:id="rId1"/>
  <headerFooter alignWithMargins="0"/>
  <colBreaks count="1" manualBreakCount="1">
    <brk id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FF"/>
    <pageSetUpPr fitToPage="1"/>
  </sheetPr>
  <dimension ref="A1:U615"/>
  <sheetViews>
    <sheetView view="pageBreakPreview" topLeftCell="A280" zoomScale="75" zoomScaleNormal="100" zoomScaleSheetLayoutView="75" workbookViewId="0">
      <selection activeCell="P10" sqref="P10"/>
    </sheetView>
  </sheetViews>
  <sheetFormatPr defaultRowHeight="12.75"/>
  <cols>
    <col min="1" max="1" width="7" style="251" customWidth="1"/>
    <col min="2" max="2" width="9.140625" style="251" customWidth="1"/>
    <col min="3" max="3" width="41.85546875" style="251" customWidth="1"/>
    <col min="4" max="4" width="5.5703125" style="251" customWidth="1"/>
    <col min="5" max="5" width="11.42578125" style="178" customWidth="1"/>
    <col min="6" max="6" width="11.28515625" style="178" customWidth="1"/>
    <col min="7" max="7" width="10" style="178" hidden="1" customWidth="1"/>
    <col min="8" max="8" width="12.42578125" style="178" hidden="1" customWidth="1"/>
    <col min="9" max="9" width="9.7109375" style="757" hidden="1" customWidth="1"/>
    <col min="10" max="10" width="15" style="251" hidden="1" customWidth="1"/>
    <col min="11" max="11" width="11.28515625" style="251" customWidth="1"/>
    <col min="12" max="12" width="11.28515625" style="251" hidden="1" customWidth="1"/>
    <col min="13" max="13" width="90.42578125" style="178" customWidth="1"/>
    <col min="14" max="14" width="1.140625" style="257" hidden="1" customWidth="1"/>
    <col min="15" max="223" width="9.140625" style="257"/>
    <col min="224" max="224" width="4.28515625" style="257" bestFit="1" customWidth="1"/>
    <col min="225" max="225" width="6.85546875" style="257" bestFit="1" customWidth="1"/>
    <col min="226" max="226" width="11" style="257" customWidth="1"/>
    <col min="227" max="227" width="11.140625" style="257" bestFit="1" customWidth="1"/>
    <col min="228" max="228" width="10.85546875" style="257" customWidth="1"/>
    <col min="229" max="229" width="11.5703125" style="257" customWidth="1"/>
    <col min="230" max="230" width="11.140625" style="257" bestFit="1" customWidth="1"/>
    <col min="231" max="231" width="11" style="257" customWidth="1"/>
    <col min="232" max="232" width="10.42578125" style="257" customWidth="1"/>
    <col min="233" max="233" width="11.28515625" style="257" customWidth="1"/>
    <col min="234" max="235" width="9.140625" style="257" bestFit="1" customWidth="1"/>
    <col min="236" max="237" width="11.140625" style="257" bestFit="1" customWidth="1"/>
    <col min="238" max="238" width="11.5703125" style="257" bestFit="1" customWidth="1"/>
    <col min="239" max="239" width="9.140625" style="257" bestFit="1" customWidth="1"/>
    <col min="240" max="240" width="10.28515625" style="257" customWidth="1"/>
    <col min="241" max="479" width="9.140625" style="257"/>
    <col min="480" max="480" width="4.28515625" style="257" bestFit="1" customWidth="1"/>
    <col min="481" max="481" width="6.85546875" style="257" bestFit="1" customWidth="1"/>
    <col min="482" max="482" width="11" style="257" customWidth="1"/>
    <col min="483" max="483" width="11.140625" style="257" bestFit="1" customWidth="1"/>
    <col min="484" max="484" width="10.85546875" style="257" customWidth="1"/>
    <col min="485" max="485" width="11.5703125" style="257" customWidth="1"/>
    <col min="486" max="486" width="11.140625" style="257" bestFit="1" customWidth="1"/>
    <col min="487" max="487" width="11" style="257" customWidth="1"/>
    <col min="488" max="488" width="10.42578125" style="257" customWidth="1"/>
    <col min="489" max="489" width="11.28515625" style="257" customWidth="1"/>
    <col min="490" max="491" width="9.140625" style="257" bestFit="1" customWidth="1"/>
    <col min="492" max="493" width="11.140625" style="257" bestFit="1" customWidth="1"/>
    <col min="494" max="494" width="11.5703125" style="257" bestFit="1" customWidth="1"/>
    <col min="495" max="495" width="9.140625" style="257" bestFit="1" customWidth="1"/>
    <col min="496" max="496" width="10.28515625" style="257" customWidth="1"/>
    <col min="497" max="735" width="9.140625" style="257"/>
    <col min="736" max="736" width="4.28515625" style="257" bestFit="1" customWidth="1"/>
    <col min="737" max="737" width="6.85546875" style="257" bestFit="1" customWidth="1"/>
    <col min="738" max="738" width="11" style="257" customWidth="1"/>
    <col min="739" max="739" width="11.140625" style="257" bestFit="1" customWidth="1"/>
    <col min="740" max="740" width="10.85546875" style="257" customWidth="1"/>
    <col min="741" max="741" width="11.5703125" style="257" customWidth="1"/>
    <col min="742" max="742" width="11.140625" style="257" bestFit="1" customWidth="1"/>
    <col min="743" max="743" width="11" style="257" customWidth="1"/>
    <col min="744" max="744" width="10.42578125" style="257" customWidth="1"/>
    <col min="745" max="745" width="11.28515625" style="257" customWidth="1"/>
    <col min="746" max="747" width="9.140625" style="257" bestFit="1" customWidth="1"/>
    <col min="748" max="749" width="11.140625" style="257" bestFit="1" customWidth="1"/>
    <col min="750" max="750" width="11.5703125" style="257" bestFit="1" customWidth="1"/>
    <col min="751" max="751" width="9.140625" style="257" bestFit="1" customWidth="1"/>
    <col min="752" max="752" width="10.28515625" style="257" customWidth="1"/>
    <col min="753" max="991" width="9.140625" style="257"/>
    <col min="992" max="992" width="4.28515625" style="257" bestFit="1" customWidth="1"/>
    <col min="993" max="993" width="6.85546875" style="257" bestFit="1" customWidth="1"/>
    <col min="994" max="994" width="11" style="257" customWidth="1"/>
    <col min="995" max="995" width="11.140625" style="257" bestFit="1" customWidth="1"/>
    <col min="996" max="996" width="10.85546875" style="257" customWidth="1"/>
    <col min="997" max="997" width="11.5703125" style="257" customWidth="1"/>
    <col min="998" max="998" width="11.140625" style="257" bestFit="1" customWidth="1"/>
    <col min="999" max="999" width="11" style="257" customWidth="1"/>
    <col min="1000" max="1000" width="10.42578125" style="257" customWidth="1"/>
    <col min="1001" max="1001" width="11.28515625" style="257" customWidth="1"/>
    <col min="1002" max="1003" width="9.140625" style="257" bestFit="1" customWidth="1"/>
    <col min="1004" max="1005" width="11.140625" style="257" bestFit="1" customWidth="1"/>
    <col min="1006" max="1006" width="11.5703125" style="257" bestFit="1" customWidth="1"/>
    <col min="1007" max="1007" width="9.140625" style="257" bestFit="1" customWidth="1"/>
    <col min="1008" max="1008" width="10.28515625" style="257" customWidth="1"/>
    <col min="1009" max="1247" width="9.140625" style="257"/>
    <col min="1248" max="1248" width="4.28515625" style="257" bestFit="1" customWidth="1"/>
    <col min="1249" max="1249" width="6.85546875" style="257" bestFit="1" customWidth="1"/>
    <col min="1250" max="1250" width="11" style="257" customWidth="1"/>
    <col min="1251" max="1251" width="11.140625" style="257" bestFit="1" customWidth="1"/>
    <col min="1252" max="1252" width="10.85546875" style="257" customWidth="1"/>
    <col min="1253" max="1253" width="11.5703125" style="257" customWidth="1"/>
    <col min="1254" max="1254" width="11.140625" style="257" bestFit="1" customWidth="1"/>
    <col min="1255" max="1255" width="11" style="257" customWidth="1"/>
    <col min="1256" max="1256" width="10.42578125" style="257" customWidth="1"/>
    <col min="1257" max="1257" width="11.28515625" style="257" customWidth="1"/>
    <col min="1258" max="1259" width="9.140625" style="257" bestFit="1" customWidth="1"/>
    <col min="1260" max="1261" width="11.140625" style="257" bestFit="1" customWidth="1"/>
    <col min="1262" max="1262" width="11.5703125" style="257" bestFit="1" customWidth="1"/>
    <col min="1263" max="1263" width="9.140625" style="257" bestFit="1" customWidth="1"/>
    <col min="1264" max="1264" width="10.28515625" style="257" customWidth="1"/>
    <col min="1265" max="1503" width="9.140625" style="257"/>
    <col min="1504" max="1504" width="4.28515625" style="257" bestFit="1" customWidth="1"/>
    <col min="1505" max="1505" width="6.85546875" style="257" bestFit="1" customWidth="1"/>
    <col min="1506" max="1506" width="11" style="257" customWidth="1"/>
    <col min="1507" max="1507" width="11.140625" style="257" bestFit="1" customWidth="1"/>
    <col min="1508" max="1508" width="10.85546875" style="257" customWidth="1"/>
    <col min="1509" max="1509" width="11.5703125" style="257" customWidth="1"/>
    <col min="1510" max="1510" width="11.140625" style="257" bestFit="1" customWidth="1"/>
    <col min="1511" max="1511" width="11" style="257" customWidth="1"/>
    <col min="1512" max="1512" width="10.42578125" style="257" customWidth="1"/>
    <col min="1513" max="1513" width="11.28515625" style="257" customWidth="1"/>
    <col min="1514" max="1515" width="9.140625" style="257" bestFit="1" customWidth="1"/>
    <col min="1516" max="1517" width="11.140625" style="257" bestFit="1" customWidth="1"/>
    <col min="1518" max="1518" width="11.5703125" style="257" bestFit="1" customWidth="1"/>
    <col min="1519" max="1519" width="9.140625" style="257" bestFit="1" customWidth="1"/>
    <col min="1520" max="1520" width="10.28515625" style="257" customWidth="1"/>
    <col min="1521" max="1759" width="9.140625" style="257"/>
    <col min="1760" max="1760" width="4.28515625" style="257" bestFit="1" customWidth="1"/>
    <col min="1761" max="1761" width="6.85546875" style="257" bestFit="1" customWidth="1"/>
    <col min="1762" max="1762" width="11" style="257" customWidth="1"/>
    <col min="1763" max="1763" width="11.140625" style="257" bestFit="1" customWidth="1"/>
    <col min="1764" max="1764" width="10.85546875" style="257" customWidth="1"/>
    <col min="1765" max="1765" width="11.5703125" style="257" customWidth="1"/>
    <col min="1766" max="1766" width="11.140625" style="257" bestFit="1" customWidth="1"/>
    <col min="1767" max="1767" width="11" style="257" customWidth="1"/>
    <col min="1768" max="1768" width="10.42578125" style="257" customWidth="1"/>
    <col min="1769" max="1769" width="11.28515625" style="257" customWidth="1"/>
    <col min="1770" max="1771" width="9.140625" style="257" bestFit="1" customWidth="1"/>
    <col min="1772" max="1773" width="11.140625" style="257" bestFit="1" customWidth="1"/>
    <col min="1774" max="1774" width="11.5703125" style="257" bestFit="1" customWidth="1"/>
    <col min="1775" max="1775" width="9.140625" style="257" bestFit="1" customWidth="1"/>
    <col min="1776" max="1776" width="10.28515625" style="257" customWidth="1"/>
    <col min="1777" max="2015" width="9.140625" style="257"/>
    <col min="2016" max="2016" width="4.28515625" style="257" bestFit="1" customWidth="1"/>
    <col min="2017" max="2017" width="6.85546875" style="257" bestFit="1" customWidth="1"/>
    <col min="2018" max="2018" width="11" style="257" customWidth="1"/>
    <col min="2019" max="2019" width="11.140625" style="257" bestFit="1" customWidth="1"/>
    <col min="2020" max="2020" width="10.85546875" style="257" customWidth="1"/>
    <col min="2021" max="2021" width="11.5703125" style="257" customWidth="1"/>
    <col min="2022" max="2022" width="11.140625" style="257" bestFit="1" customWidth="1"/>
    <col min="2023" max="2023" width="11" style="257" customWidth="1"/>
    <col min="2024" max="2024" width="10.42578125" style="257" customWidth="1"/>
    <col min="2025" max="2025" width="11.28515625" style="257" customWidth="1"/>
    <col min="2026" max="2027" width="9.140625" style="257" bestFit="1" customWidth="1"/>
    <col min="2028" max="2029" width="11.140625" style="257" bestFit="1" customWidth="1"/>
    <col min="2030" max="2030" width="11.5703125" style="257" bestFit="1" customWidth="1"/>
    <col min="2031" max="2031" width="9.140625" style="257" bestFit="1" customWidth="1"/>
    <col min="2032" max="2032" width="10.28515625" style="257" customWidth="1"/>
    <col min="2033" max="2271" width="9.140625" style="257"/>
    <col min="2272" max="2272" width="4.28515625" style="257" bestFit="1" customWidth="1"/>
    <col min="2273" max="2273" width="6.85546875" style="257" bestFit="1" customWidth="1"/>
    <col min="2274" max="2274" width="11" style="257" customWidth="1"/>
    <col min="2275" max="2275" width="11.140625" style="257" bestFit="1" customWidth="1"/>
    <col min="2276" max="2276" width="10.85546875" style="257" customWidth="1"/>
    <col min="2277" max="2277" width="11.5703125" style="257" customWidth="1"/>
    <col min="2278" max="2278" width="11.140625" style="257" bestFit="1" customWidth="1"/>
    <col min="2279" max="2279" width="11" style="257" customWidth="1"/>
    <col min="2280" max="2280" width="10.42578125" style="257" customWidth="1"/>
    <col min="2281" max="2281" width="11.28515625" style="257" customWidth="1"/>
    <col min="2282" max="2283" width="9.140625" style="257" bestFit="1" customWidth="1"/>
    <col min="2284" max="2285" width="11.140625" style="257" bestFit="1" customWidth="1"/>
    <col min="2286" max="2286" width="11.5703125" style="257" bestFit="1" customWidth="1"/>
    <col min="2287" max="2287" width="9.140625" style="257" bestFit="1" customWidth="1"/>
    <col min="2288" max="2288" width="10.28515625" style="257" customWidth="1"/>
    <col min="2289" max="2527" width="9.140625" style="257"/>
    <col min="2528" max="2528" width="4.28515625" style="257" bestFit="1" customWidth="1"/>
    <col min="2529" max="2529" width="6.85546875" style="257" bestFit="1" customWidth="1"/>
    <col min="2530" max="2530" width="11" style="257" customWidth="1"/>
    <col min="2531" max="2531" width="11.140625" style="257" bestFit="1" customWidth="1"/>
    <col min="2532" max="2532" width="10.85546875" style="257" customWidth="1"/>
    <col min="2533" max="2533" width="11.5703125" style="257" customWidth="1"/>
    <col min="2534" max="2534" width="11.140625" style="257" bestFit="1" customWidth="1"/>
    <col min="2535" max="2535" width="11" style="257" customWidth="1"/>
    <col min="2536" max="2536" width="10.42578125" style="257" customWidth="1"/>
    <col min="2537" max="2537" width="11.28515625" style="257" customWidth="1"/>
    <col min="2538" max="2539" width="9.140625" style="257" bestFit="1" customWidth="1"/>
    <col min="2540" max="2541" width="11.140625" style="257" bestFit="1" customWidth="1"/>
    <col min="2542" max="2542" width="11.5703125" style="257" bestFit="1" customWidth="1"/>
    <col min="2543" max="2543" width="9.140625" style="257" bestFit="1" customWidth="1"/>
    <col min="2544" max="2544" width="10.28515625" style="257" customWidth="1"/>
    <col min="2545" max="2783" width="9.140625" style="257"/>
    <col min="2784" max="2784" width="4.28515625" style="257" bestFit="1" customWidth="1"/>
    <col min="2785" max="2785" width="6.85546875" style="257" bestFit="1" customWidth="1"/>
    <col min="2786" max="2786" width="11" style="257" customWidth="1"/>
    <col min="2787" max="2787" width="11.140625" style="257" bestFit="1" customWidth="1"/>
    <col min="2788" max="2788" width="10.85546875" style="257" customWidth="1"/>
    <col min="2789" max="2789" width="11.5703125" style="257" customWidth="1"/>
    <col min="2790" max="2790" width="11.140625" style="257" bestFit="1" customWidth="1"/>
    <col min="2791" max="2791" width="11" style="257" customWidth="1"/>
    <col min="2792" max="2792" width="10.42578125" style="257" customWidth="1"/>
    <col min="2793" max="2793" width="11.28515625" style="257" customWidth="1"/>
    <col min="2794" max="2795" width="9.140625" style="257" bestFit="1" customWidth="1"/>
    <col min="2796" max="2797" width="11.140625" style="257" bestFit="1" customWidth="1"/>
    <col min="2798" max="2798" width="11.5703125" style="257" bestFit="1" customWidth="1"/>
    <col min="2799" max="2799" width="9.140625" style="257" bestFit="1" customWidth="1"/>
    <col min="2800" max="2800" width="10.28515625" style="257" customWidth="1"/>
    <col min="2801" max="3039" width="9.140625" style="257"/>
    <col min="3040" max="3040" width="4.28515625" style="257" bestFit="1" customWidth="1"/>
    <col min="3041" max="3041" width="6.85546875" style="257" bestFit="1" customWidth="1"/>
    <col min="3042" max="3042" width="11" style="257" customWidth="1"/>
    <col min="3043" max="3043" width="11.140625" style="257" bestFit="1" customWidth="1"/>
    <col min="3044" max="3044" width="10.85546875" style="257" customWidth="1"/>
    <col min="3045" max="3045" width="11.5703125" style="257" customWidth="1"/>
    <col min="3046" max="3046" width="11.140625" style="257" bestFit="1" customWidth="1"/>
    <col min="3047" max="3047" width="11" style="257" customWidth="1"/>
    <col min="3048" max="3048" width="10.42578125" style="257" customWidth="1"/>
    <col min="3049" max="3049" width="11.28515625" style="257" customWidth="1"/>
    <col min="3050" max="3051" width="9.140625" style="257" bestFit="1" customWidth="1"/>
    <col min="3052" max="3053" width="11.140625" style="257" bestFit="1" customWidth="1"/>
    <col min="3054" max="3054" width="11.5703125" style="257" bestFit="1" customWidth="1"/>
    <col min="3055" max="3055" width="9.140625" style="257" bestFit="1" customWidth="1"/>
    <col min="3056" max="3056" width="10.28515625" style="257" customWidth="1"/>
    <col min="3057" max="3295" width="9.140625" style="257"/>
    <col min="3296" max="3296" width="4.28515625" style="257" bestFit="1" customWidth="1"/>
    <col min="3297" max="3297" width="6.85546875" style="257" bestFit="1" customWidth="1"/>
    <col min="3298" max="3298" width="11" style="257" customWidth="1"/>
    <col min="3299" max="3299" width="11.140625" style="257" bestFit="1" customWidth="1"/>
    <col min="3300" max="3300" width="10.85546875" style="257" customWidth="1"/>
    <col min="3301" max="3301" width="11.5703125" style="257" customWidth="1"/>
    <col min="3302" max="3302" width="11.140625" style="257" bestFit="1" customWidth="1"/>
    <col min="3303" max="3303" width="11" style="257" customWidth="1"/>
    <col min="3304" max="3304" width="10.42578125" style="257" customWidth="1"/>
    <col min="3305" max="3305" width="11.28515625" style="257" customWidth="1"/>
    <col min="3306" max="3307" width="9.140625" style="257" bestFit="1" customWidth="1"/>
    <col min="3308" max="3309" width="11.140625" style="257" bestFit="1" customWidth="1"/>
    <col min="3310" max="3310" width="11.5703125" style="257" bestFit="1" customWidth="1"/>
    <col min="3311" max="3311" width="9.140625" style="257" bestFit="1" customWidth="1"/>
    <col min="3312" max="3312" width="10.28515625" style="257" customWidth="1"/>
    <col min="3313" max="3551" width="9.140625" style="257"/>
    <col min="3552" max="3552" width="4.28515625" style="257" bestFit="1" customWidth="1"/>
    <col min="3553" max="3553" width="6.85546875" style="257" bestFit="1" customWidth="1"/>
    <col min="3554" max="3554" width="11" style="257" customWidth="1"/>
    <col min="3555" max="3555" width="11.140625" style="257" bestFit="1" customWidth="1"/>
    <col min="3556" max="3556" width="10.85546875" style="257" customWidth="1"/>
    <col min="3557" max="3557" width="11.5703125" style="257" customWidth="1"/>
    <col min="3558" max="3558" width="11.140625" style="257" bestFit="1" customWidth="1"/>
    <col min="3559" max="3559" width="11" style="257" customWidth="1"/>
    <col min="3560" max="3560" width="10.42578125" style="257" customWidth="1"/>
    <col min="3561" max="3561" width="11.28515625" style="257" customWidth="1"/>
    <col min="3562" max="3563" width="9.140625" style="257" bestFit="1" customWidth="1"/>
    <col min="3564" max="3565" width="11.140625" style="257" bestFit="1" customWidth="1"/>
    <col min="3566" max="3566" width="11.5703125" style="257" bestFit="1" customWidth="1"/>
    <col min="3567" max="3567" width="9.140625" style="257" bestFit="1" customWidth="1"/>
    <col min="3568" max="3568" width="10.28515625" style="257" customWidth="1"/>
    <col min="3569" max="3807" width="9.140625" style="257"/>
    <col min="3808" max="3808" width="4.28515625" style="257" bestFit="1" customWidth="1"/>
    <col min="3809" max="3809" width="6.85546875" style="257" bestFit="1" customWidth="1"/>
    <col min="3810" max="3810" width="11" style="257" customWidth="1"/>
    <col min="3811" max="3811" width="11.140625" style="257" bestFit="1" customWidth="1"/>
    <col min="3812" max="3812" width="10.85546875" style="257" customWidth="1"/>
    <col min="3813" max="3813" width="11.5703125" style="257" customWidth="1"/>
    <col min="3814" max="3814" width="11.140625" style="257" bestFit="1" customWidth="1"/>
    <col min="3815" max="3815" width="11" style="257" customWidth="1"/>
    <col min="3816" max="3816" width="10.42578125" style="257" customWidth="1"/>
    <col min="3817" max="3817" width="11.28515625" style="257" customWidth="1"/>
    <col min="3818" max="3819" width="9.140625" style="257" bestFit="1" customWidth="1"/>
    <col min="3820" max="3821" width="11.140625" style="257" bestFit="1" customWidth="1"/>
    <col min="3822" max="3822" width="11.5703125" style="257" bestFit="1" customWidth="1"/>
    <col min="3823" max="3823" width="9.140625" style="257" bestFit="1" customWidth="1"/>
    <col min="3824" max="3824" width="10.28515625" style="257" customWidth="1"/>
    <col min="3825" max="4063" width="9.140625" style="257"/>
    <col min="4064" max="4064" width="4.28515625" style="257" bestFit="1" customWidth="1"/>
    <col min="4065" max="4065" width="6.85546875" style="257" bestFit="1" customWidth="1"/>
    <col min="4066" max="4066" width="11" style="257" customWidth="1"/>
    <col min="4067" max="4067" width="11.140625" style="257" bestFit="1" customWidth="1"/>
    <col min="4068" max="4068" width="10.85546875" style="257" customWidth="1"/>
    <col min="4069" max="4069" width="11.5703125" style="257" customWidth="1"/>
    <col min="4070" max="4070" width="11.140625" style="257" bestFit="1" customWidth="1"/>
    <col min="4071" max="4071" width="11" style="257" customWidth="1"/>
    <col min="4072" max="4072" width="10.42578125" style="257" customWidth="1"/>
    <col min="4073" max="4073" width="11.28515625" style="257" customWidth="1"/>
    <col min="4074" max="4075" width="9.140625" style="257" bestFit="1" customWidth="1"/>
    <col min="4076" max="4077" width="11.140625" style="257" bestFit="1" customWidth="1"/>
    <col min="4078" max="4078" width="11.5703125" style="257" bestFit="1" customWidth="1"/>
    <col min="4079" max="4079" width="9.140625" style="257" bestFit="1" customWidth="1"/>
    <col min="4080" max="4080" width="10.28515625" style="257" customWidth="1"/>
    <col min="4081" max="4319" width="9.140625" style="257"/>
    <col min="4320" max="4320" width="4.28515625" style="257" bestFit="1" customWidth="1"/>
    <col min="4321" max="4321" width="6.85546875" style="257" bestFit="1" customWidth="1"/>
    <col min="4322" max="4322" width="11" style="257" customWidth="1"/>
    <col min="4323" max="4323" width="11.140625" style="257" bestFit="1" customWidth="1"/>
    <col min="4324" max="4324" width="10.85546875" style="257" customWidth="1"/>
    <col min="4325" max="4325" width="11.5703125" style="257" customWidth="1"/>
    <col min="4326" max="4326" width="11.140625" style="257" bestFit="1" customWidth="1"/>
    <col min="4327" max="4327" width="11" style="257" customWidth="1"/>
    <col min="4328" max="4328" width="10.42578125" style="257" customWidth="1"/>
    <col min="4329" max="4329" width="11.28515625" style="257" customWidth="1"/>
    <col min="4330" max="4331" width="9.140625" style="257" bestFit="1" customWidth="1"/>
    <col min="4332" max="4333" width="11.140625" style="257" bestFit="1" customWidth="1"/>
    <col min="4334" max="4334" width="11.5703125" style="257" bestFit="1" customWidth="1"/>
    <col min="4335" max="4335" width="9.140625" style="257" bestFit="1" customWidth="1"/>
    <col min="4336" max="4336" width="10.28515625" style="257" customWidth="1"/>
    <col min="4337" max="4575" width="9.140625" style="257"/>
    <col min="4576" max="4576" width="4.28515625" style="257" bestFit="1" customWidth="1"/>
    <col min="4577" max="4577" width="6.85546875" style="257" bestFit="1" customWidth="1"/>
    <col min="4578" max="4578" width="11" style="257" customWidth="1"/>
    <col min="4579" max="4579" width="11.140625" style="257" bestFit="1" customWidth="1"/>
    <col min="4580" max="4580" width="10.85546875" style="257" customWidth="1"/>
    <col min="4581" max="4581" width="11.5703125" style="257" customWidth="1"/>
    <col min="4582" max="4582" width="11.140625" style="257" bestFit="1" customWidth="1"/>
    <col min="4583" max="4583" width="11" style="257" customWidth="1"/>
    <col min="4584" max="4584" width="10.42578125" style="257" customWidth="1"/>
    <col min="4585" max="4585" width="11.28515625" style="257" customWidth="1"/>
    <col min="4586" max="4587" width="9.140625" style="257" bestFit="1" customWidth="1"/>
    <col min="4588" max="4589" width="11.140625" style="257" bestFit="1" customWidth="1"/>
    <col min="4590" max="4590" width="11.5703125" style="257" bestFit="1" customWidth="1"/>
    <col min="4591" max="4591" width="9.140625" style="257" bestFit="1" customWidth="1"/>
    <col min="4592" max="4592" width="10.28515625" style="257" customWidth="1"/>
    <col min="4593" max="4831" width="9.140625" style="257"/>
    <col min="4832" max="4832" width="4.28515625" style="257" bestFit="1" customWidth="1"/>
    <col min="4833" max="4833" width="6.85546875" style="257" bestFit="1" customWidth="1"/>
    <col min="4834" max="4834" width="11" style="257" customWidth="1"/>
    <col min="4835" max="4835" width="11.140625" style="257" bestFit="1" customWidth="1"/>
    <col min="4836" max="4836" width="10.85546875" style="257" customWidth="1"/>
    <col min="4837" max="4837" width="11.5703125" style="257" customWidth="1"/>
    <col min="4838" max="4838" width="11.140625" style="257" bestFit="1" customWidth="1"/>
    <col min="4839" max="4839" width="11" style="257" customWidth="1"/>
    <col min="4840" max="4840" width="10.42578125" style="257" customWidth="1"/>
    <col min="4841" max="4841" width="11.28515625" style="257" customWidth="1"/>
    <col min="4842" max="4843" width="9.140625" style="257" bestFit="1" customWidth="1"/>
    <col min="4844" max="4845" width="11.140625" style="257" bestFit="1" customWidth="1"/>
    <col min="4846" max="4846" width="11.5703125" style="257" bestFit="1" customWidth="1"/>
    <col min="4847" max="4847" width="9.140625" style="257" bestFit="1" customWidth="1"/>
    <col min="4848" max="4848" width="10.28515625" style="257" customWidth="1"/>
    <col min="4849" max="5087" width="9.140625" style="257"/>
    <col min="5088" max="5088" width="4.28515625" style="257" bestFit="1" customWidth="1"/>
    <col min="5089" max="5089" width="6.85546875" style="257" bestFit="1" customWidth="1"/>
    <col min="5090" max="5090" width="11" style="257" customWidth="1"/>
    <col min="5091" max="5091" width="11.140625" style="257" bestFit="1" customWidth="1"/>
    <col min="5092" max="5092" width="10.85546875" style="257" customWidth="1"/>
    <col min="5093" max="5093" width="11.5703125" style="257" customWidth="1"/>
    <col min="5094" max="5094" width="11.140625" style="257" bestFit="1" customWidth="1"/>
    <col min="5095" max="5095" width="11" style="257" customWidth="1"/>
    <col min="5096" max="5096" width="10.42578125" style="257" customWidth="1"/>
    <col min="5097" max="5097" width="11.28515625" style="257" customWidth="1"/>
    <col min="5098" max="5099" width="9.140625" style="257" bestFit="1" customWidth="1"/>
    <col min="5100" max="5101" width="11.140625" style="257" bestFit="1" customWidth="1"/>
    <col min="5102" max="5102" width="11.5703125" style="257" bestFit="1" customWidth="1"/>
    <col min="5103" max="5103" width="9.140625" style="257" bestFit="1" customWidth="1"/>
    <col min="5104" max="5104" width="10.28515625" style="257" customWidth="1"/>
    <col min="5105" max="5343" width="9.140625" style="257"/>
    <col min="5344" max="5344" width="4.28515625" style="257" bestFit="1" customWidth="1"/>
    <col min="5345" max="5345" width="6.85546875" style="257" bestFit="1" customWidth="1"/>
    <col min="5346" max="5346" width="11" style="257" customWidth="1"/>
    <col min="5347" max="5347" width="11.140625" style="257" bestFit="1" customWidth="1"/>
    <col min="5348" max="5348" width="10.85546875" style="257" customWidth="1"/>
    <col min="5349" max="5349" width="11.5703125" style="257" customWidth="1"/>
    <col min="5350" max="5350" width="11.140625" style="257" bestFit="1" customWidth="1"/>
    <col min="5351" max="5351" width="11" style="257" customWidth="1"/>
    <col min="5352" max="5352" width="10.42578125" style="257" customWidth="1"/>
    <col min="5353" max="5353" width="11.28515625" style="257" customWidth="1"/>
    <col min="5354" max="5355" width="9.140625" style="257" bestFit="1" customWidth="1"/>
    <col min="5356" max="5357" width="11.140625" style="257" bestFit="1" customWidth="1"/>
    <col min="5358" max="5358" width="11.5703125" style="257" bestFit="1" customWidth="1"/>
    <col min="5359" max="5359" width="9.140625" style="257" bestFit="1" customWidth="1"/>
    <col min="5360" max="5360" width="10.28515625" style="257" customWidth="1"/>
    <col min="5361" max="5599" width="9.140625" style="257"/>
    <col min="5600" max="5600" width="4.28515625" style="257" bestFit="1" customWidth="1"/>
    <col min="5601" max="5601" width="6.85546875" style="257" bestFit="1" customWidth="1"/>
    <col min="5602" max="5602" width="11" style="257" customWidth="1"/>
    <col min="5603" max="5603" width="11.140625" style="257" bestFit="1" customWidth="1"/>
    <col min="5604" max="5604" width="10.85546875" style="257" customWidth="1"/>
    <col min="5605" max="5605" width="11.5703125" style="257" customWidth="1"/>
    <col min="5606" max="5606" width="11.140625" style="257" bestFit="1" customWidth="1"/>
    <col min="5607" max="5607" width="11" style="257" customWidth="1"/>
    <col min="5608" max="5608" width="10.42578125" style="257" customWidth="1"/>
    <col min="5609" max="5609" width="11.28515625" style="257" customWidth="1"/>
    <col min="5610" max="5611" width="9.140625" style="257" bestFit="1" customWidth="1"/>
    <col min="5612" max="5613" width="11.140625" style="257" bestFit="1" customWidth="1"/>
    <col min="5614" max="5614" width="11.5703125" style="257" bestFit="1" customWidth="1"/>
    <col min="5615" max="5615" width="9.140625" style="257" bestFit="1" customWidth="1"/>
    <col min="5616" max="5616" width="10.28515625" style="257" customWidth="1"/>
    <col min="5617" max="5855" width="9.140625" style="257"/>
    <col min="5856" max="5856" width="4.28515625" style="257" bestFit="1" customWidth="1"/>
    <col min="5857" max="5857" width="6.85546875" style="257" bestFit="1" customWidth="1"/>
    <col min="5858" max="5858" width="11" style="257" customWidth="1"/>
    <col min="5859" max="5859" width="11.140625" style="257" bestFit="1" customWidth="1"/>
    <col min="5860" max="5860" width="10.85546875" style="257" customWidth="1"/>
    <col min="5861" max="5861" width="11.5703125" style="257" customWidth="1"/>
    <col min="5862" max="5862" width="11.140625" style="257" bestFit="1" customWidth="1"/>
    <col min="5863" max="5863" width="11" style="257" customWidth="1"/>
    <col min="5864" max="5864" width="10.42578125" style="257" customWidth="1"/>
    <col min="5865" max="5865" width="11.28515625" style="257" customWidth="1"/>
    <col min="5866" max="5867" width="9.140625" style="257" bestFit="1" customWidth="1"/>
    <col min="5868" max="5869" width="11.140625" style="257" bestFit="1" customWidth="1"/>
    <col min="5870" max="5870" width="11.5703125" style="257" bestFit="1" customWidth="1"/>
    <col min="5871" max="5871" width="9.140625" style="257" bestFit="1" customWidth="1"/>
    <col min="5872" max="5872" width="10.28515625" style="257" customWidth="1"/>
    <col min="5873" max="6111" width="9.140625" style="257"/>
    <col min="6112" max="6112" width="4.28515625" style="257" bestFit="1" customWidth="1"/>
    <col min="6113" max="6113" width="6.85546875" style="257" bestFit="1" customWidth="1"/>
    <col min="6114" max="6114" width="11" style="257" customWidth="1"/>
    <col min="6115" max="6115" width="11.140625" style="257" bestFit="1" customWidth="1"/>
    <col min="6116" max="6116" width="10.85546875" style="257" customWidth="1"/>
    <col min="6117" max="6117" width="11.5703125" style="257" customWidth="1"/>
    <col min="6118" max="6118" width="11.140625" style="257" bestFit="1" customWidth="1"/>
    <col min="6119" max="6119" width="11" style="257" customWidth="1"/>
    <col min="6120" max="6120" width="10.42578125" style="257" customWidth="1"/>
    <col min="6121" max="6121" width="11.28515625" style="257" customWidth="1"/>
    <col min="6122" max="6123" width="9.140625" style="257" bestFit="1" customWidth="1"/>
    <col min="6124" max="6125" width="11.140625" style="257" bestFit="1" customWidth="1"/>
    <col min="6126" max="6126" width="11.5703125" style="257" bestFit="1" customWidth="1"/>
    <col min="6127" max="6127" width="9.140625" style="257" bestFit="1" customWidth="1"/>
    <col min="6128" max="6128" width="10.28515625" style="257" customWidth="1"/>
    <col min="6129" max="6367" width="9.140625" style="257"/>
    <col min="6368" max="6368" width="4.28515625" style="257" bestFit="1" customWidth="1"/>
    <col min="6369" max="6369" width="6.85546875" style="257" bestFit="1" customWidth="1"/>
    <col min="6370" max="6370" width="11" style="257" customWidth="1"/>
    <col min="6371" max="6371" width="11.140625" style="257" bestFit="1" customWidth="1"/>
    <col min="6372" max="6372" width="10.85546875" style="257" customWidth="1"/>
    <col min="6373" max="6373" width="11.5703125" style="257" customWidth="1"/>
    <col min="6374" max="6374" width="11.140625" style="257" bestFit="1" customWidth="1"/>
    <col min="6375" max="6375" width="11" style="257" customWidth="1"/>
    <col min="6376" max="6376" width="10.42578125" style="257" customWidth="1"/>
    <col min="6377" max="6377" width="11.28515625" style="257" customWidth="1"/>
    <col min="6378" max="6379" width="9.140625" style="257" bestFit="1" customWidth="1"/>
    <col min="6380" max="6381" width="11.140625" style="257" bestFit="1" customWidth="1"/>
    <col min="6382" max="6382" width="11.5703125" style="257" bestFit="1" customWidth="1"/>
    <col min="6383" max="6383" width="9.140625" style="257" bestFit="1" customWidth="1"/>
    <col min="6384" max="6384" width="10.28515625" style="257" customWidth="1"/>
    <col min="6385" max="6623" width="9.140625" style="257"/>
    <col min="6624" max="6624" width="4.28515625" style="257" bestFit="1" customWidth="1"/>
    <col min="6625" max="6625" width="6.85546875" style="257" bestFit="1" customWidth="1"/>
    <col min="6626" max="6626" width="11" style="257" customWidth="1"/>
    <col min="6627" max="6627" width="11.140625" style="257" bestFit="1" customWidth="1"/>
    <col min="6628" max="6628" width="10.85546875" style="257" customWidth="1"/>
    <col min="6629" max="6629" width="11.5703125" style="257" customWidth="1"/>
    <col min="6630" max="6630" width="11.140625" style="257" bestFit="1" customWidth="1"/>
    <col min="6631" max="6631" width="11" style="257" customWidth="1"/>
    <col min="6632" max="6632" width="10.42578125" style="257" customWidth="1"/>
    <col min="6633" max="6633" width="11.28515625" style="257" customWidth="1"/>
    <col min="6634" max="6635" width="9.140625" style="257" bestFit="1" customWidth="1"/>
    <col min="6636" max="6637" width="11.140625" style="257" bestFit="1" customWidth="1"/>
    <col min="6638" max="6638" width="11.5703125" style="257" bestFit="1" customWidth="1"/>
    <col min="6639" max="6639" width="9.140625" style="257" bestFit="1" customWidth="1"/>
    <col min="6640" max="6640" width="10.28515625" style="257" customWidth="1"/>
    <col min="6641" max="6879" width="9.140625" style="257"/>
    <col min="6880" max="6880" width="4.28515625" style="257" bestFit="1" customWidth="1"/>
    <col min="6881" max="6881" width="6.85546875" style="257" bestFit="1" customWidth="1"/>
    <col min="6882" max="6882" width="11" style="257" customWidth="1"/>
    <col min="6883" max="6883" width="11.140625" style="257" bestFit="1" customWidth="1"/>
    <col min="6884" max="6884" width="10.85546875" style="257" customWidth="1"/>
    <col min="6885" max="6885" width="11.5703125" style="257" customWidth="1"/>
    <col min="6886" max="6886" width="11.140625" style="257" bestFit="1" customWidth="1"/>
    <col min="6887" max="6887" width="11" style="257" customWidth="1"/>
    <col min="6888" max="6888" width="10.42578125" style="257" customWidth="1"/>
    <col min="6889" max="6889" width="11.28515625" style="257" customWidth="1"/>
    <col min="6890" max="6891" width="9.140625" style="257" bestFit="1" customWidth="1"/>
    <col min="6892" max="6893" width="11.140625" style="257" bestFit="1" customWidth="1"/>
    <col min="6894" max="6894" width="11.5703125" style="257" bestFit="1" customWidth="1"/>
    <col min="6895" max="6895" width="9.140625" style="257" bestFit="1" customWidth="1"/>
    <col min="6896" max="6896" width="10.28515625" style="257" customWidth="1"/>
    <col min="6897" max="7135" width="9.140625" style="257"/>
    <col min="7136" max="7136" width="4.28515625" style="257" bestFit="1" customWidth="1"/>
    <col min="7137" max="7137" width="6.85546875" style="257" bestFit="1" customWidth="1"/>
    <col min="7138" max="7138" width="11" style="257" customWidth="1"/>
    <col min="7139" max="7139" width="11.140625" style="257" bestFit="1" customWidth="1"/>
    <col min="7140" max="7140" width="10.85546875" style="257" customWidth="1"/>
    <col min="7141" max="7141" width="11.5703125" style="257" customWidth="1"/>
    <col min="7142" max="7142" width="11.140625" style="257" bestFit="1" customWidth="1"/>
    <col min="7143" max="7143" width="11" style="257" customWidth="1"/>
    <col min="7144" max="7144" width="10.42578125" style="257" customWidth="1"/>
    <col min="7145" max="7145" width="11.28515625" style="257" customWidth="1"/>
    <col min="7146" max="7147" width="9.140625" style="257" bestFit="1" customWidth="1"/>
    <col min="7148" max="7149" width="11.140625" style="257" bestFit="1" customWidth="1"/>
    <col min="7150" max="7150" width="11.5703125" style="257" bestFit="1" customWidth="1"/>
    <col min="7151" max="7151" width="9.140625" style="257" bestFit="1" customWidth="1"/>
    <col min="7152" max="7152" width="10.28515625" style="257" customWidth="1"/>
    <col min="7153" max="7391" width="9.140625" style="257"/>
    <col min="7392" max="7392" width="4.28515625" style="257" bestFit="1" customWidth="1"/>
    <col min="7393" max="7393" width="6.85546875" style="257" bestFit="1" customWidth="1"/>
    <col min="7394" max="7394" width="11" style="257" customWidth="1"/>
    <col min="7395" max="7395" width="11.140625" style="257" bestFit="1" customWidth="1"/>
    <col min="7396" max="7396" width="10.85546875" style="257" customWidth="1"/>
    <col min="7397" max="7397" width="11.5703125" style="257" customWidth="1"/>
    <col min="7398" max="7398" width="11.140625" style="257" bestFit="1" customWidth="1"/>
    <col min="7399" max="7399" width="11" style="257" customWidth="1"/>
    <col min="7400" max="7400" width="10.42578125" style="257" customWidth="1"/>
    <col min="7401" max="7401" width="11.28515625" style="257" customWidth="1"/>
    <col min="7402" max="7403" width="9.140625" style="257" bestFit="1" customWidth="1"/>
    <col min="7404" max="7405" width="11.140625" style="257" bestFit="1" customWidth="1"/>
    <col min="7406" max="7406" width="11.5703125" style="257" bestFit="1" customWidth="1"/>
    <col min="7407" max="7407" width="9.140625" style="257" bestFit="1" customWidth="1"/>
    <col min="7408" max="7408" width="10.28515625" style="257" customWidth="1"/>
    <col min="7409" max="7647" width="9.140625" style="257"/>
    <col min="7648" max="7648" width="4.28515625" style="257" bestFit="1" customWidth="1"/>
    <col min="7649" max="7649" width="6.85546875" style="257" bestFit="1" customWidth="1"/>
    <col min="7650" max="7650" width="11" style="257" customWidth="1"/>
    <col min="7651" max="7651" width="11.140625" style="257" bestFit="1" customWidth="1"/>
    <col min="7652" max="7652" width="10.85546875" style="257" customWidth="1"/>
    <col min="7653" max="7653" width="11.5703125" style="257" customWidth="1"/>
    <col min="7654" max="7654" width="11.140625" style="257" bestFit="1" customWidth="1"/>
    <col min="7655" max="7655" width="11" style="257" customWidth="1"/>
    <col min="7656" max="7656" width="10.42578125" style="257" customWidth="1"/>
    <col min="7657" max="7657" width="11.28515625" style="257" customWidth="1"/>
    <col min="7658" max="7659" width="9.140625" style="257" bestFit="1" customWidth="1"/>
    <col min="7660" max="7661" width="11.140625" style="257" bestFit="1" customWidth="1"/>
    <col min="7662" max="7662" width="11.5703125" style="257" bestFit="1" customWidth="1"/>
    <col min="7663" max="7663" width="9.140625" style="257" bestFit="1" customWidth="1"/>
    <col min="7664" max="7664" width="10.28515625" style="257" customWidth="1"/>
    <col min="7665" max="7903" width="9.140625" style="257"/>
    <col min="7904" max="7904" width="4.28515625" style="257" bestFit="1" customWidth="1"/>
    <col min="7905" max="7905" width="6.85546875" style="257" bestFit="1" customWidth="1"/>
    <col min="7906" max="7906" width="11" style="257" customWidth="1"/>
    <col min="7907" max="7907" width="11.140625" style="257" bestFit="1" customWidth="1"/>
    <col min="7908" max="7908" width="10.85546875" style="257" customWidth="1"/>
    <col min="7909" max="7909" width="11.5703125" style="257" customWidth="1"/>
    <col min="7910" max="7910" width="11.140625" style="257" bestFit="1" customWidth="1"/>
    <col min="7911" max="7911" width="11" style="257" customWidth="1"/>
    <col min="7912" max="7912" width="10.42578125" style="257" customWidth="1"/>
    <col min="7913" max="7913" width="11.28515625" style="257" customWidth="1"/>
    <col min="7914" max="7915" width="9.140625" style="257" bestFit="1" customWidth="1"/>
    <col min="7916" max="7917" width="11.140625" style="257" bestFit="1" customWidth="1"/>
    <col min="7918" max="7918" width="11.5703125" style="257" bestFit="1" customWidth="1"/>
    <col min="7919" max="7919" width="9.140625" style="257" bestFit="1" customWidth="1"/>
    <col min="7920" max="7920" width="10.28515625" style="257" customWidth="1"/>
    <col min="7921" max="8159" width="9.140625" style="257"/>
    <col min="8160" max="8160" width="4.28515625" style="257" bestFit="1" customWidth="1"/>
    <col min="8161" max="8161" width="6.85546875" style="257" bestFit="1" customWidth="1"/>
    <col min="8162" max="8162" width="11" style="257" customWidth="1"/>
    <col min="8163" max="8163" width="11.140625" style="257" bestFit="1" customWidth="1"/>
    <col min="8164" max="8164" width="10.85546875" style="257" customWidth="1"/>
    <col min="8165" max="8165" width="11.5703125" style="257" customWidth="1"/>
    <col min="8166" max="8166" width="11.140625" style="257" bestFit="1" customWidth="1"/>
    <col min="8167" max="8167" width="11" style="257" customWidth="1"/>
    <col min="8168" max="8168" width="10.42578125" style="257" customWidth="1"/>
    <col min="8169" max="8169" width="11.28515625" style="257" customWidth="1"/>
    <col min="8170" max="8171" width="9.140625" style="257" bestFit="1" customWidth="1"/>
    <col min="8172" max="8173" width="11.140625" style="257" bestFit="1" customWidth="1"/>
    <col min="8174" max="8174" width="11.5703125" style="257" bestFit="1" customWidth="1"/>
    <col min="8175" max="8175" width="9.140625" style="257" bestFit="1" customWidth="1"/>
    <col min="8176" max="8176" width="10.28515625" style="257" customWidth="1"/>
    <col min="8177" max="8415" width="9.140625" style="257"/>
    <col min="8416" max="8416" width="4.28515625" style="257" bestFit="1" customWidth="1"/>
    <col min="8417" max="8417" width="6.85546875" style="257" bestFit="1" customWidth="1"/>
    <col min="8418" max="8418" width="11" style="257" customWidth="1"/>
    <col min="8419" max="8419" width="11.140625" style="257" bestFit="1" customWidth="1"/>
    <col min="8420" max="8420" width="10.85546875" style="257" customWidth="1"/>
    <col min="8421" max="8421" width="11.5703125" style="257" customWidth="1"/>
    <col min="8422" max="8422" width="11.140625" style="257" bestFit="1" customWidth="1"/>
    <col min="8423" max="8423" width="11" style="257" customWidth="1"/>
    <col min="8424" max="8424" width="10.42578125" style="257" customWidth="1"/>
    <col min="8425" max="8425" width="11.28515625" style="257" customWidth="1"/>
    <col min="8426" max="8427" width="9.140625" style="257" bestFit="1" customWidth="1"/>
    <col min="8428" max="8429" width="11.140625" style="257" bestFit="1" customWidth="1"/>
    <col min="8430" max="8430" width="11.5703125" style="257" bestFit="1" customWidth="1"/>
    <col min="8431" max="8431" width="9.140625" style="257" bestFit="1" customWidth="1"/>
    <col min="8432" max="8432" width="10.28515625" style="257" customWidth="1"/>
    <col min="8433" max="8671" width="9.140625" style="257"/>
    <col min="8672" max="8672" width="4.28515625" style="257" bestFit="1" customWidth="1"/>
    <col min="8673" max="8673" width="6.85546875" style="257" bestFit="1" customWidth="1"/>
    <col min="8674" max="8674" width="11" style="257" customWidth="1"/>
    <col min="8675" max="8675" width="11.140625" style="257" bestFit="1" customWidth="1"/>
    <col min="8676" max="8676" width="10.85546875" style="257" customWidth="1"/>
    <col min="8677" max="8677" width="11.5703125" style="257" customWidth="1"/>
    <col min="8678" max="8678" width="11.140625" style="257" bestFit="1" customWidth="1"/>
    <col min="8679" max="8679" width="11" style="257" customWidth="1"/>
    <col min="8680" max="8680" width="10.42578125" style="257" customWidth="1"/>
    <col min="8681" max="8681" width="11.28515625" style="257" customWidth="1"/>
    <col min="8682" max="8683" width="9.140625" style="257" bestFit="1" customWidth="1"/>
    <col min="8684" max="8685" width="11.140625" style="257" bestFit="1" customWidth="1"/>
    <col min="8686" max="8686" width="11.5703125" style="257" bestFit="1" customWidth="1"/>
    <col min="8687" max="8687" width="9.140625" style="257" bestFit="1" customWidth="1"/>
    <col min="8688" max="8688" width="10.28515625" style="257" customWidth="1"/>
    <col min="8689" max="8927" width="9.140625" style="257"/>
    <col min="8928" max="8928" width="4.28515625" style="257" bestFit="1" customWidth="1"/>
    <col min="8929" max="8929" width="6.85546875" style="257" bestFit="1" customWidth="1"/>
    <col min="8930" max="8930" width="11" style="257" customWidth="1"/>
    <col min="8931" max="8931" width="11.140625" style="257" bestFit="1" customWidth="1"/>
    <col min="8932" max="8932" width="10.85546875" style="257" customWidth="1"/>
    <col min="8933" max="8933" width="11.5703125" style="257" customWidth="1"/>
    <col min="8934" max="8934" width="11.140625" style="257" bestFit="1" customWidth="1"/>
    <col min="8935" max="8935" width="11" style="257" customWidth="1"/>
    <col min="8936" max="8936" width="10.42578125" style="257" customWidth="1"/>
    <col min="8937" max="8937" width="11.28515625" style="257" customWidth="1"/>
    <col min="8938" max="8939" width="9.140625" style="257" bestFit="1" customWidth="1"/>
    <col min="8940" max="8941" width="11.140625" style="257" bestFit="1" customWidth="1"/>
    <col min="8942" max="8942" width="11.5703125" style="257" bestFit="1" customWidth="1"/>
    <col min="8943" max="8943" width="9.140625" style="257" bestFit="1" customWidth="1"/>
    <col min="8944" max="8944" width="10.28515625" style="257" customWidth="1"/>
    <col min="8945" max="9183" width="9.140625" style="257"/>
    <col min="9184" max="9184" width="4.28515625" style="257" bestFit="1" customWidth="1"/>
    <col min="9185" max="9185" width="6.85546875" style="257" bestFit="1" customWidth="1"/>
    <col min="9186" max="9186" width="11" style="257" customWidth="1"/>
    <col min="9187" max="9187" width="11.140625" style="257" bestFit="1" customWidth="1"/>
    <col min="9188" max="9188" width="10.85546875" style="257" customWidth="1"/>
    <col min="9189" max="9189" width="11.5703125" style="257" customWidth="1"/>
    <col min="9190" max="9190" width="11.140625" style="257" bestFit="1" customWidth="1"/>
    <col min="9191" max="9191" width="11" style="257" customWidth="1"/>
    <col min="9192" max="9192" width="10.42578125" style="257" customWidth="1"/>
    <col min="9193" max="9193" width="11.28515625" style="257" customWidth="1"/>
    <col min="9194" max="9195" width="9.140625" style="257" bestFit="1" customWidth="1"/>
    <col min="9196" max="9197" width="11.140625" style="257" bestFit="1" customWidth="1"/>
    <col min="9198" max="9198" width="11.5703125" style="257" bestFit="1" customWidth="1"/>
    <col min="9199" max="9199" width="9.140625" style="257" bestFit="1" customWidth="1"/>
    <col min="9200" max="9200" width="10.28515625" style="257" customWidth="1"/>
    <col min="9201" max="9439" width="9.140625" style="257"/>
    <col min="9440" max="9440" width="4.28515625" style="257" bestFit="1" customWidth="1"/>
    <col min="9441" max="9441" width="6.85546875" style="257" bestFit="1" customWidth="1"/>
    <col min="9442" max="9442" width="11" style="257" customWidth="1"/>
    <col min="9443" max="9443" width="11.140625" style="257" bestFit="1" customWidth="1"/>
    <col min="9444" max="9444" width="10.85546875" style="257" customWidth="1"/>
    <col min="9445" max="9445" width="11.5703125" style="257" customWidth="1"/>
    <col min="9446" max="9446" width="11.140625" style="257" bestFit="1" customWidth="1"/>
    <col min="9447" max="9447" width="11" style="257" customWidth="1"/>
    <col min="9448" max="9448" width="10.42578125" style="257" customWidth="1"/>
    <col min="9449" max="9449" width="11.28515625" style="257" customWidth="1"/>
    <col min="9450" max="9451" width="9.140625" style="257" bestFit="1" customWidth="1"/>
    <col min="9452" max="9453" width="11.140625" style="257" bestFit="1" customWidth="1"/>
    <col min="9454" max="9454" width="11.5703125" style="257" bestFit="1" customWidth="1"/>
    <col min="9455" max="9455" width="9.140625" style="257" bestFit="1" customWidth="1"/>
    <col min="9456" max="9456" width="10.28515625" style="257" customWidth="1"/>
    <col min="9457" max="9695" width="9.140625" style="257"/>
    <col min="9696" max="9696" width="4.28515625" style="257" bestFit="1" customWidth="1"/>
    <col min="9697" max="9697" width="6.85546875" style="257" bestFit="1" customWidth="1"/>
    <col min="9698" max="9698" width="11" style="257" customWidth="1"/>
    <col min="9699" max="9699" width="11.140625" style="257" bestFit="1" customWidth="1"/>
    <col min="9700" max="9700" width="10.85546875" style="257" customWidth="1"/>
    <col min="9701" max="9701" width="11.5703125" style="257" customWidth="1"/>
    <col min="9702" max="9702" width="11.140625" style="257" bestFit="1" customWidth="1"/>
    <col min="9703" max="9703" width="11" style="257" customWidth="1"/>
    <col min="9704" max="9704" width="10.42578125" style="257" customWidth="1"/>
    <col min="9705" max="9705" width="11.28515625" style="257" customWidth="1"/>
    <col min="9706" max="9707" width="9.140625" style="257" bestFit="1" customWidth="1"/>
    <col min="9708" max="9709" width="11.140625" style="257" bestFit="1" customWidth="1"/>
    <col min="9710" max="9710" width="11.5703125" style="257" bestFit="1" customWidth="1"/>
    <col min="9711" max="9711" width="9.140625" style="257" bestFit="1" customWidth="1"/>
    <col min="9712" max="9712" width="10.28515625" style="257" customWidth="1"/>
    <col min="9713" max="9951" width="9.140625" style="257"/>
    <col min="9952" max="9952" width="4.28515625" style="257" bestFit="1" customWidth="1"/>
    <col min="9953" max="9953" width="6.85546875" style="257" bestFit="1" customWidth="1"/>
    <col min="9954" max="9954" width="11" style="257" customWidth="1"/>
    <col min="9955" max="9955" width="11.140625" style="257" bestFit="1" customWidth="1"/>
    <col min="9956" max="9956" width="10.85546875" style="257" customWidth="1"/>
    <col min="9957" max="9957" width="11.5703125" style="257" customWidth="1"/>
    <col min="9958" max="9958" width="11.140625" style="257" bestFit="1" customWidth="1"/>
    <col min="9959" max="9959" width="11" style="257" customWidth="1"/>
    <col min="9960" max="9960" width="10.42578125" style="257" customWidth="1"/>
    <col min="9961" max="9961" width="11.28515625" style="257" customWidth="1"/>
    <col min="9962" max="9963" width="9.140625" style="257" bestFit="1" customWidth="1"/>
    <col min="9964" max="9965" width="11.140625" style="257" bestFit="1" customWidth="1"/>
    <col min="9966" max="9966" width="11.5703125" style="257" bestFit="1" customWidth="1"/>
    <col min="9967" max="9967" width="9.140625" style="257" bestFit="1" customWidth="1"/>
    <col min="9968" max="9968" width="10.28515625" style="257" customWidth="1"/>
    <col min="9969" max="10207" width="9.140625" style="257"/>
    <col min="10208" max="10208" width="4.28515625" style="257" bestFit="1" customWidth="1"/>
    <col min="10209" max="10209" width="6.85546875" style="257" bestFit="1" customWidth="1"/>
    <col min="10210" max="10210" width="11" style="257" customWidth="1"/>
    <col min="10211" max="10211" width="11.140625" style="257" bestFit="1" customWidth="1"/>
    <col min="10212" max="10212" width="10.85546875" style="257" customWidth="1"/>
    <col min="10213" max="10213" width="11.5703125" style="257" customWidth="1"/>
    <col min="10214" max="10214" width="11.140625" style="257" bestFit="1" customWidth="1"/>
    <col min="10215" max="10215" width="11" style="257" customWidth="1"/>
    <col min="10216" max="10216" width="10.42578125" style="257" customWidth="1"/>
    <col min="10217" max="10217" width="11.28515625" style="257" customWidth="1"/>
    <col min="10218" max="10219" width="9.140625" style="257" bestFit="1" customWidth="1"/>
    <col min="10220" max="10221" width="11.140625" style="257" bestFit="1" customWidth="1"/>
    <col min="10222" max="10222" width="11.5703125" style="257" bestFit="1" customWidth="1"/>
    <col min="10223" max="10223" width="9.140625" style="257" bestFit="1" customWidth="1"/>
    <col min="10224" max="10224" width="10.28515625" style="257" customWidth="1"/>
    <col min="10225" max="10463" width="9.140625" style="257"/>
    <col min="10464" max="10464" width="4.28515625" style="257" bestFit="1" customWidth="1"/>
    <col min="10465" max="10465" width="6.85546875" style="257" bestFit="1" customWidth="1"/>
    <col min="10466" max="10466" width="11" style="257" customWidth="1"/>
    <col min="10467" max="10467" width="11.140625" style="257" bestFit="1" customWidth="1"/>
    <col min="10468" max="10468" width="10.85546875" style="257" customWidth="1"/>
    <col min="10469" max="10469" width="11.5703125" style="257" customWidth="1"/>
    <col min="10470" max="10470" width="11.140625" style="257" bestFit="1" customWidth="1"/>
    <col min="10471" max="10471" width="11" style="257" customWidth="1"/>
    <col min="10472" max="10472" width="10.42578125" style="257" customWidth="1"/>
    <col min="10473" max="10473" width="11.28515625" style="257" customWidth="1"/>
    <col min="10474" max="10475" width="9.140625" style="257" bestFit="1" customWidth="1"/>
    <col min="10476" max="10477" width="11.140625" style="257" bestFit="1" customWidth="1"/>
    <col min="10478" max="10478" width="11.5703125" style="257" bestFit="1" customWidth="1"/>
    <col min="10479" max="10479" width="9.140625" style="257" bestFit="1" customWidth="1"/>
    <col min="10480" max="10480" width="10.28515625" style="257" customWidth="1"/>
    <col min="10481" max="10719" width="9.140625" style="257"/>
    <col min="10720" max="10720" width="4.28515625" style="257" bestFit="1" customWidth="1"/>
    <col min="10721" max="10721" width="6.85546875" style="257" bestFit="1" customWidth="1"/>
    <col min="10722" max="10722" width="11" style="257" customWidth="1"/>
    <col min="10723" max="10723" width="11.140625" style="257" bestFit="1" customWidth="1"/>
    <col min="10724" max="10724" width="10.85546875" style="257" customWidth="1"/>
    <col min="10725" max="10725" width="11.5703125" style="257" customWidth="1"/>
    <col min="10726" max="10726" width="11.140625" style="257" bestFit="1" customWidth="1"/>
    <col min="10727" max="10727" width="11" style="257" customWidth="1"/>
    <col min="10728" max="10728" width="10.42578125" style="257" customWidth="1"/>
    <col min="10729" max="10729" width="11.28515625" style="257" customWidth="1"/>
    <col min="10730" max="10731" width="9.140625" style="257" bestFit="1" customWidth="1"/>
    <col min="10732" max="10733" width="11.140625" style="257" bestFit="1" customWidth="1"/>
    <col min="10734" max="10734" width="11.5703125" style="257" bestFit="1" customWidth="1"/>
    <col min="10735" max="10735" width="9.140625" style="257" bestFit="1" customWidth="1"/>
    <col min="10736" max="10736" width="10.28515625" style="257" customWidth="1"/>
    <col min="10737" max="10975" width="9.140625" style="257"/>
    <col min="10976" max="10976" width="4.28515625" style="257" bestFit="1" customWidth="1"/>
    <col min="10977" max="10977" width="6.85546875" style="257" bestFit="1" customWidth="1"/>
    <col min="10978" max="10978" width="11" style="257" customWidth="1"/>
    <col min="10979" max="10979" width="11.140625" style="257" bestFit="1" customWidth="1"/>
    <col min="10980" max="10980" width="10.85546875" style="257" customWidth="1"/>
    <col min="10981" max="10981" width="11.5703125" style="257" customWidth="1"/>
    <col min="10982" max="10982" width="11.140625" style="257" bestFit="1" customWidth="1"/>
    <col min="10983" max="10983" width="11" style="257" customWidth="1"/>
    <col min="10984" max="10984" width="10.42578125" style="257" customWidth="1"/>
    <col min="10985" max="10985" width="11.28515625" style="257" customWidth="1"/>
    <col min="10986" max="10987" width="9.140625" style="257" bestFit="1" customWidth="1"/>
    <col min="10988" max="10989" width="11.140625" style="257" bestFit="1" customWidth="1"/>
    <col min="10990" max="10990" width="11.5703125" style="257" bestFit="1" customWidth="1"/>
    <col min="10991" max="10991" width="9.140625" style="257" bestFit="1" customWidth="1"/>
    <col min="10992" max="10992" width="10.28515625" style="257" customWidth="1"/>
    <col min="10993" max="11231" width="9.140625" style="257"/>
    <col min="11232" max="11232" width="4.28515625" style="257" bestFit="1" customWidth="1"/>
    <col min="11233" max="11233" width="6.85546875" style="257" bestFit="1" customWidth="1"/>
    <col min="11234" max="11234" width="11" style="257" customWidth="1"/>
    <col min="11235" max="11235" width="11.140625" style="257" bestFit="1" customWidth="1"/>
    <col min="11236" max="11236" width="10.85546875" style="257" customWidth="1"/>
    <col min="11237" max="11237" width="11.5703125" style="257" customWidth="1"/>
    <col min="11238" max="11238" width="11.140625" style="257" bestFit="1" customWidth="1"/>
    <col min="11239" max="11239" width="11" style="257" customWidth="1"/>
    <col min="11240" max="11240" width="10.42578125" style="257" customWidth="1"/>
    <col min="11241" max="11241" width="11.28515625" style="257" customWidth="1"/>
    <col min="11242" max="11243" width="9.140625" style="257" bestFit="1" customWidth="1"/>
    <col min="11244" max="11245" width="11.140625" style="257" bestFit="1" customWidth="1"/>
    <col min="11246" max="11246" width="11.5703125" style="257" bestFit="1" customWidth="1"/>
    <col min="11247" max="11247" width="9.140625" style="257" bestFit="1" customWidth="1"/>
    <col min="11248" max="11248" width="10.28515625" style="257" customWidth="1"/>
    <col min="11249" max="11487" width="9.140625" style="257"/>
    <col min="11488" max="11488" width="4.28515625" style="257" bestFit="1" customWidth="1"/>
    <col min="11489" max="11489" width="6.85546875" style="257" bestFit="1" customWidth="1"/>
    <col min="11490" max="11490" width="11" style="257" customWidth="1"/>
    <col min="11491" max="11491" width="11.140625" style="257" bestFit="1" customWidth="1"/>
    <col min="11492" max="11492" width="10.85546875" style="257" customWidth="1"/>
    <col min="11493" max="11493" width="11.5703125" style="257" customWidth="1"/>
    <col min="11494" max="11494" width="11.140625" style="257" bestFit="1" customWidth="1"/>
    <col min="11495" max="11495" width="11" style="257" customWidth="1"/>
    <col min="11496" max="11496" width="10.42578125" style="257" customWidth="1"/>
    <col min="11497" max="11497" width="11.28515625" style="257" customWidth="1"/>
    <col min="11498" max="11499" width="9.140625" style="257" bestFit="1" customWidth="1"/>
    <col min="11500" max="11501" width="11.140625" style="257" bestFit="1" customWidth="1"/>
    <col min="11502" max="11502" width="11.5703125" style="257" bestFit="1" customWidth="1"/>
    <col min="11503" max="11503" width="9.140625" style="257" bestFit="1" customWidth="1"/>
    <col min="11504" max="11504" width="10.28515625" style="257" customWidth="1"/>
    <col min="11505" max="11743" width="9.140625" style="257"/>
    <col min="11744" max="11744" width="4.28515625" style="257" bestFit="1" customWidth="1"/>
    <col min="11745" max="11745" width="6.85546875" style="257" bestFit="1" customWidth="1"/>
    <col min="11746" max="11746" width="11" style="257" customWidth="1"/>
    <col min="11747" max="11747" width="11.140625" style="257" bestFit="1" customWidth="1"/>
    <col min="11748" max="11748" width="10.85546875" style="257" customWidth="1"/>
    <col min="11749" max="11749" width="11.5703125" style="257" customWidth="1"/>
    <col min="11750" max="11750" width="11.140625" style="257" bestFit="1" customWidth="1"/>
    <col min="11751" max="11751" width="11" style="257" customWidth="1"/>
    <col min="11752" max="11752" width="10.42578125" style="257" customWidth="1"/>
    <col min="11753" max="11753" width="11.28515625" style="257" customWidth="1"/>
    <col min="11754" max="11755" width="9.140625" style="257" bestFit="1" customWidth="1"/>
    <col min="11756" max="11757" width="11.140625" style="257" bestFit="1" customWidth="1"/>
    <col min="11758" max="11758" width="11.5703125" style="257" bestFit="1" customWidth="1"/>
    <col min="11759" max="11759" width="9.140625" style="257" bestFit="1" customWidth="1"/>
    <col min="11760" max="11760" width="10.28515625" style="257" customWidth="1"/>
    <col min="11761" max="11999" width="9.140625" style="257"/>
    <col min="12000" max="12000" width="4.28515625" style="257" bestFit="1" customWidth="1"/>
    <col min="12001" max="12001" width="6.85546875" style="257" bestFit="1" customWidth="1"/>
    <col min="12002" max="12002" width="11" style="257" customWidth="1"/>
    <col min="12003" max="12003" width="11.140625" style="257" bestFit="1" customWidth="1"/>
    <col min="12004" max="12004" width="10.85546875" style="257" customWidth="1"/>
    <col min="12005" max="12005" width="11.5703125" style="257" customWidth="1"/>
    <col min="12006" max="12006" width="11.140625" style="257" bestFit="1" customWidth="1"/>
    <col min="12007" max="12007" width="11" style="257" customWidth="1"/>
    <col min="12008" max="12008" width="10.42578125" style="257" customWidth="1"/>
    <col min="12009" max="12009" width="11.28515625" style="257" customWidth="1"/>
    <col min="12010" max="12011" width="9.140625" style="257" bestFit="1" customWidth="1"/>
    <col min="12012" max="12013" width="11.140625" style="257" bestFit="1" customWidth="1"/>
    <col min="12014" max="12014" width="11.5703125" style="257" bestFit="1" customWidth="1"/>
    <col min="12015" max="12015" width="9.140625" style="257" bestFit="1" customWidth="1"/>
    <col min="12016" max="12016" width="10.28515625" style="257" customWidth="1"/>
    <col min="12017" max="12255" width="9.140625" style="257"/>
    <col min="12256" max="12256" width="4.28515625" style="257" bestFit="1" customWidth="1"/>
    <col min="12257" max="12257" width="6.85546875" style="257" bestFit="1" customWidth="1"/>
    <col min="12258" max="12258" width="11" style="257" customWidth="1"/>
    <col min="12259" max="12259" width="11.140625" style="257" bestFit="1" customWidth="1"/>
    <col min="12260" max="12260" width="10.85546875" style="257" customWidth="1"/>
    <col min="12261" max="12261" width="11.5703125" style="257" customWidth="1"/>
    <col min="12262" max="12262" width="11.140625" style="257" bestFit="1" customWidth="1"/>
    <col min="12263" max="12263" width="11" style="257" customWidth="1"/>
    <col min="12264" max="12264" width="10.42578125" style="257" customWidth="1"/>
    <col min="12265" max="12265" width="11.28515625" style="257" customWidth="1"/>
    <col min="12266" max="12267" width="9.140625" style="257" bestFit="1" customWidth="1"/>
    <col min="12268" max="12269" width="11.140625" style="257" bestFit="1" customWidth="1"/>
    <col min="12270" max="12270" width="11.5703125" style="257" bestFit="1" customWidth="1"/>
    <col min="12271" max="12271" width="9.140625" style="257" bestFit="1" customWidth="1"/>
    <col min="12272" max="12272" width="10.28515625" style="257" customWidth="1"/>
    <col min="12273" max="12511" width="9.140625" style="257"/>
    <col min="12512" max="12512" width="4.28515625" style="257" bestFit="1" customWidth="1"/>
    <col min="12513" max="12513" width="6.85546875" style="257" bestFit="1" customWidth="1"/>
    <col min="12514" max="12514" width="11" style="257" customWidth="1"/>
    <col min="12515" max="12515" width="11.140625" style="257" bestFit="1" customWidth="1"/>
    <col min="12516" max="12516" width="10.85546875" style="257" customWidth="1"/>
    <col min="12517" max="12517" width="11.5703125" style="257" customWidth="1"/>
    <col min="12518" max="12518" width="11.140625" style="257" bestFit="1" customWidth="1"/>
    <col min="12519" max="12519" width="11" style="257" customWidth="1"/>
    <col min="12520" max="12520" width="10.42578125" style="257" customWidth="1"/>
    <col min="12521" max="12521" width="11.28515625" style="257" customWidth="1"/>
    <col min="12522" max="12523" width="9.140625" style="257" bestFit="1" customWidth="1"/>
    <col min="12524" max="12525" width="11.140625" style="257" bestFit="1" customWidth="1"/>
    <col min="12526" max="12526" width="11.5703125" style="257" bestFit="1" customWidth="1"/>
    <col min="12527" max="12527" width="9.140625" style="257" bestFit="1" customWidth="1"/>
    <col min="12528" max="12528" width="10.28515625" style="257" customWidth="1"/>
    <col min="12529" max="12767" width="9.140625" style="257"/>
    <col min="12768" max="12768" width="4.28515625" style="257" bestFit="1" customWidth="1"/>
    <col min="12769" max="12769" width="6.85546875" style="257" bestFit="1" customWidth="1"/>
    <col min="12770" max="12770" width="11" style="257" customWidth="1"/>
    <col min="12771" max="12771" width="11.140625" style="257" bestFit="1" customWidth="1"/>
    <col min="12772" max="12772" width="10.85546875" style="257" customWidth="1"/>
    <col min="12773" max="12773" width="11.5703125" style="257" customWidth="1"/>
    <col min="12774" max="12774" width="11.140625" style="257" bestFit="1" customWidth="1"/>
    <col min="12775" max="12775" width="11" style="257" customWidth="1"/>
    <col min="12776" max="12776" width="10.42578125" style="257" customWidth="1"/>
    <col min="12777" max="12777" width="11.28515625" style="257" customWidth="1"/>
    <col min="12778" max="12779" width="9.140625" style="257" bestFit="1" customWidth="1"/>
    <col min="12780" max="12781" width="11.140625" style="257" bestFit="1" customWidth="1"/>
    <col min="12782" max="12782" width="11.5703125" style="257" bestFit="1" customWidth="1"/>
    <col min="12783" max="12783" width="9.140625" style="257" bestFit="1" customWidth="1"/>
    <col min="12784" max="12784" width="10.28515625" style="257" customWidth="1"/>
    <col min="12785" max="13023" width="9.140625" style="257"/>
    <col min="13024" max="13024" width="4.28515625" style="257" bestFit="1" customWidth="1"/>
    <col min="13025" max="13025" width="6.85546875" style="257" bestFit="1" customWidth="1"/>
    <col min="13026" max="13026" width="11" style="257" customWidth="1"/>
    <col min="13027" max="13027" width="11.140625" style="257" bestFit="1" customWidth="1"/>
    <col min="13028" max="13028" width="10.85546875" style="257" customWidth="1"/>
    <col min="13029" max="13029" width="11.5703125" style="257" customWidth="1"/>
    <col min="13030" max="13030" width="11.140625" style="257" bestFit="1" customWidth="1"/>
    <col min="13031" max="13031" width="11" style="257" customWidth="1"/>
    <col min="13032" max="13032" width="10.42578125" style="257" customWidth="1"/>
    <col min="13033" max="13033" width="11.28515625" style="257" customWidth="1"/>
    <col min="13034" max="13035" width="9.140625" style="257" bestFit="1" customWidth="1"/>
    <col min="13036" max="13037" width="11.140625" style="257" bestFit="1" customWidth="1"/>
    <col min="13038" max="13038" width="11.5703125" style="257" bestFit="1" customWidth="1"/>
    <col min="13039" max="13039" width="9.140625" style="257" bestFit="1" customWidth="1"/>
    <col min="13040" max="13040" width="10.28515625" style="257" customWidth="1"/>
    <col min="13041" max="13279" width="9.140625" style="257"/>
    <col min="13280" max="13280" width="4.28515625" style="257" bestFit="1" customWidth="1"/>
    <col min="13281" max="13281" width="6.85546875" style="257" bestFit="1" customWidth="1"/>
    <col min="13282" max="13282" width="11" style="257" customWidth="1"/>
    <col min="13283" max="13283" width="11.140625" style="257" bestFit="1" customWidth="1"/>
    <col min="13284" max="13284" width="10.85546875" style="257" customWidth="1"/>
    <col min="13285" max="13285" width="11.5703125" style="257" customWidth="1"/>
    <col min="13286" max="13286" width="11.140625" style="257" bestFit="1" customWidth="1"/>
    <col min="13287" max="13287" width="11" style="257" customWidth="1"/>
    <col min="13288" max="13288" width="10.42578125" style="257" customWidth="1"/>
    <col min="13289" max="13289" width="11.28515625" style="257" customWidth="1"/>
    <col min="13290" max="13291" width="9.140625" style="257" bestFit="1" customWidth="1"/>
    <col min="13292" max="13293" width="11.140625" style="257" bestFit="1" customWidth="1"/>
    <col min="13294" max="13294" width="11.5703125" style="257" bestFit="1" customWidth="1"/>
    <col min="13295" max="13295" width="9.140625" style="257" bestFit="1" customWidth="1"/>
    <col min="13296" max="13296" width="10.28515625" style="257" customWidth="1"/>
    <col min="13297" max="13535" width="9.140625" style="257"/>
    <col min="13536" max="13536" width="4.28515625" style="257" bestFit="1" customWidth="1"/>
    <col min="13537" max="13537" width="6.85546875" style="257" bestFit="1" customWidth="1"/>
    <col min="13538" max="13538" width="11" style="257" customWidth="1"/>
    <col min="13539" max="13539" width="11.140625" style="257" bestFit="1" customWidth="1"/>
    <col min="13540" max="13540" width="10.85546875" style="257" customWidth="1"/>
    <col min="13541" max="13541" width="11.5703125" style="257" customWidth="1"/>
    <col min="13542" max="13542" width="11.140625" style="257" bestFit="1" customWidth="1"/>
    <col min="13543" max="13543" width="11" style="257" customWidth="1"/>
    <col min="13544" max="13544" width="10.42578125" style="257" customWidth="1"/>
    <col min="13545" max="13545" width="11.28515625" style="257" customWidth="1"/>
    <col min="13546" max="13547" width="9.140625" style="257" bestFit="1" customWidth="1"/>
    <col min="13548" max="13549" width="11.140625" style="257" bestFit="1" customWidth="1"/>
    <col min="13550" max="13550" width="11.5703125" style="257" bestFit="1" customWidth="1"/>
    <col min="13551" max="13551" width="9.140625" style="257" bestFit="1" customWidth="1"/>
    <col min="13552" max="13552" width="10.28515625" style="257" customWidth="1"/>
    <col min="13553" max="13791" width="9.140625" style="257"/>
    <col min="13792" max="13792" width="4.28515625" style="257" bestFit="1" customWidth="1"/>
    <col min="13793" max="13793" width="6.85546875" style="257" bestFit="1" customWidth="1"/>
    <col min="13794" max="13794" width="11" style="257" customWidth="1"/>
    <col min="13795" max="13795" width="11.140625" style="257" bestFit="1" customWidth="1"/>
    <col min="13796" max="13796" width="10.85546875" style="257" customWidth="1"/>
    <col min="13797" max="13797" width="11.5703125" style="257" customWidth="1"/>
    <col min="13798" max="13798" width="11.140625" style="257" bestFit="1" customWidth="1"/>
    <col min="13799" max="13799" width="11" style="257" customWidth="1"/>
    <col min="13800" max="13800" width="10.42578125" style="257" customWidth="1"/>
    <col min="13801" max="13801" width="11.28515625" style="257" customWidth="1"/>
    <col min="13802" max="13803" width="9.140625" style="257" bestFit="1" customWidth="1"/>
    <col min="13804" max="13805" width="11.140625" style="257" bestFit="1" customWidth="1"/>
    <col min="13806" max="13806" width="11.5703125" style="257" bestFit="1" customWidth="1"/>
    <col min="13807" max="13807" width="9.140625" style="257" bestFit="1" customWidth="1"/>
    <col min="13808" max="13808" width="10.28515625" style="257" customWidth="1"/>
    <col min="13809" max="14047" width="9.140625" style="257"/>
    <col min="14048" max="14048" width="4.28515625" style="257" bestFit="1" customWidth="1"/>
    <col min="14049" max="14049" width="6.85546875" style="257" bestFit="1" customWidth="1"/>
    <col min="14050" max="14050" width="11" style="257" customWidth="1"/>
    <col min="14051" max="14051" width="11.140625" style="257" bestFit="1" customWidth="1"/>
    <col min="14052" max="14052" width="10.85546875" style="257" customWidth="1"/>
    <col min="14053" max="14053" width="11.5703125" style="257" customWidth="1"/>
    <col min="14054" max="14054" width="11.140625" style="257" bestFit="1" customWidth="1"/>
    <col min="14055" max="14055" width="11" style="257" customWidth="1"/>
    <col min="14056" max="14056" width="10.42578125" style="257" customWidth="1"/>
    <col min="14057" max="14057" width="11.28515625" style="257" customWidth="1"/>
    <col min="14058" max="14059" width="9.140625" style="257" bestFit="1" customWidth="1"/>
    <col min="14060" max="14061" width="11.140625" style="257" bestFit="1" customWidth="1"/>
    <col min="14062" max="14062" width="11.5703125" style="257" bestFit="1" customWidth="1"/>
    <col min="14063" max="14063" width="9.140625" style="257" bestFit="1" customWidth="1"/>
    <col min="14064" max="14064" width="10.28515625" style="257" customWidth="1"/>
    <col min="14065" max="14303" width="9.140625" style="257"/>
    <col min="14304" max="14304" width="4.28515625" style="257" bestFit="1" customWidth="1"/>
    <col min="14305" max="14305" width="6.85546875" style="257" bestFit="1" customWidth="1"/>
    <col min="14306" max="14306" width="11" style="257" customWidth="1"/>
    <col min="14307" max="14307" width="11.140625" style="257" bestFit="1" customWidth="1"/>
    <col min="14308" max="14308" width="10.85546875" style="257" customWidth="1"/>
    <col min="14309" max="14309" width="11.5703125" style="257" customWidth="1"/>
    <col min="14310" max="14310" width="11.140625" style="257" bestFit="1" customWidth="1"/>
    <col min="14311" max="14311" width="11" style="257" customWidth="1"/>
    <col min="14312" max="14312" width="10.42578125" style="257" customWidth="1"/>
    <col min="14313" max="14313" width="11.28515625" style="257" customWidth="1"/>
    <col min="14314" max="14315" width="9.140625" style="257" bestFit="1" customWidth="1"/>
    <col min="14316" max="14317" width="11.140625" style="257" bestFit="1" customWidth="1"/>
    <col min="14318" max="14318" width="11.5703125" style="257" bestFit="1" customWidth="1"/>
    <col min="14319" max="14319" width="9.140625" style="257" bestFit="1" customWidth="1"/>
    <col min="14320" max="14320" width="10.28515625" style="257" customWidth="1"/>
    <col min="14321" max="14559" width="9.140625" style="257"/>
    <col min="14560" max="14560" width="4.28515625" style="257" bestFit="1" customWidth="1"/>
    <col min="14561" max="14561" width="6.85546875" style="257" bestFit="1" customWidth="1"/>
    <col min="14562" max="14562" width="11" style="257" customWidth="1"/>
    <col min="14563" max="14563" width="11.140625" style="257" bestFit="1" customWidth="1"/>
    <col min="14564" max="14564" width="10.85546875" style="257" customWidth="1"/>
    <col min="14565" max="14565" width="11.5703125" style="257" customWidth="1"/>
    <col min="14566" max="14566" width="11.140625" style="257" bestFit="1" customWidth="1"/>
    <col min="14567" max="14567" width="11" style="257" customWidth="1"/>
    <col min="14568" max="14568" width="10.42578125" style="257" customWidth="1"/>
    <col min="14569" max="14569" width="11.28515625" style="257" customWidth="1"/>
    <col min="14570" max="14571" width="9.140625" style="257" bestFit="1" customWidth="1"/>
    <col min="14572" max="14573" width="11.140625" style="257" bestFit="1" customWidth="1"/>
    <col min="14574" max="14574" width="11.5703125" style="257" bestFit="1" customWidth="1"/>
    <col min="14575" max="14575" width="9.140625" style="257" bestFit="1" customWidth="1"/>
    <col min="14576" max="14576" width="10.28515625" style="257" customWidth="1"/>
    <col min="14577" max="14815" width="9.140625" style="257"/>
    <col min="14816" max="14816" width="4.28515625" style="257" bestFit="1" customWidth="1"/>
    <col min="14817" max="14817" width="6.85546875" style="257" bestFit="1" customWidth="1"/>
    <col min="14818" max="14818" width="11" style="257" customWidth="1"/>
    <col min="14819" max="14819" width="11.140625" style="257" bestFit="1" customWidth="1"/>
    <col min="14820" max="14820" width="10.85546875" style="257" customWidth="1"/>
    <col min="14821" max="14821" width="11.5703125" style="257" customWidth="1"/>
    <col min="14822" max="14822" width="11.140625" style="257" bestFit="1" customWidth="1"/>
    <col min="14823" max="14823" width="11" style="257" customWidth="1"/>
    <col min="14824" max="14824" width="10.42578125" style="257" customWidth="1"/>
    <col min="14825" max="14825" width="11.28515625" style="257" customWidth="1"/>
    <col min="14826" max="14827" width="9.140625" style="257" bestFit="1" customWidth="1"/>
    <col min="14828" max="14829" width="11.140625" style="257" bestFit="1" customWidth="1"/>
    <col min="14830" max="14830" width="11.5703125" style="257" bestFit="1" customWidth="1"/>
    <col min="14831" max="14831" width="9.140625" style="257" bestFit="1" customWidth="1"/>
    <col min="14832" max="14832" width="10.28515625" style="257" customWidth="1"/>
    <col min="14833" max="15071" width="9.140625" style="257"/>
    <col min="15072" max="15072" width="4.28515625" style="257" bestFit="1" customWidth="1"/>
    <col min="15073" max="15073" width="6.85546875" style="257" bestFit="1" customWidth="1"/>
    <col min="15074" max="15074" width="11" style="257" customWidth="1"/>
    <col min="15075" max="15075" width="11.140625" style="257" bestFit="1" customWidth="1"/>
    <col min="15076" max="15076" width="10.85546875" style="257" customWidth="1"/>
    <col min="15077" max="15077" width="11.5703125" style="257" customWidth="1"/>
    <col min="15078" max="15078" width="11.140625" style="257" bestFit="1" customWidth="1"/>
    <col min="15079" max="15079" width="11" style="257" customWidth="1"/>
    <col min="15080" max="15080" width="10.42578125" style="257" customWidth="1"/>
    <col min="15081" max="15081" width="11.28515625" style="257" customWidth="1"/>
    <col min="15082" max="15083" width="9.140625" style="257" bestFit="1" customWidth="1"/>
    <col min="15084" max="15085" width="11.140625" style="257" bestFit="1" customWidth="1"/>
    <col min="15086" max="15086" width="11.5703125" style="257" bestFit="1" customWidth="1"/>
    <col min="15087" max="15087" width="9.140625" style="257" bestFit="1" customWidth="1"/>
    <col min="15088" max="15088" width="10.28515625" style="257" customWidth="1"/>
    <col min="15089" max="15327" width="9.140625" style="257"/>
    <col min="15328" max="15328" width="4.28515625" style="257" bestFit="1" customWidth="1"/>
    <col min="15329" max="15329" width="6.85546875" style="257" bestFit="1" customWidth="1"/>
    <col min="15330" max="15330" width="11" style="257" customWidth="1"/>
    <col min="15331" max="15331" width="11.140625" style="257" bestFit="1" customWidth="1"/>
    <col min="15332" max="15332" width="10.85546875" style="257" customWidth="1"/>
    <col min="15333" max="15333" width="11.5703125" style="257" customWidth="1"/>
    <col min="15334" max="15334" width="11.140625" style="257" bestFit="1" customWidth="1"/>
    <col min="15335" max="15335" width="11" style="257" customWidth="1"/>
    <col min="15336" max="15336" width="10.42578125" style="257" customWidth="1"/>
    <col min="15337" max="15337" width="11.28515625" style="257" customWidth="1"/>
    <col min="15338" max="15339" width="9.140625" style="257" bestFit="1" customWidth="1"/>
    <col min="15340" max="15341" width="11.140625" style="257" bestFit="1" customWidth="1"/>
    <col min="15342" max="15342" width="11.5703125" style="257" bestFit="1" customWidth="1"/>
    <col min="15343" max="15343" width="9.140625" style="257" bestFit="1" customWidth="1"/>
    <col min="15344" max="15344" width="10.28515625" style="257" customWidth="1"/>
    <col min="15345" max="15583" width="9.140625" style="257"/>
    <col min="15584" max="15584" width="4.28515625" style="257" bestFit="1" customWidth="1"/>
    <col min="15585" max="15585" width="6.85546875" style="257" bestFit="1" customWidth="1"/>
    <col min="15586" max="15586" width="11" style="257" customWidth="1"/>
    <col min="15587" max="15587" width="11.140625" style="257" bestFit="1" customWidth="1"/>
    <col min="15588" max="15588" width="10.85546875" style="257" customWidth="1"/>
    <col min="15589" max="15589" width="11.5703125" style="257" customWidth="1"/>
    <col min="15590" max="15590" width="11.140625" style="257" bestFit="1" customWidth="1"/>
    <col min="15591" max="15591" width="11" style="257" customWidth="1"/>
    <col min="15592" max="15592" width="10.42578125" style="257" customWidth="1"/>
    <col min="15593" max="15593" width="11.28515625" style="257" customWidth="1"/>
    <col min="15594" max="15595" width="9.140625" style="257" bestFit="1" customWidth="1"/>
    <col min="15596" max="15597" width="11.140625" style="257" bestFit="1" customWidth="1"/>
    <col min="15598" max="15598" width="11.5703125" style="257" bestFit="1" customWidth="1"/>
    <col min="15599" max="15599" width="9.140625" style="257" bestFit="1" customWidth="1"/>
    <col min="15600" max="15600" width="10.28515625" style="257" customWidth="1"/>
    <col min="15601" max="15839" width="9.140625" style="257"/>
    <col min="15840" max="15840" width="4.28515625" style="257" bestFit="1" customWidth="1"/>
    <col min="15841" max="15841" width="6.85546875" style="257" bestFit="1" customWidth="1"/>
    <col min="15842" max="15842" width="11" style="257" customWidth="1"/>
    <col min="15843" max="15843" width="11.140625" style="257" bestFit="1" customWidth="1"/>
    <col min="15844" max="15844" width="10.85546875" style="257" customWidth="1"/>
    <col min="15845" max="15845" width="11.5703125" style="257" customWidth="1"/>
    <col min="15846" max="15846" width="11.140625" style="257" bestFit="1" customWidth="1"/>
    <col min="15847" max="15847" width="11" style="257" customWidth="1"/>
    <col min="15848" max="15848" width="10.42578125" style="257" customWidth="1"/>
    <col min="15849" max="15849" width="11.28515625" style="257" customWidth="1"/>
    <col min="15850" max="15851" width="9.140625" style="257" bestFit="1" customWidth="1"/>
    <col min="15852" max="15853" width="11.140625" style="257" bestFit="1" customWidth="1"/>
    <col min="15854" max="15854" width="11.5703125" style="257" bestFit="1" customWidth="1"/>
    <col min="15855" max="15855" width="9.140625" style="257" bestFit="1" customWidth="1"/>
    <col min="15856" max="15856" width="10.28515625" style="257" customWidth="1"/>
    <col min="15857" max="16095" width="9.140625" style="257"/>
    <col min="16096" max="16096" width="4.28515625" style="257" bestFit="1" customWidth="1"/>
    <col min="16097" max="16097" width="6.85546875" style="257" bestFit="1" customWidth="1"/>
    <col min="16098" max="16098" width="11" style="257" customWidth="1"/>
    <col min="16099" max="16099" width="11.140625" style="257" bestFit="1" customWidth="1"/>
    <col min="16100" max="16100" width="10.85546875" style="257" customWidth="1"/>
    <col min="16101" max="16101" width="11.5703125" style="257" customWidth="1"/>
    <col min="16102" max="16102" width="11.140625" style="257" bestFit="1" customWidth="1"/>
    <col min="16103" max="16103" width="11" style="257" customWidth="1"/>
    <col min="16104" max="16104" width="10.42578125" style="257" customWidth="1"/>
    <col min="16105" max="16105" width="11.28515625" style="257" customWidth="1"/>
    <col min="16106" max="16107" width="9.140625" style="257" bestFit="1" customWidth="1"/>
    <col min="16108" max="16109" width="11.140625" style="257" bestFit="1" customWidth="1"/>
    <col min="16110" max="16110" width="11.5703125" style="257" bestFit="1" customWidth="1"/>
    <col min="16111" max="16111" width="9.140625" style="257" bestFit="1" customWidth="1"/>
    <col min="16112" max="16112" width="10.28515625" style="257" customWidth="1"/>
    <col min="16113" max="16384" width="9.140625" style="257"/>
  </cols>
  <sheetData>
    <row r="1" spans="1:13" ht="82.5" customHeight="1">
      <c r="A1" s="2221" t="s">
        <v>425</v>
      </c>
      <c r="B1" s="2222"/>
      <c r="C1" s="2222"/>
      <c r="D1" s="2222"/>
      <c r="E1" s="2222"/>
      <c r="F1" s="2222"/>
      <c r="G1" s="2222"/>
      <c r="H1" s="2222"/>
      <c r="I1" s="2222"/>
      <c r="J1" s="2222"/>
      <c r="K1" s="2222"/>
      <c r="L1" s="2222"/>
      <c r="M1" s="2222"/>
    </row>
    <row r="2" spans="1:13" ht="16.5" customHeight="1" thickBot="1">
      <c r="A2" s="425"/>
      <c r="B2" s="426"/>
      <c r="C2" s="426"/>
      <c r="D2" s="426"/>
      <c r="E2" s="380"/>
      <c r="F2" s="380"/>
      <c r="G2" s="380"/>
      <c r="H2" s="380"/>
      <c r="I2" s="759"/>
      <c r="J2" s="426"/>
      <c r="K2" s="426"/>
      <c r="L2" s="426"/>
      <c r="M2" s="1120" t="s">
        <v>0</v>
      </c>
    </row>
    <row r="3" spans="1:13" s="279" customFormat="1" ht="12.75" customHeight="1">
      <c r="A3" s="2101" t="s">
        <v>1</v>
      </c>
      <c r="B3" s="2103" t="s">
        <v>2</v>
      </c>
      <c r="C3" s="2103" t="s">
        <v>3</v>
      </c>
      <c r="D3" s="2103" t="s">
        <v>354</v>
      </c>
      <c r="E3" s="2225" t="s">
        <v>426</v>
      </c>
      <c r="F3" s="2225" t="s">
        <v>153</v>
      </c>
      <c r="G3" s="1614"/>
      <c r="H3" s="2105" t="s">
        <v>179</v>
      </c>
      <c r="I3" s="2227" t="s">
        <v>39</v>
      </c>
      <c r="J3" s="2088" t="s">
        <v>190</v>
      </c>
      <c r="K3" s="2210" t="s">
        <v>152</v>
      </c>
      <c r="L3" s="2092" t="s">
        <v>374</v>
      </c>
      <c r="M3" s="2212" t="s">
        <v>358</v>
      </c>
    </row>
    <row r="4" spans="1:13" s="279" customFormat="1" ht="48.75" customHeight="1" thickBot="1">
      <c r="A4" s="2223"/>
      <c r="B4" s="2224"/>
      <c r="C4" s="2224"/>
      <c r="D4" s="2104"/>
      <c r="E4" s="2226"/>
      <c r="F4" s="2226"/>
      <c r="G4" s="1615"/>
      <c r="H4" s="2107"/>
      <c r="I4" s="2228"/>
      <c r="J4" s="2089"/>
      <c r="K4" s="2211"/>
      <c r="L4" s="2093"/>
      <c r="M4" s="2213"/>
    </row>
    <row r="5" spans="1:13" s="763" customFormat="1" ht="11.25" customHeight="1" thickBot="1">
      <c r="A5" s="1612" t="s">
        <v>6</v>
      </c>
      <c r="B5" s="2214" t="s">
        <v>7</v>
      </c>
      <c r="C5" s="2215"/>
      <c r="D5" s="1613" t="s">
        <v>8</v>
      </c>
      <c r="E5" s="435" t="s">
        <v>9</v>
      </c>
      <c r="F5" s="435" t="s">
        <v>10</v>
      </c>
      <c r="G5" s="435"/>
      <c r="H5" s="389" t="s">
        <v>10</v>
      </c>
      <c r="I5" s="760" t="s">
        <v>11</v>
      </c>
      <c r="J5" s="761" t="s">
        <v>11</v>
      </c>
      <c r="K5" s="761" t="s">
        <v>11</v>
      </c>
      <c r="L5" s="761" t="s">
        <v>12</v>
      </c>
      <c r="M5" s="762" t="s">
        <v>12</v>
      </c>
    </row>
    <row r="6" spans="1:13" s="423" customFormat="1" ht="14.1" customHeight="1">
      <c r="A6" s="799" t="s">
        <v>60</v>
      </c>
      <c r="B6" s="765"/>
      <c r="C6" s="766" t="s">
        <v>61</v>
      </c>
      <c r="D6" s="767"/>
      <c r="E6" s="768">
        <f>E7</f>
        <v>0</v>
      </c>
      <c r="F6" s="768">
        <f>F7</f>
        <v>25000</v>
      </c>
      <c r="G6" s="768">
        <f>G7</f>
        <v>0</v>
      </c>
      <c r="H6" s="768">
        <f>H7</f>
        <v>0</v>
      </c>
      <c r="I6" s="769"/>
      <c r="J6" s="770">
        <f>J7</f>
        <v>1011000</v>
      </c>
      <c r="K6" s="770">
        <f>K7</f>
        <v>1011000</v>
      </c>
      <c r="L6" s="770"/>
      <c r="M6" s="1379"/>
    </row>
    <row r="7" spans="1:13" s="423" customFormat="1" ht="14.1" customHeight="1">
      <c r="A7" s="1936"/>
      <c r="B7" s="2216" t="s">
        <v>62</v>
      </c>
      <c r="C7" s="1380" t="s">
        <v>63</v>
      </c>
      <c r="D7" s="1381"/>
      <c r="E7" s="1382">
        <f>SUM(E8+E17)</f>
        <v>0</v>
      </c>
      <c r="F7" s="1382">
        <f>SUM(F8+F17)</f>
        <v>25000</v>
      </c>
      <c r="G7" s="1382"/>
      <c r="H7" s="1382">
        <f>SUM(H8+H17)</f>
        <v>0</v>
      </c>
      <c r="I7" s="1383"/>
      <c r="J7" s="1384">
        <f>SUM(J8+J17)</f>
        <v>1011000</v>
      </c>
      <c r="K7" s="1384">
        <f>SUM(K8+K17)</f>
        <v>1011000</v>
      </c>
      <c r="L7" s="1385"/>
      <c r="M7" s="2218" t="s">
        <v>603</v>
      </c>
    </row>
    <row r="8" spans="1:13" s="423" customFormat="1" ht="14.1" customHeight="1">
      <c r="A8" s="1936"/>
      <c r="B8" s="2216"/>
      <c r="C8" s="901" t="s">
        <v>18</v>
      </c>
      <c r="D8" s="1386"/>
      <c r="E8" s="1387">
        <f>SUM(E9+E12+E13+E14+E15+E16)</f>
        <v>0</v>
      </c>
      <c r="F8" s="1387">
        <f>SUM(F9+F12+F13+F14+F15+F16)</f>
        <v>0</v>
      </c>
      <c r="G8" s="1387"/>
      <c r="H8" s="1387">
        <f>SUM(H9+H12+H13+H14+H15+H16)</f>
        <v>0</v>
      </c>
      <c r="I8" s="1388"/>
      <c r="J8" s="1389">
        <f>SUM(J9+J12+J13+J14+J15+J16)</f>
        <v>251000</v>
      </c>
      <c r="K8" s="1389">
        <f>J8+H8</f>
        <v>251000</v>
      </c>
      <c r="L8" s="1390"/>
      <c r="M8" s="2218"/>
    </row>
    <row r="9" spans="1:13" s="423" customFormat="1" ht="14.1" customHeight="1">
      <c r="A9" s="1936"/>
      <c r="B9" s="2216"/>
      <c r="C9" s="904" t="s">
        <v>19</v>
      </c>
      <c r="D9" s="1391"/>
      <c r="E9" s="1392"/>
      <c r="F9" s="1392"/>
      <c r="G9" s="1392"/>
      <c r="H9" s="1392"/>
      <c r="I9" s="1388"/>
      <c r="J9" s="1393">
        <f>SUM(J10:J11)</f>
        <v>251000</v>
      </c>
      <c r="K9" s="1393">
        <f>SUM(K10:K11)</f>
        <v>251000</v>
      </c>
      <c r="L9" s="1394"/>
      <c r="M9" s="2218"/>
    </row>
    <row r="10" spans="1:13" s="423" customFormat="1" ht="14.1" customHeight="1">
      <c r="A10" s="1936"/>
      <c r="B10" s="2216"/>
      <c r="C10" s="904" t="s">
        <v>20</v>
      </c>
      <c r="D10" s="1391"/>
      <c r="E10" s="1392"/>
      <c r="F10" s="1392"/>
      <c r="G10" s="1392"/>
      <c r="H10" s="1392"/>
      <c r="I10" s="1388"/>
      <c r="J10" s="1393"/>
      <c r="K10" s="1393"/>
      <c r="L10" s="1394"/>
      <c r="M10" s="2218"/>
    </row>
    <row r="11" spans="1:13" s="423" customFormat="1" ht="23.25" customHeight="1">
      <c r="A11" s="1936"/>
      <c r="B11" s="2216"/>
      <c r="C11" s="1395" t="s">
        <v>369</v>
      </c>
      <c r="D11" s="1396">
        <v>4370</v>
      </c>
      <c r="E11" s="1392">
        <v>0</v>
      </c>
      <c r="F11" s="1392">
        <v>0</v>
      </c>
      <c r="G11" s="1392"/>
      <c r="H11" s="1392"/>
      <c r="I11" s="1388"/>
      <c r="J11" s="1393">
        <v>251000</v>
      </c>
      <c r="K11" s="1393">
        <v>251000</v>
      </c>
      <c r="L11" s="1394"/>
      <c r="M11" s="2218"/>
    </row>
    <row r="12" spans="1:13" s="423" customFormat="1" ht="14.1" customHeight="1">
      <c r="A12" s="1936"/>
      <c r="B12" s="2216"/>
      <c r="C12" s="904" t="s">
        <v>23</v>
      </c>
      <c r="D12" s="1391"/>
      <c r="E12" s="1392"/>
      <c r="F12" s="1392"/>
      <c r="G12" s="1392"/>
      <c r="H12" s="1392"/>
      <c r="I12" s="1388"/>
      <c r="J12" s="1393"/>
      <c r="K12" s="1393"/>
      <c r="L12" s="1394"/>
      <c r="M12" s="2218"/>
    </row>
    <row r="13" spans="1:13" s="423" customFormat="1" ht="14.1" customHeight="1">
      <c r="A13" s="1936"/>
      <c r="B13" s="2216"/>
      <c r="C13" s="904" t="s">
        <v>24</v>
      </c>
      <c r="D13" s="1391"/>
      <c r="E13" s="1392"/>
      <c r="F13" s="1392"/>
      <c r="G13" s="1392"/>
      <c r="H13" s="1392"/>
      <c r="I13" s="1388"/>
      <c r="J13" s="1393"/>
      <c r="K13" s="1393"/>
      <c r="L13" s="1394"/>
      <c r="M13" s="2218"/>
    </row>
    <row r="14" spans="1:13" s="423" customFormat="1" ht="22.5">
      <c r="A14" s="1936"/>
      <c r="B14" s="2216"/>
      <c r="C14" s="1395" t="s">
        <v>427</v>
      </c>
      <c r="D14" s="1396"/>
      <c r="E14" s="1392"/>
      <c r="F14" s="1392"/>
      <c r="G14" s="1392"/>
      <c r="H14" s="1392"/>
      <c r="I14" s="1397"/>
      <c r="J14" s="1393"/>
      <c r="K14" s="1393"/>
      <c r="L14" s="1394"/>
      <c r="M14" s="2218"/>
    </row>
    <row r="15" spans="1:13" s="423" customFormat="1" ht="13.5" customHeight="1">
      <c r="A15" s="1936"/>
      <c r="B15" s="2216"/>
      <c r="C15" s="904" t="s">
        <v>26</v>
      </c>
      <c r="D15" s="1398"/>
      <c r="E15" s="1392"/>
      <c r="F15" s="1392"/>
      <c r="G15" s="1392"/>
      <c r="H15" s="1392"/>
      <c r="I15" s="1358"/>
      <c r="J15" s="1393"/>
      <c r="K15" s="1393"/>
      <c r="L15" s="1394"/>
      <c r="M15" s="2218"/>
    </row>
    <row r="16" spans="1:13" s="423" customFormat="1" ht="13.5" customHeight="1">
      <c r="A16" s="1936"/>
      <c r="B16" s="2216"/>
      <c r="C16" s="904" t="s">
        <v>27</v>
      </c>
      <c r="D16" s="1391"/>
      <c r="E16" s="1392"/>
      <c r="F16" s="1392"/>
      <c r="G16" s="1392"/>
      <c r="H16" s="1392"/>
      <c r="I16" s="1358"/>
      <c r="J16" s="1393"/>
      <c r="K16" s="1393"/>
      <c r="L16" s="1394"/>
      <c r="M16" s="2218"/>
    </row>
    <row r="17" spans="1:13" s="423" customFormat="1" ht="13.5" customHeight="1">
      <c r="A17" s="1936"/>
      <c r="B17" s="2216"/>
      <c r="C17" s="911" t="s">
        <v>28</v>
      </c>
      <c r="D17" s="1391"/>
      <c r="E17" s="1387">
        <f>SUM(E19+E22+E23)</f>
        <v>0</v>
      </c>
      <c r="F17" s="1387">
        <f>SUM(F19+F22+F23)</f>
        <v>25000</v>
      </c>
      <c r="G17" s="1387"/>
      <c r="H17" s="1387">
        <f>SUM(H19+H22+H23)</f>
        <v>0</v>
      </c>
      <c r="I17" s="1358"/>
      <c r="J17" s="1389">
        <f>SUM(J18)</f>
        <v>760000</v>
      </c>
      <c r="K17" s="1389">
        <f>J17+H17</f>
        <v>760000</v>
      </c>
      <c r="L17" s="1390"/>
      <c r="M17" s="2218"/>
    </row>
    <row r="18" spans="1:13" s="423" customFormat="1" ht="13.5" customHeight="1">
      <c r="A18" s="1936"/>
      <c r="B18" s="2216"/>
      <c r="C18" s="2220" t="s">
        <v>29</v>
      </c>
      <c r="D18" s="1391" t="s">
        <v>366</v>
      </c>
      <c r="E18" s="1387"/>
      <c r="F18" s="1387">
        <f>SUM(F19:F20)</f>
        <v>25000</v>
      </c>
      <c r="G18" s="1387"/>
      <c r="H18" s="1387"/>
      <c r="I18" s="1358"/>
      <c r="J18" s="1389">
        <f>SUM(J19:J20)</f>
        <v>760000</v>
      </c>
      <c r="K18" s="1389">
        <f>J18+H18</f>
        <v>760000</v>
      </c>
      <c r="L18" s="1390"/>
      <c r="M18" s="2218"/>
    </row>
    <row r="19" spans="1:13" s="423" customFormat="1" ht="13.5" customHeight="1">
      <c r="A19" s="1936"/>
      <c r="B19" s="2216"/>
      <c r="C19" s="2220"/>
      <c r="D19" s="1399">
        <v>6490</v>
      </c>
      <c r="E19" s="1400">
        <v>0</v>
      </c>
      <c r="F19" s="1400">
        <v>25000</v>
      </c>
      <c r="G19" s="1400"/>
      <c r="H19" s="1400"/>
      <c r="I19" s="1401"/>
      <c r="J19" s="1402">
        <v>0</v>
      </c>
      <c r="K19" s="1402">
        <v>0</v>
      </c>
      <c r="L19" s="1394"/>
      <c r="M19" s="2218"/>
    </row>
    <row r="20" spans="1:13" s="423" customFormat="1" ht="13.5" customHeight="1">
      <c r="A20" s="1936"/>
      <c r="B20" s="2216"/>
      <c r="C20" s="2220"/>
      <c r="D20" s="1399">
        <v>6390</v>
      </c>
      <c r="E20" s="1400">
        <v>0</v>
      </c>
      <c r="F20" s="1400">
        <v>0</v>
      </c>
      <c r="G20" s="1400"/>
      <c r="H20" s="1400"/>
      <c r="I20" s="1401"/>
      <c r="J20" s="1402">
        <v>760000</v>
      </c>
      <c r="K20" s="1402">
        <f>SUM(J20,H20)</f>
        <v>760000</v>
      </c>
      <c r="L20" s="1394"/>
      <c r="M20" s="2218"/>
    </row>
    <row r="21" spans="1:13" s="423" customFormat="1" ht="22.5">
      <c r="A21" s="1936"/>
      <c r="B21" s="2216"/>
      <c r="C21" s="910" t="s">
        <v>89</v>
      </c>
      <c r="D21" s="1391"/>
      <c r="E21" s="1392"/>
      <c r="F21" s="1392"/>
      <c r="G21" s="1392"/>
      <c r="H21" s="1392"/>
      <c r="I21" s="1358"/>
      <c r="J21" s="1393"/>
      <c r="K21" s="1393"/>
      <c r="L21" s="1394"/>
      <c r="M21" s="2218"/>
    </row>
    <row r="22" spans="1:13" s="423" customFormat="1" ht="13.5" customHeight="1">
      <c r="A22" s="1936"/>
      <c r="B22" s="2216"/>
      <c r="C22" s="904" t="s">
        <v>31</v>
      </c>
      <c r="D22" s="1396"/>
      <c r="E22" s="1392"/>
      <c r="F22" s="1392"/>
      <c r="G22" s="1392"/>
      <c r="H22" s="1392"/>
      <c r="I22" s="1358"/>
      <c r="J22" s="1393"/>
      <c r="K22" s="1393"/>
      <c r="L22" s="1394"/>
      <c r="M22" s="2218"/>
    </row>
    <row r="23" spans="1:13" s="423" customFormat="1" ht="14.1" customHeight="1" thickBot="1">
      <c r="A23" s="1937"/>
      <c r="B23" s="2217"/>
      <c r="C23" s="679" t="s">
        <v>32</v>
      </c>
      <c r="D23" s="1618"/>
      <c r="E23" s="1619"/>
      <c r="F23" s="1619"/>
      <c r="G23" s="1619"/>
      <c r="H23" s="1619"/>
      <c r="I23" s="1620"/>
      <c r="J23" s="1621"/>
      <c r="K23" s="1621"/>
      <c r="L23" s="1622"/>
      <c r="M23" s="2219"/>
    </row>
    <row r="24" spans="1:13" s="423" customFormat="1" ht="14.1" customHeight="1">
      <c r="A24" s="392" t="s">
        <v>14</v>
      </c>
      <c r="B24" s="812"/>
      <c r="C24" s="1626" t="s">
        <v>363</v>
      </c>
      <c r="D24" s="1627"/>
      <c r="E24" s="1628">
        <f>E25</f>
        <v>2897</v>
      </c>
      <c r="F24" s="1628">
        <f>F25</f>
        <v>4889</v>
      </c>
      <c r="G24" s="1628">
        <f>G25</f>
        <v>0</v>
      </c>
      <c r="H24" s="1628">
        <f>H25</f>
        <v>0</v>
      </c>
      <c r="I24" s="1629">
        <f>H24/E24</f>
        <v>0</v>
      </c>
      <c r="J24" s="1630">
        <f>J25</f>
        <v>0</v>
      </c>
      <c r="K24" s="1630">
        <f>K25</f>
        <v>0</v>
      </c>
      <c r="L24" s="1631"/>
      <c r="M24" s="1632"/>
    </row>
    <row r="25" spans="1:13" s="423" customFormat="1" ht="14.1" customHeight="1">
      <c r="A25" s="1936"/>
      <c r="B25" s="2207" t="s">
        <v>16</v>
      </c>
      <c r="C25" s="1380" t="s">
        <v>17</v>
      </c>
      <c r="D25" s="1381"/>
      <c r="E25" s="1382">
        <f>SUM(E26+E43)</f>
        <v>2897</v>
      </c>
      <c r="F25" s="1382">
        <f>SUM(F26+F43)</f>
        <v>4889</v>
      </c>
      <c r="G25" s="1382"/>
      <c r="H25" s="1382">
        <f>SUM(H26+H43)</f>
        <v>0</v>
      </c>
      <c r="I25" s="1383">
        <f>H25/E25</f>
        <v>0</v>
      </c>
      <c r="J25" s="1384">
        <f>SUM(J26+J43)</f>
        <v>0</v>
      </c>
      <c r="K25" s="1384">
        <f>SUM(K26+K43)</f>
        <v>0</v>
      </c>
      <c r="L25" s="1385"/>
      <c r="M25" s="1979"/>
    </row>
    <row r="26" spans="1:13" s="423" customFormat="1" ht="14.1" customHeight="1">
      <c r="A26" s="1936"/>
      <c r="B26" s="2208"/>
      <c r="C26" s="901" t="s">
        <v>18</v>
      </c>
      <c r="D26" s="1386"/>
      <c r="E26" s="1387">
        <f>SUM(E27+E30+E31+E32+E41+E42)</f>
        <v>2897</v>
      </c>
      <c r="F26" s="1387">
        <f>SUM(F27+F30+F31+F32+F41+F42)</f>
        <v>4889</v>
      </c>
      <c r="G26" s="1387"/>
      <c r="H26" s="1387">
        <f>SUM(H27+H30+H31+H32+H41+H42)</f>
        <v>0</v>
      </c>
      <c r="I26" s="1388">
        <f>H26/E26</f>
        <v>0</v>
      </c>
      <c r="J26" s="1389">
        <f>SUM(J27+J30+J31+J32+J41+J42)</f>
        <v>0</v>
      </c>
      <c r="K26" s="1389">
        <f>SUM(K27+K30+K31+K32+K41+K42)</f>
        <v>0</v>
      </c>
      <c r="L26" s="1390"/>
      <c r="M26" s="1979"/>
    </row>
    <row r="27" spans="1:13" s="423" customFormat="1" ht="14.1" customHeight="1">
      <c r="A27" s="1936"/>
      <c r="B27" s="2208"/>
      <c r="C27" s="904" t="s">
        <v>19</v>
      </c>
      <c r="D27" s="1391"/>
      <c r="E27" s="1392"/>
      <c r="F27" s="1392"/>
      <c r="G27" s="1392"/>
      <c r="H27" s="1392"/>
      <c r="I27" s="1388"/>
      <c r="J27" s="1393"/>
      <c r="K27" s="1393"/>
      <c r="L27" s="1394"/>
      <c r="M27" s="1979"/>
    </row>
    <row r="28" spans="1:13" s="423" customFormat="1" ht="14.1" customHeight="1">
      <c r="A28" s="1936"/>
      <c r="B28" s="2208"/>
      <c r="C28" s="904" t="s">
        <v>20</v>
      </c>
      <c r="D28" s="1391"/>
      <c r="E28" s="1392"/>
      <c r="F28" s="1392"/>
      <c r="G28" s="1392"/>
      <c r="H28" s="1392"/>
      <c r="I28" s="1388"/>
      <c r="J28" s="1393"/>
      <c r="K28" s="1393"/>
      <c r="L28" s="1394"/>
      <c r="M28" s="1979"/>
    </row>
    <row r="29" spans="1:13" s="423" customFormat="1" ht="24" customHeight="1">
      <c r="A29" s="1936"/>
      <c r="B29" s="2208"/>
      <c r="C29" s="910" t="s">
        <v>369</v>
      </c>
      <c r="D29" s="1396"/>
      <c r="E29" s="1392"/>
      <c r="F29" s="1392"/>
      <c r="G29" s="1392"/>
      <c r="H29" s="1392"/>
      <c r="I29" s="1388"/>
      <c r="J29" s="1393"/>
      <c r="K29" s="1393"/>
      <c r="L29" s="1394"/>
      <c r="M29" s="1979"/>
    </row>
    <row r="30" spans="1:13" s="423" customFormat="1" ht="14.1" customHeight="1">
      <c r="A30" s="1936"/>
      <c r="B30" s="2208"/>
      <c r="C30" s="904" t="s">
        <v>23</v>
      </c>
      <c r="D30" s="1391"/>
      <c r="E30" s="1392"/>
      <c r="F30" s="1392"/>
      <c r="G30" s="1392"/>
      <c r="H30" s="1392"/>
      <c r="I30" s="1388"/>
      <c r="J30" s="1393"/>
      <c r="K30" s="1393"/>
      <c r="L30" s="1394"/>
      <c r="M30" s="1979"/>
    </row>
    <row r="31" spans="1:13" s="423" customFormat="1" ht="14.1" customHeight="1">
      <c r="A31" s="1936"/>
      <c r="B31" s="2208"/>
      <c r="C31" s="904" t="s">
        <v>24</v>
      </c>
      <c r="D31" s="1391"/>
      <c r="E31" s="1392"/>
      <c r="F31" s="1392"/>
      <c r="G31" s="1392"/>
      <c r="H31" s="1392"/>
      <c r="I31" s="1388"/>
      <c r="J31" s="1393"/>
      <c r="K31" s="1393"/>
      <c r="L31" s="1394"/>
      <c r="M31" s="1979"/>
    </row>
    <row r="32" spans="1:13" s="423" customFormat="1" ht="22.5" customHeight="1">
      <c r="A32" s="1936"/>
      <c r="B32" s="2208"/>
      <c r="C32" s="2203" t="s">
        <v>427</v>
      </c>
      <c r="D32" s="1396" t="s">
        <v>366</v>
      </c>
      <c r="E32" s="1392">
        <f>SUM(E33:E40)</f>
        <v>2897</v>
      </c>
      <c r="F32" s="1392">
        <f>SUM(F33:F40)</f>
        <v>4889</v>
      </c>
      <c r="G32" s="1392">
        <f>SUM(G33:G40)</f>
        <v>0</v>
      </c>
      <c r="H32" s="1392">
        <f>SUM(H33:H40)</f>
        <v>0</v>
      </c>
      <c r="I32" s="1397">
        <f t="shared" ref="I32:I40" si="0">H32/E32</f>
        <v>0</v>
      </c>
      <c r="J32" s="1393">
        <f>SUM(J33:J40)</f>
        <v>0</v>
      </c>
      <c r="K32" s="1393">
        <f>SUM(K33:K40)</f>
        <v>0</v>
      </c>
      <c r="L32" s="1394"/>
      <c r="M32" s="1979"/>
    </row>
    <row r="33" spans="1:13" s="423" customFormat="1" ht="11.25" customHeight="1">
      <c r="A33" s="1936"/>
      <c r="B33" s="2208"/>
      <c r="C33" s="2203"/>
      <c r="D33" s="1398">
        <v>4018</v>
      </c>
      <c r="E33" s="1400">
        <v>1832</v>
      </c>
      <c r="F33" s="1400">
        <v>3079</v>
      </c>
      <c r="G33" s="1400"/>
      <c r="H33" s="1400">
        <v>0</v>
      </c>
      <c r="I33" s="1397">
        <f t="shared" si="0"/>
        <v>0</v>
      </c>
      <c r="J33" s="1402"/>
      <c r="K33" s="1402">
        <v>0</v>
      </c>
      <c r="L33" s="1408"/>
      <c r="M33" s="1979"/>
    </row>
    <row r="34" spans="1:13" s="423" customFormat="1" ht="11.25" customHeight="1">
      <c r="A34" s="1936"/>
      <c r="B34" s="2208"/>
      <c r="C34" s="2203"/>
      <c r="D34" s="1398">
        <v>4019</v>
      </c>
      <c r="E34" s="1400">
        <v>562</v>
      </c>
      <c r="F34" s="1400">
        <v>940</v>
      </c>
      <c r="G34" s="1400"/>
      <c r="H34" s="1400">
        <v>0</v>
      </c>
      <c r="I34" s="1397">
        <f t="shared" si="0"/>
        <v>0</v>
      </c>
      <c r="J34" s="1402"/>
      <c r="K34" s="1402">
        <v>0</v>
      </c>
      <c r="L34" s="1408"/>
      <c r="M34" s="1979"/>
    </row>
    <row r="35" spans="1:13" s="423" customFormat="1" ht="11.25" customHeight="1">
      <c r="A35" s="1936"/>
      <c r="B35" s="2208"/>
      <c r="C35" s="2203"/>
      <c r="D35" s="1398">
        <v>4118</v>
      </c>
      <c r="E35" s="1400">
        <v>316</v>
      </c>
      <c r="F35" s="1400">
        <v>544</v>
      </c>
      <c r="G35" s="1400"/>
      <c r="H35" s="1400">
        <v>0</v>
      </c>
      <c r="I35" s="1397">
        <f t="shared" si="0"/>
        <v>0</v>
      </c>
      <c r="J35" s="1402"/>
      <c r="K35" s="1402">
        <v>0</v>
      </c>
      <c r="L35" s="1408"/>
      <c r="M35" s="1979"/>
    </row>
    <row r="36" spans="1:13" s="423" customFormat="1" ht="11.25" customHeight="1">
      <c r="A36" s="1936"/>
      <c r="B36" s="2208"/>
      <c r="C36" s="2203"/>
      <c r="D36" s="1398">
        <v>4119</v>
      </c>
      <c r="E36" s="1400">
        <v>97</v>
      </c>
      <c r="F36" s="1400">
        <v>167</v>
      </c>
      <c r="G36" s="1400"/>
      <c r="H36" s="1400">
        <v>0</v>
      </c>
      <c r="I36" s="1397">
        <f t="shared" si="0"/>
        <v>0</v>
      </c>
      <c r="J36" s="1402"/>
      <c r="K36" s="1402">
        <v>0</v>
      </c>
      <c r="L36" s="1408"/>
      <c r="M36" s="1979"/>
    </row>
    <row r="37" spans="1:13" s="423" customFormat="1" ht="11.25" customHeight="1">
      <c r="A37" s="1936"/>
      <c r="B37" s="2208"/>
      <c r="C37" s="2203"/>
      <c r="D37" s="1398">
        <v>4128</v>
      </c>
      <c r="E37" s="1400">
        <v>45</v>
      </c>
      <c r="F37" s="1400">
        <v>77</v>
      </c>
      <c r="G37" s="1400"/>
      <c r="H37" s="1400">
        <v>0</v>
      </c>
      <c r="I37" s="1397">
        <f t="shared" si="0"/>
        <v>0</v>
      </c>
      <c r="J37" s="1402"/>
      <c r="K37" s="1402">
        <v>0</v>
      </c>
      <c r="L37" s="1408"/>
      <c r="M37" s="1979"/>
    </row>
    <row r="38" spans="1:13" s="423" customFormat="1" ht="11.25" customHeight="1">
      <c r="A38" s="1936"/>
      <c r="B38" s="2208"/>
      <c r="C38" s="2203"/>
      <c r="D38" s="1398">
        <v>4129</v>
      </c>
      <c r="E38" s="1400">
        <v>14</v>
      </c>
      <c r="F38" s="1400">
        <v>24</v>
      </c>
      <c r="G38" s="1400"/>
      <c r="H38" s="1400">
        <v>0</v>
      </c>
      <c r="I38" s="1397">
        <f t="shared" si="0"/>
        <v>0</v>
      </c>
      <c r="J38" s="1402"/>
      <c r="K38" s="1402">
        <v>0</v>
      </c>
      <c r="L38" s="1408"/>
      <c r="M38" s="1979"/>
    </row>
    <row r="39" spans="1:13" s="423" customFormat="1" ht="11.25" customHeight="1">
      <c r="A39" s="1936"/>
      <c r="B39" s="2208"/>
      <c r="C39" s="2204"/>
      <c r="D39" s="1398">
        <v>4718</v>
      </c>
      <c r="E39" s="1400">
        <v>23</v>
      </c>
      <c r="F39" s="1400">
        <v>40</v>
      </c>
      <c r="G39" s="1400"/>
      <c r="H39" s="1400">
        <v>0</v>
      </c>
      <c r="I39" s="1388">
        <f t="shared" si="0"/>
        <v>0</v>
      </c>
      <c r="J39" s="1402"/>
      <c r="K39" s="1402">
        <v>0</v>
      </c>
      <c r="L39" s="1408"/>
      <c r="M39" s="1979"/>
    </row>
    <row r="40" spans="1:13" s="423" customFormat="1" ht="11.25" customHeight="1">
      <c r="A40" s="1936"/>
      <c r="B40" s="2208"/>
      <c r="C40" s="2204"/>
      <c r="D40" s="1398">
        <v>4719</v>
      </c>
      <c r="E40" s="1400">
        <v>8</v>
      </c>
      <c r="F40" s="1400">
        <v>18</v>
      </c>
      <c r="G40" s="1400"/>
      <c r="H40" s="1400">
        <v>0</v>
      </c>
      <c r="I40" s="1388">
        <f t="shared" si="0"/>
        <v>0</v>
      </c>
      <c r="J40" s="1402"/>
      <c r="K40" s="1402">
        <v>0</v>
      </c>
      <c r="L40" s="1408"/>
      <c r="M40" s="1979"/>
    </row>
    <row r="41" spans="1:13" s="423" customFormat="1" ht="13.5" customHeight="1">
      <c r="A41" s="1936"/>
      <c r="B41" s="2208"/>
      <c r="C41" s="904" t="s">
        <v>26</v>
      </c>
      <c r="D41" s="1398"/>
      <c r="E41" s="1392"/>
      <c r="F41" s="1392"/>
      <c r="G41" s="1392"/>
      <c r="H41" s="1392"/>
      <c r="I41" s="1358"/>
      <c r="J41" s="1393"/>
      <c r="K41" s="1393"/>
      <c r="L41" s="1394"/>
      <c r="M41" s="1979"/>
    </row>
    <row r="42" spans="1:13" s="423" customFormat="1" ht="13.5" customHeight="1">
      <c r="A42" s="1929"/>
      <c r="B42" s="2208"/>
      <c r="C42" s="904" t="s">
        <v>27</v>
      </c>
      <c r="D42" s="1391"/>
      <c r="E42" s="1392"/>
      <c r="F42" s="1392"/>
      <c r="G42" s="1392"/>
      <c r="H42" s="1392"/>
      <c r="I42" s="1358"/>
      <c r="J42" s="1393"/>
      <c r="K42" s="1393"/>
      <c r="L42" s="1394"/>
      <c r="M42" s="2120"/>
    </row>
    <row r="43" spans="1:13" s="423" customFormat="1" ht="13.5" customHeight="1">
      <c r="A43" s="2119"/>
      <c r="B43" s="2208"/>
      <c r="C43" s="911" t="s">
        <v>28</v>
      </c>
      <c r="D43" s="1391"/>
      <c r="E43" s="1387">
        <f>SUM(E44+E46+E47)</f>
        <v>0</v>
      </c>
      <c r="F43" s="1387">
        <f>SUM(F44+F46+F47)</f>
        <v>0</v>
      </c>
      <c r="G43" s="1387"/>
      <c r="H43" s="1387">
        <f>SUM(H44+H46+H47)</f>
        <v>0</v>
      </c>
      <c r="I43" s="1358"/>
      <c r="J43" s="1389">
        <f>SUM(J44+J46+J47)</f>
        <v>0</v>
      </c>
      <c r="K43" s="1389">
        <f>SUM(K44+K46+K47)</f>
        <v>0</v>
      </c>
      <c r="L43" s="1390"/>
      <c r="M43" s="2205"/>
    </row>
    <row r="44" spans="1:13" s="423" customFormat="1" ht="13.5" customHeight="1">
      <c r="A44" s="1936"/>
      <c r="B44" s="2208"/>
      <c r="C44" s="904" t="s">
        <v>29</v>
      </c>
      <c r="D44" s="1315"/>
      <c r="E44" s="1392"/>
      <c r="F44" s="1392"/>
      <c r="G44" s="1392"/>
      <c r="H44" s="1392"/>
      <c r="I44" s="1358"/>
      <c r="J44" s="1393"/>
      <c r="K44" s="1393"/>
      <c r="L44" s="1394"/>
      <c r="M44" s="2206"/>
    </row>
    <row r="45" spans="1:13" s="423" customFormat="1" ht="22.5">
      <c r="A45" s="1936"/>
      <c r="B45" s="2208"/>
      <c r="C45" s="910" t="s">
        <v>89</v>
      </c>
      <c r="D45" s="1391"/>
      <c r="E45" s="1392"/>
      <c r="F45" s="1392"/>
      <c r="G45" s="1392"/>
      <c r="H45" s="1392"/>
      <c r="I45" s="1358"/>
      <c r="J45" s="1393"/>
      <c r="K45" s="1393"/>
      <c r="L45" s="1394"/>
      <c r="M45" s="2206"/>
    </row>
    <row r="46" spans="1:13" s="423" customFormat="1" ht="13.5" customHeight="1">
      <c r="A46" s="1936"/>
      <c r="B46" s="2208"/>
      <c r="C46" s="904" t="s">
        <v>31</v>
      </c>
      <c r="D46" s="1396"/>
      <c r="E46" s="1392"/>
      <c r="F46" s="1392"/>
      <c r="G46" s="1392"/>
      <c r="H46" s="1392"/>
      <c r="I46" s="1358"/>
      <c r="J46" s="1393"/>
      <c r="K46" s="1393"/>
      <c r="L46" s="1394"/>
      <c r="M46" s="2206"/>
    </row>
    <row r="47" spans="1:13" s="423" customFormat="1" ht="14.1" customHeight="1">
      <c r="A47" s="1936"/>
      <c r="B47" s="2209"/>
      <c r="C47" s="904" t="s">
        <v>32</v>
      </c>
      <c r="D47" s="1391"/>
      <c r="E47" s="1392"/>
      <c r="F47" s="1392"/>
      <c r="G47" s="1392"/>
      <c r="H47" s="1392"/>
      <c r="I47" s="1358"/>
      <c r="J47" s="1393"/>
      <c r="K47" s="1393"/>
      <c r="L47" s="1394"/>
      <c r="M47" s="2206"/>
    </row>
    <row r="48" spans="1:13" s="423" customFormat="1" ht="27" customHeight="1">
      <c r="A48" s="877" t="s">
        <v>107</v>
      </c>
      <c r="B48" s="1368"/>
      <c r="C48" s="1409" t="s">
        <v>108</v>
      </c>
      <c r="D48" s="1410"/>
      <c r="E48" s="1404">
        <f>E49</f>
        <v>50000</v>
      </c>
      <c r="F48" s="1404">
        <f t="shared" ref="F48:G48" si="1">F49</f>
        <v>4776891</v>
      </c>
      <c r="G48" s="1404">
        <f t="shared" si="1"/>
        <v>0</v>
      </c>
      <c r="H48" s="1404">
        <f>H49</f>
        <v>0</v>
      </c>
      <c r="I48" s="1405">
        <f>H48/E48</f>
        <v>0</v>
      </c>
      <c r="J48" s="1406">
        <f>J49</f>
        <v>0</v>
      </c>
      <c r="K48" s="1406">
        <f>K49</f>
        <v>0</v>
      </c>
      <c r="L48" s="1407"/>
      <c r="M48" s="1411"/>
    </row>
    <row r="49" spans="1:13" s="423" customFormat="1" ht="14.1" customHeight="1">
      <c r="A49" s="1936"/>
      <c r="B49" s="2151">
        <v>75421</v>
      </c>
      <c r="C49" s="1412" t="s">
        <v>409</v>
      </c>
      <c r="D49" s="1413"/>
      <c r="E49" s="1414">
        <f>E50+E59</f>
        <v>50000</v>
      </c>
      <c r="F49" s="1414">
        <f>F50+F59</f>
        <v>4776891</v>
      </c>
      <c r="G49" s="1414">
        <f>G50+G59</f>
        <v>0</v>
      </c>
      <c r="H49" s="1414">
        <f>H50+H59</f>
        <v>0</v>
      </c>
      <c r="I49" s="1415">
        <f>H49/E49</f>
        <v>0</v>
      </c>
      <c r="J49" s="1416">
        <f>J50+J59</f>
        <v>0</v>
      </c>
      <c r="K49" s="1416">
        <f>K50+K59</f>
        <v>0</v>
      </c>
      <c r="L49" s="1417"/>
      <c r="M49" s="2193"/>
    </row>
    <row r="50" spans="1:13" s="423" customFormat="1" ht="14.1" customHeight="1">
      <c r="A50" s="1936"/>
      <c r="B50" s="2151"/>
      <c r="C50" s="1418" t="s">
        <v>18</v>
      </c>
      <c r="D50" s="1419"/>
      <c r="E50" s="1313">
        <f>E51+E54+E55+E56+E57+E58</f>
        <v>50000</v>
      </c>
      <c r="F50" s="1313">
        <f>F51+F54+F55+F56+F57+F58</f>
        <v>4776891</v>
      </c>
      <c r="G50" s="1313">
        <f>G51+G54+G55+G56+G57+G58</f>
        <v>0</v>
      </c>
      <c r="H50" s="1313">
        <f>H51+H54+H55+H56+H57+H58</f>
        <v>0</v>
      </c>
      <c r="I50" s="1420">
        <f>H50/E50</f>
        <v>0</v>
      </c>
      <c r="J50" s="1310">
        <f>J51+J54+J55+J56+J57+J58</f>
        <v>0</v>
      </c>
      <c r="K50" s="1310">
        <f>K51+K54+K55+K56+K57+K58</f>
        <v>0</v>
      </c>
      <c r="L50" s="1421"/>
      <c r="M50" s="2193"/>
    </row>
    <row r="51" spans="1:13" s="423" customFormat="1" ht="14.1" customHeight="1">
      <c r="A51" s="1936"/>
      <c r="B51" s="2151"/>
      <c r="C51" s="1422" t="s">
        <v>19</v>
      </c>
      <c r="D51" s="1309"/>
      <c r="E51" s="1423">
        <f>E52+E53</f>
        <v>50000</v>
      </c>
      <c r="F51" s="1423">
        <f>F52+F53</f>
        <v>3030891</v>
      </c>
      <c r="G51" s="1423">
        <f>G52+G53</f>
        <v>0</v>
      </c>
      <c r="H51" s="1423">
        <f>H52+H53</f>
        <v>0</v>
      </c>
      <c r="I51" s="1424">
        <f>H51/E51</f>
        <v>0</v>
      </c>
      <c r="J51" s="1425">
        <f>J52+J53</f>
        <v>0</v>
      </c>
      <c r="K51" s="1425">
        <f>K52+K53</f>
        <v>0</v>
      </c>
      <c r="L51" s="1426"/>
      <c r="M51" s="2193"/>
    </row>
    <row r="52" spans="1:13" s="423" customFormat="1" ht="14.1" customHeight="1">
      <c r="A52" s="1936"/>
      <c r="B52" s="2151"/>
      <c r="C52" s="1422" t="s">
        <v>20</v>
      </c>
      <c r="D52" s="1309"/>
      <c r="E52" s="1423"/>
      <c r="F52" s="1423"/>
      <c r="G52" s="1427"/>
      <c r="H52" s="1423"/>
      <c r="I52" s="1424"/>
      <c r="J52" s="1425"/>
      <c r="K52" s="1425"/>
      <c r="L52" s="1426"/>
      <c r="M52" s="2193"/>
    </row>
    <row r="53" spans="1:13" s="423" customFormat="1" ht="18" customHeight="1">
      <c r="A53" s="1936"/>
      <c r="B53" s="2151"/>
      <c r="C53" s="1428" t="s">
        <v>21</v>
      </c>
      <c r="D53" s="1429">
        <v>4300</v>
      </c>
      <c r="E53" s="1423">
        <v>50000</v>
      </c>
      <c r="F53" s="1423">
        <v>3030891</v>
      </c>
      <c r="G53" s="1427"/>
      <c r="H53" s="1423">
        <v>0</v>
      </c>
      <c r="I53" s="1424">
        <f>H53/E53</f>
        <v>0</v>
      </c>
      <c r="J53" s="1425"/>
      <c r="K53" s="1425">
        <v>0</v>
      </c>
      <c r="L53" s="1426"/>
      <c r="M53" s="2193"/>
    </row>
    <row r="54" spans="1:13" s="423" customFormat="1" ht="14.1" customHeight="1">
      <c r="A54" s="1936"/>
      <c r="B54" s="2151"/>
      <c r="C54" s="1422" t="s">
        <v>23</v>
      </c>
      <c r="D54" s="1429">
        <v>2560</v>
      </c>
      <c r="E54" s="1423"/>
      <c r="F54" s="1423">
        <v>1746000</v>
      </c>
      <c r="G54" s="1427"/>
      <c r="H54" s="1423"/>
      <c r="I54" s="1424"/>
      <c r="J54" s="1425"/>
      <c r="K54" s="1425"/>
      <c r="L54" s="1426"/>
      <c r="M54" s="2193"/>
    </row>
    <row r="55" spans="1:13" s="423" customFormat="1" ht="14.1" customHeight="1">
      <c r="A55" s="1936"/>
      <c r="B55" s="2151"/>
      <c r="C55" s="1422" t="s">
        <v>24</v>
      </c>
      <c r="D55" s="1309"/>
      <c r="E55" s="1423"/>
      <c r="F55" s="1423"/>
      <c r="G55" s="1427"/>
      <c r="H55" s="1423"/>
      <c r="I55" s="1430"/>
      <c r="J55" s="1425"/>
      <c r="K55" s="1425"/>
      <c r="L55" s="1426"/>
      <c r="M55" s="2193"/>
    </row>
    <row r="56" spans="1:13" s="423" customFormat="1" ht="30.75" customHeight="1">
      <c r="A56" s="1936"/>
      <c r="B56" s="2151"/>
      <c r="C56" s="1428" t="s">
        <v>25</v>
      </c>
      <c r="D56" s="1309"/>
      <c r="E56" s="1423"/>
      <c r="F56" s="1423"/>
      <c r="G56" s="1427"/>
      <c r="H56" s="1423"/>
      <c r="I56" s="1430"/>
      <c r="J56" s="1425"/>
      <c r="K56" s="1425"/>
      <c r="L56" s="1426"/>
      <c r="M56" s="2193"/>
    </row>
    <row r="57" spans="1:13" s="423" customFormat="1" ht="14.1" customHeight="1">
      <c r="A57" s="1936"/>
      <c r="B57" s="2151"/>
      <c r="C57" s="1422" t="s">
        <v>26</v>
      </c>
      <c r="D57" s="1309"/>
      <c r="E57" s="1423"/>
      <c r="F57" s="1423"/>
      <c r="G57" s="1427"/>
      <c r="H57" s="1423"/>
      <c r="I57" s="1430"/>
      <c r="J57" s="1425"/>
      <c r="K57" s="1425"/>
      <c r="L57" s="1426"/>
      <c r="M57" s="2193"/>
    </row>
    <row r="58" spans="1:13" s="423" customFormat="1" ht="14.1" customHeight="1">
      <c r="A58" s="1936"/>
      <c r="B58" s="2151"/>
      <c r="C58" s="1422" t="s">
        <v>27</v>
      </c>
      <c r="D58" s="1309"/>
      <c r="E58" s="1423"/>
      <c r="F58" s="1423"/>
      <c r="G58" s="1427"/>
      <c r="H58" s="1423"/>
      <c r="I58" s="1430"/>
      <c r="J58" s="1425"/>
      <c r="K58" s="1425"/>
      <c r="L58" s="1426"/>
      <c r="M58" s="2193"/>
    </row>
    <row r="59" spans="1:13" s="423" customFormat="1" ht="14.1" customHeight="1">
      <c r="A59" s="1936"/>
      <c r="B59" s="2151"/>
      <c r="C59" s="1308" t="s">
        <v>28</v>
      </c>
      <c r="D59" s="1309"/>
      <c r="E59" s="1313">
        <f>E60+E62+E63</f>
        <v>0</v>
      </c>
      <c r="F59" s="1313">
        <f>F60+F62+F63</f>
        <v>0</v>
      </c>
      <c r="G59" s="1313">
        <f>G60+G62+G63</f>
        <v>0</v>
      </c>
      <c r="H59" s="1313">
        <f>H60+H62+H63</f>
        <v>0</v>
      </c>
      <c r="I59" s="1430"/>
      <c r="J59" s="1310">
        <f>J60+J62+J63</f>
        <v>0</v>
      </c>
      <c r="K59" s="1310">
        <f>K60+K62+K63</f>
        <v>0</v>
      </c>
      <c r="L59" s="1421"/>
      <c r="M59" s="2193"/>
    </row>
    <row r="60" spans="1:13" s="423" customFormat="1" ht="14.1" customHeight="1">
      <c r="A60" s="1936"/>
      <c r="B60" s="2151"/>
      <c r="C60" s="1422" t="s">
        <v>29</v>
      </c>
      <c r="D60" s="1429"/>
      <c r="E60" s="1423"/>
      <c r="F60" s="1423"/>
      <c r="G60" s="1427"/>
      <c r="H60" s="1423"/>
      <c r="I60" s="1430"/>
      <c r="J60" s="1425"/>
      <c r="K60" s="1425"/>
      <c r="L60" s="1426"/>
      <c r="M60" s="2193"/>
    </row>
    <row r="61" spans="1:13" s="423" customFormat="1" ht="33.75" customHeight="1">
      <c r="A61" s="1936"/>
      <c r="B61" s="2151"/>
      <c r="C61" s="1428" t="s">
        <v>30</v>
      </c>
      <c r="D61" s="1309"/>
      <c r="E61" s="1423"/>
      <c r="F61" s="1423"/>
      <c r="G61" s="1427"/>
      <c r="H61" s="1423"/>
      <c r="I61" s="1431"/>
      <c r="J61" s="1425"/>
      <c r="K61" s="1425"/>
      <c r="L61" s="1426"/>
      <c r="M61" s="2193"/>
    </row>
    <row r="62" spans="1:13" s="423" customFormat="1" ht="14.1" customHeight="1">
      <c r="A62" s="1936"/>
      <c r="B62" s="2151"/>
      <c r="C62" s="1422" t="s">
        <v>31</v>
      </c>
      <c r="D62" s="1309"/>
      <c r="E62" s="1423"/>
      <c r="F62" s="1423"/>
      <c r="G62" s="1427"/>
      <c r="H62" s="1423"/>
      <c r="I62" s="1431"/>
      <c r="J62" s="1425"/>
      <c r="K62" s="1425"/>
      <c r="L62" s="1426"/>
      <c r="M62" s="2193"/>
    </row>
    <row r="63" spans="1:13" s="423" customFormat="1" ht="14.1" customHeight="1" thickBot="1">
      <c r="A63" s="1937"/>
      <c r="B63" s="2152"/>
      <c r="C63" s="1039" t="s">
        <v>32</v>
      </c>
      <c r="D63" s="1633"/>
      <c r="E63" s="1634"/>
      <c r="F63" s="1634"/>
      <c r="G63" s="1635"/>
      <c r="H63" s="1634"/>
      <c r="I63" s="1636"/>
      <c r="J63" s="1637"/>
      <c r="K63" s="1637"/>
      <c r="L63" s="1638"/>
      <c r="M63" s="2194"/>
    </row>
    <row r="64" spans="1:13" s="423" customFormat="1" ht="16.5" hidden="1" customHeight="1">
      <c r="A64" s="799" t="s">
        <v>156</v>
      </c>
      <c r="B64" s="764"/>
      <c r="C64" s="1623" t="s">
        <v>157</v>
      </c>
      <c r="D64" s="1624"/>
      <c r="E64" s="768">
        <f>E65</f>
        <v>0</v>
      </c>
      <c r="F64" s="768">
        <f>F65</f>
        <v>0</v>
      </c>
      <c r="G64" s="768">
        <f>G65</f>
        <v>0</v>
      </c>
      <c r="H64" s="768">
        <f>H65</f>
        <v>0</v>
      </c>
      <c r="I64" s="769" t="e">
        <f>H64/E64</f>
        <v>#DIV/0!</v>
      </c>
      <c r="J64" s="770">
        <f>J65</f>
        <v>0</v>
      </c>
      <c r="K64" s="770">
        <f>K65</f>
        <v>0</v>
      </c>
      <c r="L64" s="1617"/>
      <c r="M64" s="1625"/>
    </row>
    <row r="65" spans="1:13" s="423" customFormat="1" ht="39.75" hidden="1" customHeight="1">
      <c r="A65" s="1936"/>
      <c r="B65" s="2151">
        <v>75704</v>
      </c>
      <c r="C65" s="1432" t="s">
        <v>160</v>
      </c>
      <c r="D65" s="1413"/>
      <c r="E65" s="1414">
        <f>E66+E75</f>
        <v>0</v>
      </c>
      <c r="F65" s="1414">
        <f>F66+F75</f>
        <v>0</v>
      </c>
      <c r="G65" s="1414">
        <f>G66+G75</f>
        <v>0</v>
      </c>
      <c r="H65" s="1414">
        <f>H66+H75</f>
        <v>0</v>
      </c>
      <c r="I65" s="1433" t="e">
        <f>H65/E65</f>
        <v>#DIV/0!</v>
      </c>
      <c r="J65" s="1416">
        <f>J66+J75</f>
        <v>0</v>
      </c>
      <c r="K65" s="1416">
        <f>K66+K75</f>
        <v>0</v>
      </c>
      <c r="L65" s="1417"/>
      <c r="M65" s="2173" t="s">
        <v>162</v>
      </c>
    </row>
    <row r="66" spans="1:13" s="423" customFormat="1" ht="14.1" hidden="1" customHeight="1">
      <c r="A66" s="1936"/>
      <c r="B66" s="2151"/>
      <c r="C66" s="1418" t="s">
        <v>18</v>
      </c>
      <c r="D66" s="1419"/>
      <c r="E66" s="1313">
        <f>E67+E70+E71+E72+E73+E74</f>
        <v>0</v>
      </c>
      <c r="F66" s="1313">
        <f>F67+F70+F71+F72+F73+F74</f>
        <v>0</v>
      </c>
      <c r="G66" s="1313">
        <f>G67+G70+G71+G72+G73+G74</f>
        <v>0</v>
      </c>
      <c r="H66" s="1313">
        <f>H67+H70+H71+H72+H73+H74</f>
        <v>0</v>
      </c>
      <c r="I66" s="1434" t="e">
        <f>H66/E66</f>
        <v>#DIV/0!</v>
      </c>
      <c r="J66" s="1310">
        <f>J67+J70+J71+J72+J73+J74</f>
        <v>0</v>
      </c>
      <c r="K66" s="1310">
        <f>K67+K70+K71+K72+K73+K74</f>
        <v>0</v>
      </c>
      <c r="L66" s="1421"/>
      <c r="M66" s="2173"/>
    </row>
    <row r="67" spans="1:13" s="423" customFormat="1" ht="14.1" hidden="1" customHeight="1">
      <c r="A67" s="1936"/>
      <c r="B67" s="2151"/>
      <c r="C67" s="1422" t="s">
        <v>19</v>
      </c>
      <c r="D67" s="1309"/>
      <c r="E67" s="1423">
        <f>E68+E69</f>
        <v>0</v>
      </c>
      <c r="F67" s="1423">
        <f>F68+F69</f>
        <v>0</v>
      </c>
      <c r="G67" s="1423">
        <f>G68+G69</f>
        <v>0</v>
      </c>
      <c r="H67" s="1423">
        <f>H68+H69</f>
        <v>0</v>
      </c>
      <c r="I67" s="1434"/>
      <c r="J67" s="1425">
        <f>J68+J69</f>
        <v>0</v>
      </c>
      <c r="K67" s="1425">
        <f>K68+K69</f>
        <v>0</v>
      </c>
      <c r="L67" s="1426"/>
      <c r="M67" s="2173"/>
    </row>
    <row r="68" spans="1:13" s="423" customFormat="1" ht="14.1" hidden="1" customHeight="1">
      <c r="A68" s="1936"/>
      <c r="B68" s="2151"/>
      <c r="C68" s="1422" t="s">
        <v>20</v>
      </c>
      <c r="D68" s="1309"/>
      <c r="E68" s="1423"/>
      <c r="F68" s="1423"/>
      <c r="G68" s="1427"/>
      <c r="H68" s="1423"/>
      <c r="I68" s="1434"/>
      <c r="J68" s="1425"/>
      <c r="K68" s="1425"/>
      <c r="L68" s="1426"/>
      <c r="M68" s="2173"/>
    </row>
    <row r="69" spans="1:13" s="423" customFormat="1" ht="29.25" hidden="1" customHeight="1">
      <c r="A69" s="1936"/>
      <c r="B69" s="2151"/>
      <c r="C69" s="1428" t="s">
        <v>21</v>
      </c>
      <c r="D69" s="1429"/>
      <c r="E69" s="1423"/>
      <c r="F69" s="1423"/>
      <c r="G69" s="1427"/>
      <c r="H69" s="1423"/>
      <c r="I69" s="1434"/>
      <c r="J69" s="1425"/>
      <c r="K69" s="1425"/>
      <c r="L69" s="1426"/>
      <c r="M69" s="2173"/>
    </row>
    <row r="70" spans="1:13" s="423" customFormat="1" ht="14.1" hidden="1" customHeight="1">
      <c r="A70" s="1936"/>
      <c r="B70" s="2151"/>
      <c r="C70" s="1422" t="s">
        <v>23</v>
      </c>
      <c r="D70" s="1429"/>
      <c r="E70" s="1423">
        <v>0</v>
      </c>
      <c r="F70" s="1423"/>
      <c r="G70" s="1427"/>
      <c r="H70" s="1423"/>
      <c r="I70" s="1434"/>
      <c r="J70" s="1425"/>
      <c r="K70" s="1425"/>
      <c r="L70" s="1426"/>
      <c r="M70" s="2173"/>
    </row>
    <row r="71" spans="1:13" s="423" customFormat="1" ht="14.1" hidden="1" customHeight="1">
      <c r="A71" s="1936"/>
      <c r="B71" s="2151"/>
      <c r="C71" s="1422" t="s">
        <v>24</v>
      </c>
      <c r="D71" s="1309"/>
      <c r="E71" s="1423"/>
      <c r="F71" s="1423"/>
      <c r="G71" s="1427"/>
      <c r="H71" s="1423"/>
      <c r="I71" s="1434"/>
      <c r="J71" s="1425"/>
      <c r="K71" s="1425"/>
      <c r="L71" s="1426"/>
      <c r="M71" s="2173"/>
    </row>
    <row r="72" spans="1:13" s="423" customFormat="1" ht="30.75" hidden="1" customHeight="1">
      <c r="A72" s="1936"/>
      <c r="B72" s="2151"/>
      <c r="C72" s="1428" t="s">
        <v>25</v>
      </c>
      <c r="D72" s="1309"/>
      <c r="E72" s="1423"/>
      <c r="F72" s="1423"/>
      <c r="G72" s="1427"/>
      <c r="H72" s="1423"/>
      <c r="I72" s="1434"/>
      <c r="J72" s="1425"/>
      <c r="K72" s="1425"/>
      <c r="L72" s="1426"/>
      <c r="M72" s="2173"/>
    </row>
    <row r="73" spans="1:13" s="423" customFormat="1" ht="14.1" hidden="1" customHeight="1">
      <c r="A73" s="1936"/>
      <c r="B73" s="2151"/>
      <c r="C73" s="1422" t="s">
        <v>26</v>
      </c>
      <c r="D73" s="1429">
        <v>8030</v>
      </c>
      <c r="E73" s="1423">
        <v>0</v>
      </c>
      <c r="F73" s="1423">
        <v>0</v>
      </c>
      <c r="G73" s="1427"/>
      <c r="H73" s="1423">
        <v>0</v>
      </c>
      <c r="I73" s="1435" t="e">
        <f t="shared" ref="I73" si="2">H73/E73</f>
        <v>#DIV/0!</v>
      </c>
      <c r="J73" s="1425"/>
      <c r="K73" s="1425">
        <v>0</v>
      </c>
      <c r="L73" s="1426"/>
      <c r="M73" s="2173"/>
    </row>
    <row r="74" spans="1:13" s="423" customFormat="1" ht="14.1" hidden="1" customHeight="1">
      <c r="A74" s="1936"/>
      <c r="B74" s="2151"/>
      <c r="C74" s="1422" t="s">
        <v>27</v>
      </c>
      <c r="D74" s="1309"/>
      <c r="E74" s="1423"/>
      <c r="F74" s="1423"/>
      <c r="G74" s="1427"/>
      <c r="H74" s="1423"/>
      <c r="I74" s="1427"/>
      <c r="J74" s="1425"/>
      <c r="K74" s="1425"/>
      <c r="L74" s="1426"/>
      <c r="M74" s="2173"/>
    </row>
    <row r="75" spans="1:13" s="423" customFormat="1" ht="14.1" hidden="1" customHeight="1">
      <c r="A75" s="1936"/>
      <c r="B75" s="2151"/>
      <c r="C75" s="1308" t="s">
        <v>28</v>
      </c>
      <c r="D75" s="1309"/>
      <c r="E75" s="1313">
        <f>E76+E78+E79</f>
        <v>0</v>
      </c>
      <c r="F75" s="1313">
        <f>F76+F78+F79</f>
        <v>0</v>
      </c>
      <c r="G75" s="1313">
        <f>G76+G78+G79</f>
        <v>0</v>
      </c>
      <c r="H75" s="1313">
        <f>H76+H78+H79</f>
        <v>0</v>
      </c>
      <c r="I75" s="1430"/>
      <c r="J75" s="1310">
        <f>J76+J78+J79</f>
        <v>0</v>
      </c>
      <c r="K75" s="1310">
        <f>K76+K78+K79</f>
        <v>0</v>
      </c>
      <c r="L75" s="1421"/>
      <c r="M75" s="2173"/>
    </row>
    <row r="76" spans="1:13" s="423" customFormat="1" ht="14.1" hidden="1" customHeight="1">
      <c r="A76" s="1936"/>
      <c r="B76" s="2151"/>
      <c r="C76" s="1422" t="s">
        <v>29</v>
      </c>
      <c r="D76" s="1429"/>
      <c r="E76" s="1423"/>
      <c r="F76" s="1423"/>
      <c r="G76" s="1427"/>
      <c r="H76" s="1423"/>
      <c r="I76" s="1430"/>
      <c r="J76" s="1425"/>
      <c r="K76" s="1425"/>
      <c r="L76" s="1426"/>
      <c r="M76" s="2173"/>
    </row>
    <row r="77" spans="1:13" s="423" customFormat="1" ht="33.75" hidden="1" customHeight="1">
      <c r="A77" s="1936"/>
      <c r="B77" s="2151"/>
      <c r="C77" s="1428" t="s">
        <v>30</v>
      </c>
      <c r="D77" s="1309"/>
      <c r="E77" s="1423"/>
      <c r="F77" s="1423"/>
      <c r="G77" s="1427"/>
      <c r="H77" s="1423"/>
      <c r="I77" s="1431"/>
      <c r="J77" s="1425"/>
      <c r="K77" s="1425"/>
      <c r="L77" s="1426"/>
      <c r="M77" s="2173"/>
    </row>
    <row r="78" spans="1:13" s="423" customFormat="1" ht="14.1" hidden="1" customHeight="1">
      <c r="A78" s="1936"/>
      <c r="B78" s="2151"/>
      <c r="C78" s="1422" t="s">
        <v>31</v>
      </c>
      <c r="D78" s="1309"/>
      <c r="E78" s="1423"/>
      <c r="F78" s="1423"/>
      <c r="G78" s="1427"/>
      <c r="H78" s="1423"/>
      <c r="I78" s="1431"/>
      <c r="J78" s="1425"/>
      <c r="K78" s="1425"/>
      <c r="L78" s="1426"/>
      <c r="M78" s="2173"/>
    </row>
    <row r="79" spans="1:13" s="423" customFormat="1" ht="14.1" hidden="1" customHeight="1">
      <c r="A79" s="1936"/>
      <c r="B79" s="2151"/>
      <c r="C79" s="1422" t="s">
        <v>32</v>
      </c>
      <c r="D79" s="1309"/>
      <c r="E79" s="1423"/>
      <c r="F79" s="1423"/>
      <c r="G79" s="1427"/>
      <c r="H79" s="1423"/>
      <c r="I79" s="1431"/>
      <c r="J79" s="1425"/>
      <c r="K79" s="1425"/>
      <c r="L79" s="1426"/>
      <c r="M79" s="2173"/>
    </row>
    <row r="80" spans="1:13" s="423" customFormat="1" ht="14.1" hidden="1" customHeight="1">
      <c r="A80" s="877" t="s">
        <v>203</v>
      </c>
      <c r="B80" s="1436"/>
      <c r="C80" s="1437"/>
      <c r="D80" s="1438"/>
      <c r="E80" s="1439"/>
      <c r="F80" s="1439"/>
      <c r="G80" s="1440"/>
      <c r="H80" s="1439"/>
      <c r="I80" s="1441"/>
      <c r="J80" s="1442"/>
      <c r="K80" s="1442"/>
      <c r="L80" s="1443"/>
      <c r="M80" s="1444"/>
    </row>
    <row r="81" spans="1:15" s="423" customFormat="1" ht="15" hidden="1" customHeight="1">
      <c r="A81" s="1936"/>
      <c r="B81" s="2151">
        <v>75818</v>
      </c>
      <c r="C81" s="1412" t="s">
        <v>206</v>
      </c>
      <c r="D81" s="1413"/>
      <c r="E81" s="1414">
        <f>E82+E91</f>
        <v>0</v>
      </c>
      <c r="F81" s="1414">
        <f>F82+F91</f>
        <v>0</v>
      </c>
      <c r="G81" s="1414">
        <f>G82+G91</f>
        <v>0</v>
      </c>
      <c r="H81" s="1414">
        <f>H82+H91</f>
        <v>0</v>
      </c>
      <c r="I81" s="1415" t="e">
        <f>H81/E81</f>
        <v>#DIV/0!</v>
      </c>
      <c r="J81" s="1416">
        <f>J82+J91</f>
        <v>0</v>
      </c>
      <c r="K81" s="1416">
        <f>K82+K91</f>
        <v>0</v>
      </c>
      <c r="L81" s="1417"/>
      <c r="M81" s="1444"/>
    </row>
    <row r="82" spans="1:15" s="423" customFormat="1" ht="14.1" hidden="1" customHeight="1">
      <c r="A82" s="1936"/>
      <c r="B82" s="2151"/>
      <c r="C82" s="1418" t="s">
        <v>18</v>
      </c>
      <c r="D82" s="1419"/>
      <c r="E82" s="1313">
        <f>E83+E86+E87+E88+E89+E90</f>
        <v>0</v>
      </c>
      <c r="F82" s="1313">
        <f>F83+F86+F87+F88+F89+F90</f>
        <v>0</v>
      </c>
      <c r="G82" s="1313">
        <f>G83+G86+G87+G88+G89+G90</f>
        <v>0</v>
      </c>
      <c r="H82" s="1313">
        <f>H83+H86+H87+H88+H89+H90</f>
        <v>0</v>
      </c>
      <c r="I82" s="1420" t="e">
        <f>H82/E82</f>
        <v>#DIV/0!</v>
      </c>
      <c r="J82" s="1310">
        <f>J83+J86+J87+J88+J89+J90</f>
        <v>0</v>
      </c>
      <c r="K82" s="1310">
        <f>K83+K86+K87+K88+K89+K90</f>
        <v>0</v>
      </c>
      <c r="L82" s="1421"/>
      <c r="M82" s="1444"/>
    </row>
    <row r="83" spans="1:15" s="423" customFormat="1" ht="14.1" hidden="1" customHeight="1">
      <c r="A83" s="1936"/>
      <c r="B83" s="2151"/>
      <c r="C83" s="1422" t="s">
        <v>19</v>
      </c>
      <c r="D83" s="1309"/>
      <c r="E83" s="1423">
        <f>E84+E85</f>
        <v>0</v>
      </c>
      <c r="F83" s="1423">
        <f>F84+F85</f>
        <v>0</v>
      </c>
      <c r="G83" s="1423">
        <f>G84+G85</f>
        <v>0</v>
      </c>
      <c r="H83" s="1423">
        <f>H84+H85</f>
        <v>0</v>
      </c>
      <c r="I83" s="1424" t="e">
        <f>H83/E83</f>
        <v>#DIV/0!</v>
      </c>
      <c r="J83" s="1425">
        <f>J84+J85</f>
        <v>0</v>
      </c>
      <c r="K83" s="1425">
        <f>K84+K85</f>
        <v>0</v>
      </c>
      <c r="L83" s="1426"/>
      <c r="M83" s="1444"/>
    </row>
    <row r="84" spans="1:15" s="423" customFormat="1" ht="14.1" hidden="1" customHeight="1">
      <c r="A84" s="1936"/>
      <c r="B84" s="2151"/>
      <c r="C84" s="1422" t="s">
        <v>20</v>
      </c>
      <c r="D84" s="1309"/>
      <c r="E84" s="1423"/>
      <c r="F84" s="1423"/>
      <c r="G84" s="1427"/>
      <c r="H84" s="1423"/>
      <c r="I84" s="1424"/>
      <c r="J84" s="1425"/>
      <c r="K84" s="1425"/>
      <c r="L84" s="1426"/>
      <c r="M84" s="1444"/>
    </row>
    <row r="85" spans="1:15" s="423" customFormat="1" ht="14.1" hidden="1" customHeight="1">
      <c r="A85" s="1936"/>
      <c r="B85" s="2151"/>
      <c r="C85" s="1428" t="s">
        <v>21</v>
      </c>
      <c r="D85" s="1429">
        <v>4810</v>
      </c>
      <c r="E85" s="1423">
        <v>0</v>
      </c>
      <c r="F85" s="1423">
        <v>0</v>
      </c>
      <c r="G85" s="1427"/>
      <c r="H85" s="1423">
        <v>0</v>
      </c>
      <c r="I85" s="1424" t="e">
        <f>H85/E85</f>
        <v>#DIV/0!</v>
      </c>
      <c r="J85" s="1425"/>
      <c r="K85" s="1425">
        <v>0</v>
      </c>
      <c r="L85" s="1426"/>
      <c r="M85" s="1444"/>
    </row>
    <row r="86" spans="1:15" s="423" customFormat="1" ht="14.1" hidden="1" customHeight="1">
      <c r="A86" s="1936"/>
      <c r="B86" s="2151"/>
      <c r="C86" s="1422" t="s">
        <v>23</v>
      </c>
      <c r="D86" s="1429"/>
      <c r="E86" s="1423">
        <v>0</v>
      </c>
      <c r="F86" s="1423"/>
      <c r="G86" s="1427"/>
      <c r="H86" s="1423"/>
      <c r="I86" s="1430"/>
      <c r="J86" s="1425"/>
      <c r="K86" s="1425"/>
      <c r="L86" s="1426"/>
      <c r="M86" s="1444"/>
    </row>
    <row r="87" spans="1:15" s="423" customFormat="1" ht="14.1" hidden="1" customHeight="1">
      <c r="A87" s="1936"/>
      <c r="B87" s="2151"/>
      <c r="C87" s="1422" t="s">
        <v>24</v>
      </c>
      <c r="D87" s="1309"/>
      <c r="E87" s="1423"/>
      <c r="F87" s="1423"/>
      <c r="G87" s="1427"/>
      <c r="H87" s="1423"/>
      <c r="I87" s="1430"/>
      <c r="J87" s="1425"/>
      <c r="K87" s="1425"/>
      <c r="L87" s="1426"/>
      <c r="M87" s="1444"/>
    </row>
    <row r="88" spans="1:15" s="423" customFormat="1" ht="27.75" hidden="1" customHeight="1">
      <c r="A88" s="1936"/>
      <c r="B88" s="2151"/>
      <c r="C88" s="1428" t="s">
        <v>25</v>
      </c>
      <c r="D88" s="1309"/>
      <c r="E88" s="1423"/>
      <c r="F88" s="1423"/>
      <c r="G88" s="1427"/>
      <c r="H88" s="1423"/>
      <c r="I88" s="1430"/>
      <c r="J88" s="1425"/>
      <c r="K88" s="1425"/>
      <c r="L88" s="1426"/>
      <c r="M88" s="1444"/>
    </row>
    <row r="89" spans="1:15" s="423" customFormat="1" ht="14.1" hidden="1" customHeight="1">
      <c r="A89" s="1936"/>
      <c r="B89" s="2151"/>
      <c r="C89" s="1422" t="s">
        <v>26</v>
      </c>
      <c r="D89" s="1309"/>
      <c r="E89" s="1423"/>
      <c r="F89" s="1423"/>
      <c r="G89" s="1427"/>
      <c r="H89" s="1423"/>
      <c r="I89" s="1430"/>
      <c r="J89" s="1425"/>
      <c r="K89" s="1425"/>
      <c r="L89" s="1426"/>
      <c r="M89" s="1444"/>
    </row>
    <row r="90" spans="1:15" s="423" customFormat="1" ht="14.1" hidden="1" customHeight="1">
      <c r="A90" s="1936"/>
      <c r="B90" s="2151"/>
      <c r="C90" s="1422" t="s">
        <v>27</v>
      </c>
      <c r="D90" s="1309"/>
      <c r="E90" s="1423"/>
      <c r="F90" s="1423"/>
      <c r="G90" s="1427"/>
      <c r="H90" s="1423"/>
      <c r="I90" s="1430"/>
      <c r="J90" s="1425"/>
      <c r="K90" s="1425"/>
      <c r="L90" s="1426"/>
      <c r="M90" s="1444"/>
    </row>
    <row r="91" spans="1:15" s="423" customFormat="1" ht="14.1" hidden="1" customHeight="1">
      <c r="A91" s="1936"/>
      <c r="B91" s="2151"/>
      <c r="C91" s="1308" t="s">
        <v>28</v>
      </c>
      <c r="D91" s="1309"/>
      <c r="E91" s="1313">
        <f>E92+E94+E95</f>
        <v>0</v>
      </c>
      <c r="F91" s="1313">
        <f>F92+F94+F95</f>
        <v>0</v>
      </c>
      <c r="G91" s="1313">
        <f>G92+G94+G95</f>
        <v>0</v>
      </c>
      <c r="H91" s="1313">
        <f>H92+H94+H95</f>
        <v>0</v>
      </c>
      <c r="I91" s="1430"/>
      <c r="J91" s="1310">
        <f>J92+J94+J95</f>
        <v>0</v>
      </c>
      <c r="K91" s="1310">
        <f>K92+K94+K95</f>
        <v>0</v>
      </c>
      <c r="L91" s="1421"/>
      <c r="M91" s="1444"/>
    </row>
    <row r="92" spans="1:15" s="423" customFormat="1" ht="18.75" hidden="1" customHeight="1">
      <c r="A92" s="1936"/>
      <c r="B92" s="2151"/>
      <c r="C92" s="1422" t="s">
        <v>29</v>
      </c>
      <c r="D92" s="1429"/>
      <c r="E92" s="1423"/>
      <c r="F92" s="1423"/>
      <c r="G92" s="1427"/>
      <c r="H92" s="1423"/>
      <c r="I92" s="1430"/>
      <c r="J92" s="1425"/>
      <c r="K92" s="1425"/>
      <c r="L92" s="1426"/>
      <c r="M92" s="1444"/>
    </row>
    <row r="93" spans="1:15" s="423" customFormat="1" ht="25.5" hidden="1" customHeight="1">
      <c r="A93" s="1936"/>
      <c r="B93" s="2151"/>
      <c r="C93" s="1428" t="s">
        <v>30</v>
      </c>
      <c r="D93" s="1309"/>
      <c r="E93" s="1423"/>
      <c r="F93" s="1423"/>
      <c r="G93" s="1427"/>
      <c r="H93" s="1423"/>
      <c r="I93" s="1431"/>
      <c r="J93" s="1425"/>
      <c r="K93" s="1425"/>
      <c r="L93" s="1426"/>
      <c r="M93" s="1444"/>
    </row>
    <row r="94" spans="1:15" s="423" customFormat="1" ht="14.1" hidden="1" customHeight="1">
      <c r="A94" s="1936"/>
      <c r="B94" s="2151"/>
      <c r="C94" s="1422" t="s">
        <v>31</v>
      </c>
      <c r="D94" s="1309"/>
      <c r="E94" s="1423"/>
      <c r="F94" s="1423"/>
      <c r="G94" s="1427"/>
      <c r="H94" s="1423"/>
      <c r="I94" s="1431"/>
      <c r="J94" s="1425"/>
      <c r="K94" s="1425"/>
      <c r="L94" s="1426"/>
      <c r="M94" s="1444"/>
    </row>
    <row r="95" spans="1:15" s="423" customFormat="1" ht="14.1" hidden="1" customHeight="1">
      <c r="A95" s="1929"/>
      <c r="B95" s="2155"/>
      <c r="C95" s="253" t="s">
        <v>32</v>
      </c>
      <c r="D95" s="1639"/>
      <c r="E95" s="777"/>
      <c r="F95" s="777"/>
      <c r="G95" s="1640"/>
      <c r="H95" s="777"/>
      <c r="I95" s="1641"/>
      <c r="J95" s="779"/>
      <c r="K95" s="779"/>
      <c r="L95" s="780"/>
      <c r="M95" s="1616"/>
    </row>
    <row r="96" spans="1:15" s="423" customFormat="1" ht="14.1" customHeight="1">
      <c r="A96" s="438" t="s">
        <v>110</v>
      </c>
      <c r="B96" s="439"/>
      <c r="C96" s="1647" t="s">
        <v>428</v>
      </c>
      <c r="D96" s="1648"/>
      <c r="E96" s="395">
        <f>SUM(E97,E116,E131,E146,E176,E191,E206,E246,E227,E161)</f>
        <v>110655183</v>
      </c>
      <c r="F96" s="395">
        <f>SUM(F97,F116,F131,F146,F176,F191,F206,F246,F227,F161)</f>
        <v>136049964</v>
      </c>
      <c r="G96" s="395">
        <f>SUM(G97,G116,G131,G146,G176,G191,G206,G246,G227,G161)</f>
        <v>0</v>
      </c>
      <c r="H96" s="395">
        <f>SUM(H97,H116,H131,H146,H176,H191,H206,H246,H227,H161)</f>
        <v>164036167</v>
      </c>
      <c r="I96" s="1210">
        <f>H96/E96</f>
        <v>1.4824083477409278</v>
      </c>
      <c r="J96" s="395">
        <f>SUM(J97,J116,J131,J146,J161,J191,J206,J227,J246)</f>
        <v>-12156255</v>
      </c>
      <c r="K96" s="395">
        <f>SUM(K97,K116,K131,K146,K161,K191,K206,K227,K246)</f>
        <v>151879912</v>
      </c>
      <c r="L96" s="1631">
        <f>K96/E96</f>
        <v>1.3725512703729386</v>
      </c>
      <c r="M96" s="1649"/>
      <c r="O96" s="771"/>
    </row>
    <row r="97" spans="1:14" s="423" customFormat="1" ht="42" customHeight="1">
      <c r="A97" s="2045"/>
      <c r="B97" s="2184" t="s">
        <v>429</v>
      </c>
      <c r="C97" s="1447" t="s">
        <v>430</v>
      </c>
      <c r="D97" s="1448"/>
      <c r="E97" s="1321">
        <f>SUM(E98,E107)</f>
        <v>76601679</v>
      </c>
      <c r="F97" s="1321">
        <f>SUM(F98,F107)</f>
        <v>83918396</v>
      </c>
      <c r="G97" s="1321">
        <f>SUM(G98,G107)</f>
        <v>0</v>
      </c>
      <c r="H97" s="1321">
        <f>SUM(H98,H107)</f>
        <v>109191183</v>
      </c>
      <c r="I97" s="1357">
        <f>H97/E97</f>
        <v>1.4254411185948026</v>
      </c>
      <c r="J97" s="1449">
        <f>SUM(J98,J107)</f>
        <v>1720261</v>
      </c>
      <c r="K97" s="1449">
        <f>SUM(K98,K107)</f>
        <v>110911444</v>
      </c>
      <c r="L97" s="1450">
        <f>K97/E97</f>
        <v>1.4478983417582791</v>
      </c>
      <c r="M97" s="2035" t="s">
        <v>623</v>
      </c>
    </row>
    <row r="98" spans="1:14" s="423" customFormat="1" ht="38.25" customHeight="1">
      <c r="A98" s="2046"/>
      <c r="B98" s="2199"/>
      <c r="C98" s="1418" t="s">
        <v>18</v>
      </c>
      <c r="D98" s="1451"/>
      <c r="E98" s="903">
        <f>SUM(E99,E102,E103,E104,E105,E106)</f>
        <v>2642880</v>
      </c>
      <c r="F98" s="903">
        <f>SUM(F99,F102,F103,F104,F105,F106)</f>
        <v>987514</v>
      </c>
      <c r="G98" s="903"/>
      <c r="H98" s="903">
        <f>H99+H102+H103+H104+H106+H105</f>
        <v>399000</v>
      </c>
      <c r="I98" s="1358">
        <f>H98/E98</f>
        <v>0.15097166727206685</v>
      </c>
      <c r="J98" s="1452">
        <f>J99+J102+J103+J104+J106+J105</f>
        <v>1720261</v>
      </c>
      <c r="K98" s="1452">
        <f>SUM(K99,K102,K103,K104,K105,K106)</f>
        <v>2119261</v>
      </c>
      <c r="L98" s="1453">
        <f>K98/E98</f>
        <v>0.80187560540016956</v>
      </c>
      <c r="M98" s="2075"/>
    </row>
    <row r="99" spans="1:14" s="423" customFormat="1" ht="33.75" customHeight="1">
      <c r="A99" s="2046"/>
      <c r="B99" s="2199"/>
      <c r="C99" s="1422" t="s">
        <v>19</v>
      </c>
      <c r="D99" s="1386"/>
      <c r="E99" s="906"/>
      <c r="F99" s="906"/>
      <c r="G99" s="906"/>
      <c r="H99" s="906"/>
      <c r="I99" s="1352"/>
      <c r="J99" s="1454"/>
      <c r="K99" s="1454"/>
      <c r="L99" s="1455"/>
      <c r="M99" s="2075"/>
    </row>
    <row r="100" spans="1:14" s="423" customFormat="1" ht="21" customHeight="1">
      <c r="A100" s="2046"/>
      <c r="B100" s="2199"/>
      <c r="C100" s="1422" t="s">
        <v>20</v>
      </c>
      <c r="D100" s="1391"/>
      <c r="E100" s="903"/>
      <c r="F100" s="906"/>
      <c r="G100" s="906"/>
      <c r="H100" s="906"/>
      <c r="I100" s="1352"/>
      <c r="J100" s="1452"/>
      <c r="K100" s="1454"/>
      <c r="L100" s="1455"/>
      <c r="M100" s="2075"/>
    </row>
    <row r="101" spans="1:14" s="423" customFormat="1" ht="22.5">
      <c r="A101" s="2046"/>
      <c r="B101" s="2199"/>
      <c r="C101" s="1428" t="s">
        <v>369</v>
      </c>
      <c r="D101" s="1391"/>
      <c r="E101" s="906"/>
      <c r="F101" s="906"/>
      <c r="G101" s="906"/>
      <c r="H101" s="906"/>
      <c r="I101" s="1352"/>
      <c r="J101" s="1454"/>
      <c r="K101" s="1454"/>
      <c r="L101" s="1455"/>
      <c r="M101" s="2075"/>
    </row>
    <row r="102" spans="1:14" s="423" customFormat="1" ht="30" customHeight="1">
      <c r="A102" s="2046"/>
      <c r="B102" s="2199"/>
      <c r="C102" s="1428" t="s">
        <v>23</v>
      </c>
      <c r="D102" s="1396">
        <v>2560</v>
      </c>
      <c r="E102" s="1392">
        <v>2642880</v>
      </c>
      <c r="F102" s="1392">
        <v>987514</v>
      </c>
      <c r="G102" s="1392"/>
      <c r="H102" s="906">
        <v>399000</v>
      </c>
      <c r="I102" s="1352">
        <f>H102/E102</f>
        <v>0.15097166727206685</v>
      </c>
      <c r="J102" s="1393">
        <f>1790261-70000</f>
        <v>1720261</v>
      </c>
      <c r="K102" s="1454">
        <f>J102+H102</f>
        <v>2119261</v>
      </c>
      <c r="L102" s="1455">
        <f>K102/E102</f>
        <v>0.80187560540016956</v>
      </c>
      <c r="M102" s="2075"/>
    </row>
    <row r="103" spans="1:14" s="423" customFormat="1" ht="13.5" customHeight="1">
      <c r="A103" s="2046"/>
      <c r="B103" s="2199"/>
      <c r="C103" s="1422" t="s">
        <v>24</v>
      </c>
      <c r="D103" s="1391"/>
      <c r="E103" s="1456"/>
      <c r="F103" s="1456"/>
      <c r="G103" s="1456"/>
      <c r="H103" s="906"/>
      <c r="I103" s="1358"/>
      <c r="J103" s="1457"/>
      <c r="K103" s="1454"/>
      <c r="L103" s="1455"/>
      <c r="M103" s="2075"/>
    </row>
    <row r="104" spans="1:14" s="423" customFormat="1" ht="27" customHeight="1">
      <c r="A104" s="2046"/>
      <c r="B104" s="2199"/>
      <c r="C104" s="1428" t="s">
        <v>35</v>
      </c>
      <c r="D104" s="1391"/>
      <c r="E104" s="1423"/>
      <c r="F104" s="1423"/>
      <c r="G104" s="1423"/>
      <c r="H104" s="906"/>
      <c r="I104" s="1358"/>
      <c r="J104" s="1425"/>
      <c r="K104" s="1454"/>
      <c r="L104" s="1455"/>
      <c r="M104" s="2075"/>
      <c r="N104" s="771"/>
    </row>
    <row r="105" spans="1:14" s="423" customFormat="1" ht="20.25" customHeight="1">
      <c r="A105" s="2046"/>
      <c r="B105" s="2199"/>
      <c r="C105" s="1422" t="s">
        <v>26</v>
      </c>
      <c r="D105" s="1396"/>
      <c r="E105" s="1423"/>
      <c r="F105" s="1423"/>
      <c r="G105" s="1423"/>
      <c r="H105" s="906"/>
      <c r="I105" s="1358"/>
      <c r="J105" s="1425"/>
      <c r="K105" s="1454"/>
      <c r="L105" s="1455"/>
      <c r="M105" s="2075"/>
    </row>
    <row r="106" spans="1:14" s="423" customFormat="1" ht="388.5" customHeight="1" thickBot="1">
      <c r="A106" s="2047"/>
      <c r="B106" s="2200"/>
      <c r="C106" s="1039" t="s">
        <v>27</v>
      </c>
      <c r="D106" s="1618"/>
      <c r="E106" s="1634"/>
      <c r="F106" s="1634"/>
      <c r="G106" s="1634"/>
      <c r="H106" s="681"/>
      <c r="I106" s="1620"/>
      <c r="J106" s="1637"/>
      <c r="K106" s="1650"/>
      <c r="L106" s="1651"/>
      <c r="M106" s="2076"/>
    </row>
    <row r="107" spans="1:14" s="423" customFormat="1" ht="409.5" customHeight="1">
      <c r="A107" s="2052"/>
      <c r="B107" s="1669" t="s">
        <v>429</v>
      </c>
      <c r="C107" s="2195" t="s">
        <v>28</v>
      </c>
      <c r="D107" s="2197"/>
      <c r="E107" s="2189">
        <f>SUM(E109,E114,E115)</f>
        <v>73958799</v>
      </c>
      <c r="F107" s="2189">
        <f>SUM(F109,F114,F115)</f>
        <v>82930882</v>
      </c>
      <c r="G107" s="1670"/>
      <c r="H107" s="1670">
        <f>SUM(H109,H114,H115)</f>
        <v>108792183</v>
      </c>
      <c r="I107" s="1671">
        <f>H107/E107</f>
        <v>1.470983635091208</v>
      </c>
      <c r="J107" s="1672">
        <f>SUM(J109,J114,J115)</f>
        <v>0</v>
      </c>
      <c r="K107" s="2191">
        <f>J107+H107</f>
        <v>108792183</v>
      </c>
      <c r="L107" s="1673">
        <f>K107/E107</f>
        <v>1.470983635091208</v>
      </c>
      <c r="M107" s="2074" t="s">
        <v>619</v>
      </c>
    </row>
    <row r="108" spans="1:14" s="423" customFormat="1" ht="117" customHeight="1" thickBot="1">
      <c r="A108" s="2047"/>
      <c r="B108" s="1674"/>
      <c r="C108" s="2196"/>
      <c r="D108" s="2198"/>
      <c r="E108" s="2190"/>
      <c r="F108" s="2190"/>
      <c r="G108" s="1675"/>
      <c r="H108" s="1675"/>
      <c r="I108" s="1676"/>
      <c r="J108" s="1677"/>
      <c r="K108" s="2192"/>
      <c r="L108" s="1678"/>
      <c r="M108" s="2076"/>
    </row>
    <row r="109" spans="1:14" s="423" customFormat="1" ht="34.5" customHeight="1">
      <c r="A109" s="2066"/>
      <c r="B109" s="2201" t="s">
        <v>429</v>
      </c>
      <c r="C109" s="1655" t="s">
        <v>29</v>
      </c>
      <c r="D109" s="1656" t="s">
        <v>366</v>
      </c>
      <c r="E109" s="1657">
        <f>SUM(E110:E111)</f>
        <v>73958799</v>
      </c>
      <c r="F109" s="1657">
        <f t="shared" ref="F109:H109" si="3">SUM(F110:F111)</f>
        <v>82930882</v>
      </c>
      <c r="G109" s="1657">
        <f t="shared" si="3"/>
        <v>0</v>
      </c>
      <c r="H109" s="1657">
        <f t="shared" si="3"/>
        <v>108792183</v>
      </c>
      <c r="I109" s="1658">
        <f>H109/E109</f>
        <v>1.470983635091208</v>
      </c>
      <c r="J109" s="1659">
        <f>SUM(J110:J112)</f>
        <v>0</v>
      </c>
      <c r="K109" s="1659">
        <f>J109+H109</f>
        <v>108792183</v>
      </c>
      <c r="L109" s="1660">
        <f>K109/E109</f>
        <v>1.470983635091208</v>
      </c>
      <c r="M109" s="2008" t="s">
        <v>431</v>
      </c>
    </row>
    <row r="110" spans="1:14" s="423" customFormat="1" ht="26.25" hidden="1" customHeight="1">
      <c r="A110" s="2042"/>
      <c r="B110" s="2199"/>
      <c r="C110" s="1459"/>
      <c r="D110" s="1391">
        <v>6100</v>
      </c>
      <c r="E110" s="1423"/>
      <c r="F110" s="1423"/>
      <c r="G110" s="1423"/>
      <c r="H110" s="906">
        <v>10670750</v>
      </c>
      <c r="I110" s="1460"/>
      <c r="J110" s="1454">
        <v>0</v>
      </c>
      <c r="K110" s="1454"/>
      <c r="L110" s="1455"/>
      <c r="M110" s="2009"/>
    </row>
    <row r="111" spans="1:14" s="423" customFormat="1" ht="140.25" customHeight="1">
      <c r="A111" s="2042"/>
      <c r="B111" s="2199"/>
      <c r="C111" s="1459"/>
      <c r="D111" s="1391">
        <v>6220</v>
      </c>
      <c r="E111" s="1423">
        <v>73958799</v>
      </c>
      <c r="F111" s="1423">
        <v>82930882</v>
      </c>
      <c r="G111" s="1423"/>
      <c r="H111" s="906">
        <v>98121433</v>
      </c>
      <c r="I111" s="1460"/>
      <c r="J111" s="1454">
        <f>39449393-15803200-3456950-9877000-879053-7000000-1295000-400000-738190</f>
        <v>0</v>
      </c>
      <c r="K111" s="1454">
        <v>108792183</v>
      </c>
      <c r="L111" s="1455">
        <f>K111/E111</f>
        <v>1.470983635091208</v>
      </c>
      <c r="M111" s="2009"/>
    </row>
    <row r="112" spans="1:14" s="423" customFormat="1" ht="176.25" customHeight="1">
      <c r="A112" s="2042"/>
      <c r="B112" s="2199"/>
      <c r="C112" s="1428" t="s">
        <v>89</v>
      </c>
      <c r="D112" s="1391"/>
      <c r="E112" s="1423"/>
      <c r="F112" s="1423"/>
      <c r="G112" s="1423"/>
      <c r="H112" s="906"/>
      <c r="I112" s="1460"/>
      <c r="J112" s="1425"/>
      <c r="K112" s="1454"/>
      <c r="L112" s="1455"/>
      <c r="M112" s="2009"/>
    </row>
    <row r="113" spans="1:13" s="423" customFormat="1" ht="21" hidden="1" customHeight="1">
      <c r="A113" s="2042"/>
      <c r="B113" s="2199"/>
      <c r="C113" s="1461"/>
      <c r="D113" s="1391"/>
      <c r="E113" s="1423"/>
      <c r="F113" s="1423"/>
      <c r="G113" s="1423"/>
      <c r="H113" s="906"/>
      <c r="I113" s="1460"/>
      <c r="J113" s="1425"/>
      <c r="K113" s="1454"/>
      <c r="L113" s="1455"/>
      <c r="M113" s="2009"/>
    </row>
    <row r="114" spans="1:13" s="423" customFormat="1" ht="18" customHeight="1">
      <c r="A114" s="2042"/>
      <c r="B114" s="2199"/>
      <c r="C114" s="1422" t="s">
        <v>31</v>
      </c>
      <c r="D114" s="1396"/>
      <c r="E114" s="1423"/>
      <c r="F114" s="1423"/>
      <c r="G114" s="1423"/>
      <c r="H114" s="906"/>
      <c r="I114" s="1358"/>
      <c r="J114" s="1425"/>
      <c r="K114" s="1454"/>
      <c r="L114" s="1455"/>
      <c r="M114" s="2009"/>
    </row>
    <row r="115" spans="1:13" s="423" customFormat="1" ht="26.25" customHeight="1">
      <c r="A115" s="2042"/>
      <c r="B115" s="2202"/>
      <c r="C115" s="1422" t="s">
        <v>32</v>
      </c>
      <c r="D115" s="1391"/>
      <c r="E115" s="1423"/>
      <c r="F115" s="1423"/>
      <c r="G115" s="1423"/>
      <c r="H115" s="906"/>
      <c r="I115" s="1358"/>
      <c r="J115" s="1425"/>
      <c r="K115" s="1454"/>
      <c r="L115" s="1455"/>
      <c r="M115" s="2009"/>
    </row>
    <row r="116" spans="1:13" s="423" customFormat="1" ht="23.25" customHeight="1">
      <c r="A116" s="2042"/>
      <c r="B116" s="2151">
        <v>85120</v>
      </c>
      <c r="C116" s="1447" t="s">
        <v>432</v>
      </c>
      <c r="D116" s="1462"/>
      <c r="E116" s="1463">
        <f>SUM(E117,E126)</f>
        <v>6340245</v>
      </c>
      <c r="F116" s="1463">
        <f>SUM(F117,F126)</f>
        <v>9978061</v>
      </c>
      <c r="G116" s="1463"/>
      <c r="H116" s="1463">
        <f>SUM(H117,H126)</f>
        <v>10688538</v>
      </c>
      <c r="I116" s="1357">
        <f>H116/E116</f>
        <v>1.68582412824741</v>
      </c>
      <c r="J116" s="1464">
        <f>SUM(J117,J126)</f>
        <v>207667</v>
      </c>
      <c r="K116" s="1464">
        <f>SUM(K117,K126)</f>
        <v>10896205</v>
      </c>
      <c r="L116" s="1465"/>
      <c r="M116" s="2009" t="s">
        <v>620</v>
      </c>
    </row>
    <row r="117" spans="1:13" s="423" customFormat="1" ht="14.25" customHeight="1">
      <c r="A117" s="2042"/>
      <c r="B117" s="2151"/>
      <c r="C117" s="1418" t="s">
        <v>18</v>
      </c>
      <c r="D117" s="1451"/>
      <c r="E117" s="1313">
        <f>SUM(E118,E121,E122,E123,E124,E125)</f>
        <v>30000</v>
      </c>
      <c r="F117" s="1313">
        <f>SUM(F118,F121,F122,F123,F124,F125)</f>
        <v>30000</v>
      </c>
      <c r="G117" s="1313"/>
      <c r="H117" s="1313">
        <f>SUM(H118,H121,H122,H123,H124,H125)</f>
        <v>30000</v>
      </c>
      <c r="I117" s="1358">
        <f>H117/E117</f>
        <v>1</v>
      </c>
      <c r="J117" s="1310">
        <f>SUM(J118,J121,J122,J123,J124,J125)</f>
        <v>119808</v>
      </c>
      <c r="K117" s="1310">
        <f>SUM(K118,K121,K122,K123,K124,K125)</f>
        <v>149808</v>
      </c>
      <c r="L117" s="1421"/>
      <c r="M117" s="2009"/>
    </row>
    <row r="118" spans="1:13" s="423" customFormat="1" ht="16.5" customHeight="1">
      <c r="A118" s="2042"/>
      <c r="B118" s="2151"/>
      <c r="C118" s="1422" t="s">
        <v>19</v>
      </c>
      <c r="D118" s="1386"/>
      <c r="E118" s="1423"/>
      <c r="F118" s="1423"/>
      <c r="G118" s="1423"/>
      <c r="H118" s="1423">
        <v>0</v>
      </c>
      <c r="I118" s="1358">
        <v>0</v>
      </c>
      <c r="J118" s="1425">
        <f>J119+J120</f>
        <v>0</v>
      </c>
      <c r="K118" s="1425"/>
      <c r="L118" s="1426">
        <v>0</v>
      </c>
      <c r="M118" s="2009"/>
    </row>
    <row r="119" spans="1:13" s="423" customFormat="1" ht="18.75" customHeight="1">
      <c r="A119" s="2042"/>
      <c r="B119" s="2151"/>
      <c r="C119" s="1422" t="s">
        <v>20</v>
      </c>
      <c r="D119" s="1391"/>
      <c r="E119" s="1423"/>
      <c r="F119" s="1423"/>
      <c r="G119" s="1423"/>
      <c r="H119" s="1423"/>
      <c r="I119" s="1358"/>
      <c r="J119" s="1425"/>
      <c r="K119" s="1425"/>
      <c r="L119" s="1426"/>
      <c r="M119" s="2009"/>
    </row>
    <row r="120" spans="1:13" s="423" customFormat="1" ht="24" customHeight="1">
      <c r="A120" s="2042"/>
      <c r="B120" s="2151"/>
      <c r="C120" s="1428" t="s">
        <v>433</v>
      </c>
      <c r="D120" s="1391"/>
      <c r="E120" s="1423"/>
      <c r="F120" s="1423"/>
      <c r="G120" s="1423"/>
      <c r="H120" s="1423"/>
      <c r="I120" s="1358"/>
      <c r="J120" s="1425"/>
      <c r="K120" s="1425"/>
      <c r="L120" s="1426"/>
      <c r="M120" s="2009"/>
    </row>
    <row r="121" spans="1:13" s="423" customFormat="1" ht="17.25" customHeight="1">
      <c r="A121" s="2042"/>
      <c r="B121" s="2151"/>
      <c r="C121" s="1422" t="s">
        <v>23</v>
      </c>
      <c r="D121" s="1396">
        <v>2560</v>
      </c>
      <c r="E121" s="1423">
        <v>30000</v>
      </c>
      <c r="F121" s="1423">
        <v>30000</v>
      </c>
      <c r="G121" s="1423"/>
      <c r="H121" s="1423">
        <v>30000</v>
      </c>
      <c r="I121" s="1352">
        <f>H121/E121</f>
        <v>1</v>
      </c>
      <c r="J121" s="1425">
        <v>119808</v>
      </c>
      <c r="K121" s="1425">
        <f>J121+H121</f>
        <v>149808</v>
      </c>
      <c r="L121" s="1455">
        <f>K121/E121</f>
        <v>4.9935999999999998</v>
      </c>
      <c r="M121" s="2009"/>
    </row>
    <row r="122" spans="1:13" s="423" customFormat="1" ht="15.75" customHeight="1">
      <c r="A122" s="2042"/>
      <c r="B122" s="2151"/>
      <c r="C122" s="1422" t="s">
        <v>24</v>
      </c>
      <c r="D122" s="1391"/>
      <c r="E122" s="1423"/>
      <c r="F122" s="1423"/>
      <c r="G122" s="1423"/>
      <c r="H122" s="1423"/>
      <c r="I122" s="1358"/>
      <c r="J122" s="1425"/>
      <c r="K122" s="1425"/>
      <c r="L122" s="1426"/>
      <c r="M122" s="2009"/>
    </row>
    <row r="123" spans="1:13" s="423" customFormat="1" ht="25.5" customHeight="1">
      <c r="A123" s="2042"/>
      <c r="B123" s="2151"/>
      <c r="C123" s="1428" t="s">
        <v>35</v>
      </c>
      <c r="D123" s="1391"/>
      <c r="E123" s="1423"/>
      <c r="F123" s="1423"/>
      <c r="G123" s="1423"/>
      <c r="H123" s="1423"/>
      <c r="I123" s="1358"/>
      <c r="J123" s="1425"/>
      <c r="K123" s="1425"/>
      <c r="L123" s="1426"/>
      <c r="M123" s="2009"/>
    </row>
    <row r="124" spans="1:13" s="423" customFormat="1" ht="16.5" customHeight="1">
      <c r="A124" s="2042"/>
      <c r="B124" s="2151"/>
      <c r="C124" s="1422" t="s">
        <v>26</v>
      </c>
      <c r="D124" s="1396"/>
      <c r="E124" s="1423"/>
      <c r="F124" s="1423"/>
      <c r="G124" s="1423"/>
      <c r="H124" s="1423"/>
      <c r="I124" s="1358"/>
      <c r="J124" s="1425"/>
      <c r="K124" s="1425"/>
      <c r="L124" s="1426"/>
      <c r="M124" s="2009"/>
    </row>
    <row r="125" spans="1:13" s="423" customFormat="1" ht="15.75" customHeight="1" thickBot="1">
      <c r="A125" s="2153"/>
      <c r="B125" s="2152"/>
      <c r="C125" s="1039" t="s">
        <v>27</v>
      </c>
      <c r="D125" s="1618"/>
      <c r="E125" s="1634"/>
      <c r="F125" s="1634"/>
      <c r="G125" s="1634"/>
      <c r="H125" s="1634"/>
      <c r="I125" s="1620"/>
      <c r="J125" s="1637"/>
      <c r="K125" s="1637"/>
      <c r="L125" s="1638"/>
      <c r="M125" s="2021"/>
    </row>
    <row r="126" spans="1:13" s="423" customFormat="1" ht="20.25" customHeight="1">
      <c r="A126" s="2066"/>
      <c r="B126" s="2154">
        <v>85120</v>
      </c>
      <c r="C126" s="1679" t="s">
        <v>28</v>
      </c>
      <c r="D126" s="1656"/>
      <c r="E126" s="1680">
        <f>SUM(E127,E129,E130)</f>
        <v>6310245</v>
      </c>
      <c r="F126" s="1680">
        <f>SUM(F127,F129,F130)</f>
        <v>9948061</v>
      </c>
      <c r="G126" s="1680"/>
      <c r="H126" s="1680">
        <f>SUM(H127,H129,H130)</f>
        <v>10658538</v>
      </c>
      <c r="I126" s="1681">
        <f>H126/E126</f>
        <v>1.6890846551916765</v>
      </c>
      <c r="J126" s="1682">
        <f>SUM(J127,J129,J130)</f>
        <v>87859</v>
      </c>
      <c r="K126" s="1682">
        <f>SUM(K127)</f>
        <v>10746397</v>
      </c>
      <c r="L126" s="1673">
        <f>K126/E126</f>
        <v>1.7030078863815905</v>
      </c>
      <c r="M126" s="2008" t="s">
        <v>621</v>
      </c>
    </row>
    <row r="127" spans="1:13" s="423" customFormat="1" ht="22.5" customHeight="1">
      <c r="A127" s="2042"/>
      <c r="B127" s="2151"/>
      <c r="C127" s="1422" t="s">
        <v>29</v>
      </c>
      <c r="D127" s="1391">
        <v>6220</v>
      </c>
      <c r="E127" s="1423">
        <v>6310245</v>
      </c>
      <c r="F127" s="1423">
        <v>9948061</v>
      </c>
      <c r="G127" s="1423"/>
      <c r="H127" s="1423">
        <v>10658538</v>
      </c>
      <c r="I127" s="1460">
        <f>H127/E127</f>
        <v>1.6890846551916765</v>
      </c>
      <c r="J127" s="1425">
        <v>87859</v>
      </c>
      <c r="K127" s="1425">
        <f>J127+H127</f>
        <v>10746397</v>
      </c>
      <c r="L127" s="1455">
        <f>K127/E127</f>
        <v>1.7030078863815905</v>
      </c>
      <c r="M127" s="2009"/>
    </row>
    <row r="128" spans="1:13" s="423" customFormat="1" ht="33" customHeight="1">
      <c r="A128" s="2042"/>
      <c r="B128" s="2151"/>
      <c r="C128" s="1428" t="s">
        <v>89</v>
      </c>
      <c r="D128" s="1391"/>
      <c r="E128" s="1423"/>
      <c r="F128" s="1423"/>
      <c r="G128" s="1423"/>
      <c r="H128" s="1423"/>
      <c r="I128" s="1358"/>
      <c r="J128" s="1425"/>
      <c r="K128" s="1425"/>
      <c r="L128" s="1426"/>
      <c r="M128" s="2009"/>
    </row>
    <row r="129" spans="1:13" s="423" customFormat="1" ht="20.25" customHeight="1">
      <c r="A129" s="2042"/>
      <c r="B129" s="2151"/>
      <c r="C129" s="1422" t="s">
        <v>31</v>
      </c>
      <c r="D129" s="1396"/>
      <c r="E129" s="1423"/>
      <c r="F129" s="1423"/>
      <c r="G129" s="1423"/>
      <c r="H129" s="1423"/>
      <c r="I129" s="1358"/>
      <c r="J129" s="1425"/>
      <c r="K129" s="1425"/>
      <c r="L129" s="1426"/>
      <c r="M129" s="2009"/>
    </row>
    <row r="130" spans="1:13" s="423" customFormat="1" ht="27" customHeight="1">
      <c r="A130" s="2042"/>
      <c r="B130" s="2151"/>
      <c r="C130" s="1422" t="s">
        <v>32</v>
      </c>
      <c r="D130" s="1391"/>
      <c r="E130" s="1423"/>
      <c r="F130" s="1423"/>
      <c r="G130" s="1423"/>
      <c r="H130" s="1423"/>
      <c r="I130" s="1358"/>
      <c r="J130" s="1425"/>
      <c r="K130" s="1425"/>
      <c r="L130" s="1426"/>
      <c r="M130" s="2009"/>
    </row>
    <row r="131" spans="1:13" s="423" customFormat="1" ht="27" customHeight="1">
      <c r="A131" s="2046"/>
      <c r="B131" s="2156">
        <v>85121</v>
      </c>
      <c r="C131" s="1652" t="s">
        <v>434</v>
      </c>
      <c r="D131" s="1643"/>
      <c r="E131" s="1644">
        <f>SUM(E141,E132)</f>
        <v>3408973</v>
      </c>
      <c r="F131" s="1644">
        <f>SUM(F132,F141)</f>
        <v>3835098</v>
      </c>
      <c r="G131" s="1644"/>
      <c r="H131" s="1644">
        <f>SUM(H132,H141)</f>
        <v>3709079</v>
      </c>
      <c r="I131" s="1653">
        <f>H131/E131</f>
        <v>1.0880341381407246</v>
      </c>
      <c r="J131" s="1645">
        <f>SUM(J132,J141)</f>
        <v>-22064</v>
      </c>
      <c r="K131" s="1645">
        <f>SUM(K132,K141)</f>
        <v>3687015</v>
      </c>
      <c r="L131" s="1654">
        <f>K131/E131</f>
        <v>1.0815618076177194</v>
      </c>
      <c r="M131" s="2075" t="s">
        <v>613</v>
      </c>
    </row>
    <row r="132" spans="1:13" s="423" customFormat="1" ht="31.5" customHeight="1">
      <c r="A132" s="2046"/>
      <c r="B132" s="2156"/>
      <c r="C132" s="1418" t="s">
        <v>18</v>
      </c>
      <c r="D132" s="1611"/>
      <c r="E132" s="1313">
        <f>SUM(E136,E133,E137,E138,E139,E140)</f>
        <v>550000</v>
      </c>
      <c r="F132" s="1313">
        <f>SUM(F136,F133,F137,F138,F139,F140)</f>
        <v>550000</v>
      </c>
      <c r="G132" s="1313"/>
      <c r="H132" s="1313">
        <f>SUM(H136,H133,H137,H138,H139,H140)</f>
        <v>550000</v>
      </c>
      <c r="I132" s="1458"/>
      <c r="J132" s="1310">
        <f>SUM(J136,J133,J137,J138,J139,J140)</f>
        <v>0</v>
      </c>
      <c r="K132" s="1310">
        <f>SUM(K136,K133,K137,K138,K139,K140)</f>
        <v>550000</v>
      </c>
      <c r="L132" s="1453">
        <f>K132/E132</f>
        <v>1</v>
      </c>
      <c r="M132" s="2075"/>
    </row>
    <row r="133" spans="1:13" s="423" customFormat="1" ht="15.75" customHeight="1">
      <c r="A133" s="2046"/>
      <c r="B133" s="2156"/>
      <c r="C133" s="1422" t="s">
        <v>19</v>
      </c>
      <c r="D133" s="1386"/>
      <c r="E133" s="1423"/>
      <c r="F133" s="1423"/>
      <c r="G133" s="1423"/>
      <c r="H133" s="1423"/>
      <c r="I133" s="1424"/>
      <c r="J133" s="1425"/>
      <c r="K133" s="1425"/>
      <c r="L133" s="1426"/>
      <c r="M133" s="2075"/>
    </row>
    <row r="134" spans="1:13" s="423" customFormat="1" ht="15.75" customHeight="1">
      <c r="A134" s="2046"/>
      <c r="B134" s="2156"/>
      <c r="C134" s="1422" t="s">
        <v>20</v>
      </c>
      <c r="D134" s="1391"/>
      <c r="E134" s="1423"/>
      <c r="F134" s="1423"/>
      <c r="G134" s="1423"/>
      <c r="H134" s="1423"/>
      <c r="I134" s="1358"/>
      <c r="J134" s="1425"/>
      <c r="K134" s="1425"/>
      <c r="L134" s="1426"/>
      <c r="M134" s="2075"/>
    </row>
    <row r="135" spans="1:13" s="423" customFormat="1" ht="25.5" customHeight="1">
      <c r="A135" s="2046"/>
      <c r="B135" s="2156"/>
      <c r="C135" s="1428" t="s">
        <v>369</v>
      </c>
      <c r="D135" s="1391"/>
      <c r="E135" s="1423"/>
      <c r="F135" s="1423"/>
      <c r="G135" s="1423"/>
      <c r="H135" s="1423"/>
      <c r="I135" s="1358"/>
      <c r="J135" s="1425"/>
      <c r="K135" s="1425"/>
      <c r="L135" s="1426"/>
      <c r="M135" s="2075"/>
    </row>
    <row r="136" spans="1:13" s="423" customFormat="1" ht="11.25">
      <c r="A136" s="2046"/>
      <c r="B136" s="2156"/>
      <c r="C136" s="1422" t="s">
        <v>23</v>
      </c>
      <c r="D136" s="1396">
        <v>2560</v>
      </c>
      <c r="E136" s="1423">
        <v>550000</v>
      </c>
      <c r="F136" s="1423">
        <v>550000</v>
      </c>
      <c r="G136" s="1423"/>
      <c r="H136" s="1423">
        <f>E136+G136</f>
        <v>550000</v>
      </c>
      <c r="I136" s="1352">
        <f>H136/E136</f>
        <v>1</v>
      </c>
      <c r="J136" s="1425">
        <v>0</v>
      </c>
      <c r="K136" s="1425">
        <f>J136+H136</f>
        <v>550000</v>
      </c>
      <c r="L136" s="1455">
        <f>K136/E136</f>
        <v>1</v>
      </c>
      <c r="M136" s="2075"/>
    </row>
    <row r="137" spans="1:13" s="423" customFormat="1" ht="15" customHeight="1">
      <c r="A137" s="2046"/>
      <c r="B137" s="2156"/>
      <c r="C137" s="1422" t="s">
        <v>24</v>
      </c>
      <c r="D137" s="1391"/>
      <c r="E137" s="1423"/>
      <c r="F137" s="1423"/>
      <c r="G137" s="1423"/>
      <c r="H137" s="1423"/>
      <c r="I137" s="1358"/>
      <c r="J137" s="1425"/>
      <c r="K137" s="1425"/>
      <c r="L137" s="1426"/>
      <c r="M137" s="2075"/>
    </row>
    <row r="138" spans="1:13" s="423" customFormat="1" ht="25.5" customHeight="1">
      <c r="A138" s="2046"/>
      <c r="B138" s="2156"/>
      <c r="C138" s="1428" t="s">
        <v>35</v>
      </c>
      <c r="D138" s="1391"/>
      <c r="E138" s="1423"/>
      <c r="F138" s="1423"/>
      <c r="G138" s="1423"/>
      <c r="H138" s="1423"/>
      <c r="I138" s="1358"/>
      <c r="J138" s="1425"/>
      <c r="K138" s="1425"/>
      <c r="L138" s="1426"/>
      <c r="M138" s="2075"/>
    </row>
    <row r="139" spans="1:13" s="423" customFormat="1" ht="16.5" customHeight="1">
      <c r="A139" s="2046"/>
      <c r="B139" s="2156"/>
      <c r="C139" s="1422" t="s">
        <v>26</v>
      </c>
      <c r="D139" s="1396"/>
      <c r="E139" s="1423"/>
      <c r="F139" s="1423"/>
      <c r="G139" s="1423"/>
      <c r="H139" s="1423"/>
      <c r="I139" s="1358"/>
      <c r="J139" s="1425"/>
      <c r="K139" s="1425"/>
      <c r="L139" s="1426"/>
      <c r="M139" s="2075"/>
    </row>
    <row r="140" spans="1:13" s="423" customFormat="1" ht="16.5" customHeight="1">
      <c r="A140" s="2046"/>
      <c r="B140" s="2156"/>
      <c r="C140" s="1422" t="s">
        <v>27</v>
      </c>
      <c r="D140" s="1391"/>
      <c r="E140" s="1423"/>
      <c r="F140" s="1423"/>
      <c r="G140" s="1423"/>
      <c r="H140" s="1423"/>
      <c r="I140" s="1358"/>
      <c r="J140" s="1425"/>
      <c r="K140" s="1425"/>
      <c r="L140" s="1426"/>
      <c r="M140" s="2075"/>
    </row>
    <row r="141" spans="1:13" s="423" customFormat="1" ht="29.25" customHeight="1">
      <c r="A141" s="2046"/>
      <c r="B141" s="2156"/>
      <c r="C141" s="1308" t="s">
        <v>28</v>
      </c>
      <c r="D141" s="1391"/>
      <c r="E141" s="1313">
        <f>SUM(E142,E144,E145)</f>
        <v>2858973</v>
      </c>
      <c r="F141" s="1313">
        <f>SUM(F142,F144,F145)</f>
        <v>3285098</v>
      </c>
      <c r="G141" s="1313"/>
      <c r="H141" s="1313">
        <f>SUM(H142+H144+H145)</f>
        <v>3159079</v>
      </c>
      <c r="I141" s="1458">
        <f>H141/E141</f>
        <v>1.1049698615551808</v>
      </c>
      <c r="J141" s="1310">
        <f>SUM(J142,J144,J145)</f>
        <v>-22064</v>
      </c>
      <c r="K141" s="1310">
        <f>SUM(K142+K144+K145)</f>
        <v>3137015</v>
      </c>
      <c r="L141" s="1453">
        <f>K141/E141</f>
        <v>1.0972524049719952</v>
      </c>
      <c r="M141" s="2075"/>
    </row>
    <row r="142" spans="1:13" s="423" customFormat="1" ht="11.25">
      <c r="A142" s="2046"/>
      <c r="B142" s="2156"/>
      <c r="C142" s="1422" t="s">
        <v>29</v>
      </c>
      <c r="D142" s="1391">
        <v>6220</v>
      </c>
      <c r="E142" s="1423">
        <v>2858973</v>
      </c>
      <c r="F142" s="1423">
        <v>3285098</v>
      </c>
      <c r="G142" s="1423"/>
      <c r="H142" s="1423">
        <v>3159079</v>
      </c>
      <c r="I142" s="1460">
        <f>H142/E142</f>
        <v>1.1049698615551808</v>
      </c>
      <c r="J142" s="1425">
        <f>1158456-400000-780520</f>
        <v>-22064</v>
      </c>
      <c r="K142" s="1425">
        <f>J142+H142</f>
        <v>3137015</v>
      </c>
      <c r="L142" s="1455">
        <f>K142/E142</f>
        <v>1.0972524049719952</v>
      </c>
      <c r="M142" s="2075"/>
    </row>
    <row r="143" spans="1:13" s="423" customFormat="1" ht="22.5">
      <c r="A143" s="2046"/>
      <c r="B143" s="2156"/>
      <c r="C143" s="1428" t="s">
        <v>89</v>
      </c>
      <c r="D143" s="1391"/>
      <c r="E143" s="1423"/>
      <c r="F143" s="1423"/>
      <c r="G143" s="1423"/>
      <c r="H143" s="1423"/>
      <c r="I143" s="1358"/>
      <c r="J143" s="1425"/>
      <c r="K143" s="1425"/>
      <c r="L143" s="1426"/>
      <c r="M143" s="2075"/>
    </row>
    <row r="144" spans="1:13" s="423" customFormat="1" ht="11.25">
      <c r="A144" s="2046"/>
      <c r="B144" s="2156"/>
      <c r="C144" s="1422" t="s">
        <v>31</v>
      </c>
      <c r="D144" s="1396"/>
      <c r="E144" s="1423"/>
      <c r="F144" s="1423"/>
      <c r="G144" s="1423"/>
      <c r="H144" s="1423"/>
      <c r="I144" s="1358"/>
      <c r="J144" s="1425"/>
      <c r="K144" s="1425"/>
      <c r="L144" s="1426"/>
      <c r="M144" s="2075"/>
    </row>
    <row r="145" spans="1:13" s="423" customFormat="1" ht="12" thickBot="1">
      <c r="A145" s="2047"/>
      <c r="B145" s="2157"/>
      <c r="C145" s="1039" t="s">
        <v>32</v>
      </c>
      <c r="D145" s="1618"/>
      <c r="E145" s="1634"/>
      <c r="F145" s="1634"/>
      <c r="G145" s="1634"/>
      <c r="H145" s="1634"/>
      <c r="I145" s="1620"/>
      <c r="J145" s="1637"/>
      <c r="K145" s="1637"/>
      <c r="L145" s="1638"/>
      <c r="M145" s="2076"/>
    </row>
    <row r="146" spans="1:13" s="423" customFormat="1" ht="14.1" customHeight="1">
      <c r="A146" s="2053"/>
      <c r="B146" s="2159">
        <v>85141</v>
      </c>
      <c r="C146" s="1652" t="s">
        <v>435</v>
      </c>
      <c r="D146" s="1643"/>
      <c r="E146" s="1644">
        <f>SUM(E147+E156)</f>
        <v>783954</v>
      </c>
      <c r="F146" s="1644">
        <f>SUM(F147,F156)</f>
        <v>783954</v>
      </c>
      <c r="G146" s="1644"/>
      <c r="H146" s="1644">
        <f>SUM(H147,H156)</f>
        <v>1802656</v>
      </c>
      <c r="I146" s="1221"/>
      <c r="J146" s="1645">
        <f>SUM(J147,J156)</f>
        <v>1149980</v>
      </c>
      <c r="K146" s="1645">
        <f>SUM(K147,K156)</f>
        <v>2952636</v>
      </c>
      <c r="L146" s="1654">
        <f>K146/E146</f>
        <v>3.7663383310755476</v>
      </c>
      <c r="M146" s="2188" t="s">
        <v>615</v>
      </c>
    </row>
    <row r="147" spans="1:13" s="423" customFormat="1" ht="14.1" customHeight="1">
      <c r="A147" s="2042"/>
      <c r="B147" s="2151"/>
      <c r="C147" s="1418" t="s">
        <v>18</v>
      </c>
      <c r="D147" s="1611"/>
      <c r="E147" s="1313">
        <f>SUM(E148+E151+E152+E153+E154+E155)</f>
        <v>0</v>
      </c>
      <c r="F147" s="1313">
        <f>SUM(F148+F151+F152+F153+F154+F155)</f>
        <v>0</v>
      </c>
      <c r="G147" s="1313"/>
      <c r="H147" s="1313">
        <f>SUM(H148+H151+H152+H153+H154+H155)</f>
        <v>0</v>
      </c>
      <c r="I147" s="1420"/>
      <c r="J147" s="1310">
        <f>SUM(J148+J151+J152+J153+J154+J155)</f>
        <v>0</v>
      </c>
      <c r="K147" s="1310">
        <f>SUM(K148+K151+K152+K153+K154+K155)</f>
        <v>0</v>
      </c>
      <c r="L147" s="1421"/>
      <c r="M147" s="2009"/>
    </row>
    <row r="148" spans="1:13" s="423" customFormat="1" ht="14.1" customHeight="1">
      <c r="A148" s="2042"/>
      <c r="B148" s="2151"/>
      <c r="C148" s="1422" t="s">
        <v>19</v>
      </c>
      <c r="D148" s="1386"/>
      <c r="E148" s="1423"/>
      <c r="F148" s="1423"/>
      <c r="G148" s="1423"/>
      <c r="H148" s="1423"/>
      <c r="I148" s="1424"/>
      <c r="J148" s="1425">
        <f>SUM(J149:J150)</f>
        <v>0</v>
      </c>
      <c r="K148" s="1425"/>
      <c r="L148" s="1426"/>
      <c r="M148" s="2009"/>
    </row>
    <row r="149" spans="1:13" s="423" customFormat="1" ht="14.1" customHeight="1">
      <c r="A149" s="2042"/>
      <c r="B149" s="2151"/>
      <c r="C149" s="1422" t="s">
        <v>20</v>
      </c>
      <c r="D149" s="1391"/>
      <c r="E149" s="1423"/>
      <c r="F149" s="1423"/>
      <c r="G149" s="1423"/>
      <c r="H149" s="1423"/>
      <c r="I149" s="1358"/>
      <c r="J149" s="1425"/>
      <c r="K149" s="1425"/>
      <c r="L149" s="1426"/>
      <c r="M149" s="2009"/>
    </row>
    <row r="150" spans="1:13" s="423" customFormat="1" ht="23.25" customHeight="1">
      <c r="A150" s="2042"/>
      <c r="B150" s="2151"/>
      <c r="C150" s="1428" t="s">
        <v>369</v>
      </c>
      <c r="D150" s="1391"/>
      <c r="E150" s="1423"/>
      <c r="F150" s="1423"/>
      <c r="G150" s="1423"/>
      <c r="H150" s="1423"/>
      <c r="I150" s="1358">
        <v>0</v>
      </c>
      <c r="J150" s="1425"/>
      <c r="K150" s="1425"/>
      <c r="L150" s="1455"/>
      <c r="M150" s="2009"/>
    </row>
    <row r="151" spans="1:13" s="423" customFormat="1" ht="14.1" customHeight="1">
      <c r="A151" s="2042"/>
      <c r="B151" s="2151"/>
      <c r="C151" s="1422" t="s">
        <v>23</v>
      </c>
      <c r="D151" s="1396"/>
      <c r="E151" s="1423"/>
      <c r="F151" s="1423"/>
      <c r="G151" s="1423"/>
      <c r="H151" s="1423"/>
      <c r="I151" s="1358"/>
      <c r="J151" s="1425"/>
      <c r="K151" s="1425"/>
      <c r="L151" s="1426"/>
      <c r="M151" s="2009"/>
    </row>
    <row r="152" spans="1:13" s="423" customFormat="1" ht="14.1" customHeight="1">
      <c r="A152" s="2042"/>
      <c r="B152" s="2151"/>
      <c r="C152" s="1422" t="s">
        <v>24</v>
      </c>
      <c r="D152" s="1391"/>
      <c r="E152" s="1423"/>
      <c r="F152" s="1423"/>
      <c r="G152" s="1423"/>
      <c r="H152" s="1423"/>
      <c r="I152" s="1358"/>
      <c r="J152" s="1425"/>
      <c r="K152" s="1425"/>
      <c r="L152" s="1426"/>
      <c r="M152" s="2009"/>
    </row>
    <row r="153" spans="1:13" s="423" customFormat="1" ht="22.5">
      <c r="A153" s="2042"/>
      <c r="B153" s="2151"/>
      <c r="C153" s="1428" t="s">
        <v>35</v>
      </c>
      <c r="D153" s="1391"/>
      <c r="E153" s="1423"/>
      <c r="F153" s="1423"/>
      <c r="G153" s="1423"/>
      <c r="H153" s="1423"/>
      <c r="I153" s="1358"/>
      <c r="J153" s="1425"/>
      <c r="K153" s="1425"/>
      <c r="L153" s="1426"/>
      <c r="M153" s="2009"/>
    </row>
    <row r="154" spans="1:13" s="423" customFormat="1" ht="14.1" customHeight="1">
      <c r="A154" s="2042"/>
      <c r="B154" s="2151"/>
      <c r="C154" s="1422" t="s">
        <v>26</v>
      </c>
      <c r="D154" s="1396"/>
      <c r="E154" s="1423"/>
      <c r="F154" s="1423"/>
      <c r="G154" s="1423"/>
      <c r="H154" s="1423"/>
      <c r="I154" s="1358"/>
      <c r="J154" s="1425"/>
      <c r="K154" s="1425"/>
      <c r="L154" s="1426"/>
      <c r="M154" s="2009"/>
    </row>
    <row r="155" spans="1:13" s="423" customFormat="1" ht="14.1" customHeight="1">
      <c r="A155" s="2042"/>
      <c r="B155" s="2151"/>
      <c r="C155" s="1422" t="s">
        <v>27</v>
      </c>
      <c r="D155" s="1391"/>
      <c r="E155" s="1423"/>
      <c r="F155" s="1423"/>
      <c r="G155" s="1423"/>
      <c r="H155" s="1423"/>
      <c r="I155" s="1358"/>
      <c r="J155" s="1425"/>
      <c r="K155" s="1425"/>
      <c r="L155" s="1426"/>
      <c r="M155" s="2009"/>
    </row>
    <row r="156" spans="1:13" s="423" customFormat="1" ht="14.1" customHeight="1">
      <c r="A156" s="2042"/>
      <c r="B156" s="2151"/>
      <c r="C156" s="1308" t="s">
        <v>28</v>
      </c>
      <c r="D156" s="1391"/>
      <c r="E156" s="1313">
        <f>E157+E159+E160</f>
        <v>783954</v>
      </c>
      <c r="F156" s="1313">
        <f>F157+F159+F160</f>
        <v>783954</v>
      </c>
      <c r="G156" s="1313"/>
      <c r="H156" s="1313">
        <f>H157+H159+H160</f>
        <v>1802656</v>
      </c>
      <c r="I156" s="1358">
        <f>H156/E156</f>
        <v>2.2994410386323687</v>
      </c>
      <c r="J156" s="1310">
        <f>J157+J159+J160</f>
        <v>1149980</v>
      </c>
      <c r="K156" s="1310">
        <f>K157+K159+K160</f>
        <v>2952636</v>
      </c>
      <c r="L156" s="1453">
        <f>K156/E156</f>
        <v>3.7663383310755476</v>
      </c>
      <c r="M156" s="2009"/>
    </row>
    <row r="157" spans="1:13" s="423" customFormat="1" ht="14.1" customHeight="1">
      <c r="A157" s="2042"/>
      <c r="B157" s="2151"/>
      <c r="C157" s="1459" t="s">
        <v>29</v>
      </c>
      <c r="D157" s="1391">
        <v>6220</v>
      </c>
      <c r="E157" s="1467">
        <v>783954</v>
      </c>
      <c r="F157" s="1423">
        <v>783954</v>
      </c>
      <c r="G157" s="1423"/>
      <c r="H157" s="1423">
        <v>1802656</v>
      </c>
      <c r="I157" s="1358">
        <f>H157/E157</f>
        <v>2.2994410386323687</v>
      </c>
      <c r="J157" s="1425">
        <f>150000+999980</f>
        <v>1149980</v>
      </c>
      <c r="K157" s="1425">
        <f>J157+H157</f>
        <v>2952636</v>
      </c>
      <c r="L157" s="1455">
        <f>K157/E157</f>
        <v>3.7663383310755476</v>
      </c>
      <c r="M157" s="2009"/>
    </row>
    <row r="158" spans="1:13" s="423" customFormat="1" ht="22.5">
      <c r="A158" s="2042"/>
      <c r="B158" s="2151"/>
      <c r="C158" s="1428" t="s">
        <v>89</v>
      </c>
      <c r="D158" s="1399"/>
      <c r="E158" s="1423"/>
      <c r="F158" s="1423"/>
      <c r="G158" s="1423"/>
      <c r="H158" s="1423"/>
      <c r="I158" s="1358"/>
      <c r="J158" s="1425"/>
      <c r="K158" s="1425"/>
      <c r="L158" s="1426"/>
      <c r="M158" s="2009"/>
    </row>
    <row r="159" spans="1:13" s="423" customFormat="1" ht="14.1" customHeight="1">
      <c r="A159" s="2042"/>
      <c r="B159" s="2151"/>
      <c r="C159" s="1422" t="s">
        <v>31</v>
      </c>
      <c r="D159" s="1396"/>
      <c r="E159" s="1423"/>
      <c r="F159" s="1423"/>
      <c r="G159" s="1423"/>
      <c r="H159" s="1423"/>
      <c r="I159" s="1358"/>
      <c r="J159" s="1425"/>
      <c r="K159" s="1425"/>
      <c r="L159" s="1426"/>
      <c r="M159" s="2009"/>
    </row>
    <row r="160" spans="1:13" s="423" customFormat="1" ht="16.5" customHeight="1" thickBot="1">
      <c r="A160" s="2153"/>
      <c r="B160" s="2152"/>
      <c r="C160" s="1039" t="s">
        <v>32</v>
      </c>
      <c r="D160" s="1618"/>
      <c r="E160" s="1634"/>
      <c r="F160" s="1634"/>
      <c r="G160" s="1634"/>
      <c r="H160" s="1634"/>
      <c r="I160" s="1620"/>
      <c r="J160" s="1637"/>
      <c r="K160" s="1637"/>
      <c r="L160" s="1638"/>
      <c r="M160" s="2021"/>
    </row>
    <row r="161" spans="1:13" s="423" customFormat="1" ht="18" customHeight="1">
      <c r="A161" s="2066"/>
      <c r="B161" s="2154">
        <v>85148</v>
      </c>
      <c r="C161" s="1683" t="s">
        <v>436</v>
      </c>
      <c r="D161" s="1662"/>
      <c r="E161" s="1663">
        <f>SUM(E162,E171)</f>
        <v>3022407</v>
      </c>
      <c r="F161" s="1663">
        <f>SUM(F162,F171)</f>
        <v>3419857</v>
      </c>
      <c r="G161" s="1663">
        <f t="shared" ref="G161:H161" si="4">SUM(G162,G171)</f>
        <v>0</v>
      </c>
      <c r="H161" s="1663">
        <f t="shared" si="4"/>
        <v>3972331</v>
      </c>
      <c r="I161" s="1157">
        <f>H161/E161</f>
        <v>1.314293872400375</v>
      </c>
      <c r="J161" s="1664">
        <f>SUM(J162,J171)</f>
        <v>200000</v>
      </c>
      <c r="K161" s="1664">
        <f>SUM(K162,K171)</f>
        <v>4172331</v>
      </c>
      <c r="L161" s="1665">
        <f>K161/E161</f>
        <v>1.3804662972260189</v>
      </c>
      <c r="M161" s="2008" t="s">
        <v>614</v>
      </c>
    </row>
    <row r="162" spans="1:13" s="423" customFormat="1" ht="13.5" customHeight="1">
      <c r="A162" s="2042"/>
      <c r="B162" s="2151"/>
      <c r="C162" s="1418" t="s">
        <v>18</v>
      </c>
      <c r="D162" s="1469"/>
      <c r="E162" s="1313">
        <f>E163+E166+E167+E168+E169+E170</f>
        <v>3002607</v>
      </c>
      <c r="F162" s="1313">
        <f>F163+F166+F167+F168+F169+F170</f>
        <v>3400057</v>
      </c>
      <c r="G162" s="1313"/>
      <c r="H162" s="1313">
        <f>SUM(H163,H166,H168,H167,H169,H170)</f>
        <v>3857000</v>
      </c>
      <c r="I162" s="1358">
        <f>H162/E162</f>
        <v>1.2845503923756922</v>
      </c>
      <c r="J162" s="1310">
        <f>J163+J166+J167+J168+J169+J170</f>
        <v>200000</v>
      </c>
      <c r="K162" s="1310">
        <f>SUM(K165:K166)</f>
        <v>4057000</v>
      </c>
      <c r="L162" s="1453">
        <f>K162/E162</f>
        <v>1.3511591760093813</v>
      </c>
      <c r="M162" s="2009"/>
    </row>
    <row r="163" spans="1:13" s="423" customFormat="1" ht="13.5" customHeight="1">
      <c r="A163" s="2042"/>
      <c r="B163" s="2151"/>
      <c r="C163" s="1422" t="s">
        <v>19</v>
      </c>
      <c r="D163" s="1386"/>
      <c r="E163" s="1423">
        <f>SUM(E164:E165)</f>
        <v>1900057</v>
      </c>
      <c r="F163" s="1423">
        <f>SUM(F164:F165)</f>
        <v>1900057</v>
      </c>
      <c r="G163" s="1423">
        <f>SUM(G164:G165)</f>
        <v>0</v>
      </c>
      <c r="H163" s="1423">
        <f>SUM(H164:H165)</f>
        <v>2257000</v>
      </c>
      <c r="I163" s="1352">
        <f>H163/E163</f>
        <v>1.1878591010690731</v>
      </c>
      <c r="J163" s="1425">
        <f>SUM(J165)</f>
        <v>200000</v>
      </c>
      <c r="K163" s="1425">
        <v>0</v>
      </c>
      <c r="L163" s="1455"/>
      <c r="M163" s="2009"/>
    </row>
    <row r="164" spans="1:13" s="423" customFormat="1" ht="11.25" customHeight="1">
      <c r="A164" s="2042"/>
      <c r="B164" s="2151"/>
      <c r="C164" s="1422" t="s">
        <v>20</v>
      </c>
      <c r="D164" s="1391"/>
      <c r="E164" s="1423"/>
      <c r="F164" s="1423"/>
      <c r="G164" s="1423"/>
      <c r="H164" s="1423"/>
      <c r="I164" s="1358"/>
      <c r="J164" s="1425"/>
      <c r="K164" s="1425"/>
      <c r="L164" s="1426"/>
      <c r="M164" s="2009"/>
    </row>
    <row r="165" spans="1:13" s="423" customFormat="1" ht="22.5">
      <c r="A165" s="2042"/>
      <c r="B165" s="2151"/>
      <c r="C165" s="1428" t="s">
        <v>369</v>
      </c>
      <c r="D165" s="1391">
        <v>4280</v>
      </c>
      <c r="E165" s="1423">
        <v>1900057</v>
      </c>
      <c r="F165" s="1423">
        <v>1900057</v>
      </c>
      <c r="G165" s="1423"/>
      <c r="H165" s="1423">
        <v>2257000</v>
      </c>
      <c r="I165" s="1352">
        <f>H165/E165</f>
        <v>1.1878591010690731</v>
      </c>
      <c r="J165" s="1425">
        <v>200000</v>
      </c>
      <c r="K165" s="1425">
        <f>J165+H165</f>
        <v>2457000</v>
      </c>
      <c r="L165" s="1455">
        <f>K165/E165</f>
        <v>1.2931191011638072</v>
      </c>
      <c r="M165" s="2009"/>
    </row>
    <row r="166" spans="1:13" s="423" customFormat="1" ht="13.5" customHeight="1">
      <c r="A166" s="2042"/>
      <c r="B166" s="2151"/>
      <c r="C166" s="1422" t="s">
        <v>23</v>
      </c>
      <c r="D166" s="1396">
        <v>2560</v>
      </c>
      <c r="E166" s="1423">
        <v>1102550</v>
      </c>
      <c r="F166" s="1423">
        <v>1500000</v>
      </c>
      <c r="G166" s="1423"/>
      <c r="H166" s="1423">
        <v>1600000</v>
      </c>
      <c r="I166" s="1352">
        <f>H166/E166</f>
        <v>1.4511813523196226</v>
      </c>
      <c r="J166" s="1425">
        <v>0</v>
      </c>
      <c r="K166" s="1425">
        <f>J166+H166</f>
        <v>1600000</v>
      </c>
      <c r="L166" s="1455">
        <f>K166/E166</f>
        <v>1.4511813523196226</v>
      </c>
      <c r="M166" s="2009"/>
    </row>
    <row r="167" spans="1:13" s="423" customFormat="1" ht="13.5" customHeight="1">
      <c r="A167" s="2042"/>
      <c r="B167" s="2151"/>
      <c r="C167" s="1422" t="s">
        <v>24</v>
      </c>
      <c r="D167" s="1391"/>
      <c r="E167" s="1423"/>
      <c r="F167" s="1423"/>
      <c r="G167" s="1423"/>
      <c r="H167" s="1423"/>
      <c r="I167" s="1358"/>
      <c r="J167" s="1425"/>
      <c r="K167" s="1425"/>
      <c r="L167" s="1426"/>
      <c r="M167" s="2009"/>
    </row>
    <row r="168" spans="1:13" s="423" customFormat="1" ht="22.5">
      <c r="A168" s="2042"/>
      <c r="B168" s="2151"/>
      <c r="C168" s="1428" t="s">
        <v>427</v>
      </c>
      <c r="D168" s="1391"/>
      <c r="E168" s="1423"/>
      <c r="F168" s="1423"/>
      <c r="G168" s="1423"/>
      <c r="H168" s="1423"/>
      <c r="I168" s="1358"/>
      <c r="J168" s="1425"/>
      <c r="K168" s="1425"/>
      <c r="L168" s="1426"/>
      <c r="M168" s="2009"/>
    </row>
    <row r="169" spans="1:13" s="423" customFormat="1" ht="11.25" customHeight="1">
      <c r="A169" s="2042"/>
      <c r="B169" s="2151"/>
      <c r="C169" s="1422" t="s">
        <v>26</v>
      </c>
      <c r="D169" s="1396"/>
      <c r="E169" s="1423"/>
      <c r="F169" s="1423"/>
      <c r="G169" s="1423"/>
      <c r="H169" s="1423"/>
      <c r="I169" s="1358"/>
      <c r="J169" s="1425"/>
      <c r="K169" s="1425"/>
      <c r="L169" s="1426"/>
      <c r="M169" s="2009"/>
    </row>
    <row r="170" spans="1:13" s="423" customFormat="1" ht="11.25" customHeight="1">
      <c r="A170" s="2042"/>
      <c r="B170" s="2151"/>
      <c r="C170" s="1422" t="s">
        <v>27</v>
      </c>
      <c r="D170" s="1391"/>
      <c r="E170" s="1423"/>
      <c r="F170" s="1423"/>
      <c r="G170" s="1423"/>
      <c r="H170" s="1423"/>
      <c r="I170" s="1358"/>
      <c r="J170" s="1425"/>
      <c r="K170" s="1425"/>
      <c r="L170" s="1426"/>
      <c r="M170" s="2009"/>
    </row>
    <row r="171" spans="1:13" s="423" customFormat="1" ht="11.25" customHeight="1">
      <c r="A171" s="2042"/>
      <c r="B171" s="2151"/>
      <c r="C171" s="1308" t="s">
        <v>28</v>
      </c>
      <c r="D171" s="1391"/>
      <c r="E171" s="1313">
        <f>E172+E174+E175</f>
        <v>19800</v>
      </c>
      <c r="F171" s="1313">
        <f>F172+F174+F175</f>
        <v>19800</v>
      </c>
      <c r="G171" s="1313"/>
      <c r="H171" s="1313">
        <f>H172+H174+H175</f>
        <v>115331</v>
      </c>
      <c r="I171" s="1420"/>
      <c r="J171" s="1310">
        <f>J172+J174+J175</f>
        <v>0</v>
      </c>
      <c r="K171" s="1310">
        <f>K172+K174+K175</f>
        <v>115331</v>
      </c>
      <c r="L171" s="1453">
        <f>K171/E171</f>
        <v>5.8247979797979799</v>
      </c>
      <c r="M171" s="2009"/>
    </row>
    <row r="172" spans="1:13" s="423" customFormat="1" ht="11.25" customHeight="1">
      <c r="A172" s="2042"/>
      <c r="B172" s="2151"/>
      <c r="C172" s="1422" t="s">
        <v>29</v>
      </c>
      <c r="D172" s="1391">
        <v>6220</v>
      </c>
      <c r="E172" s="1423">
        <v>19800</v>
      </c>
      <c r="F172" s="1423">
        <v>19800</v>
      </c>
      <c r="G172" s="1423"/>
      <c r="H172" s="1423">
        <v>115331</v>
      </c>
      <c r="I172" s="1420"/>
      <c r="J172" s="1425">
        <v>0</v>
      </c>
      <c r="K172" s="1425">
        <f>J172+H172</f>
        <v>115331</v>
      </c>
      <c r="L172" s="1455">
        <f>K172/E172</f>
        <v>5.8247979797979799</v>
      </c>
      <c r="M172" s="2009"/>
    </row>
    <row r="173" spans="1:13" s="423" customFormat="1" ht="22.5">
      <c r="A173" s="2042"/>
      <c r="B173" s="2151"/>
      <c r="C173" s="1428" t="s">
        <v>89</v>
      </c>
      <c r="D173" s="1391"/>
      <c r="E173" s="1423"/>
      <c r="F173" s="1423"/>
      <c r="G173" s="1423"/>
      <c r="H173" s="1423"/>
      <c r="I173" s="1358"/>
      <c r="J173" s="1425"/>
      <c r="K173" s="1425"/>
      <c r="L173" s="1426"/>
      <c r="M173" s="2009"/>
    </row>
    <row r="174" spans="1:13" s="423" customFormat="1" ht="11.25" customHeight="1">
      <c r="A174" s="2042"/>
      <c r="B174" s="2151"/>
      <c r="C174" s="1422" t="s">
        <v>31</v>
      </c>
      <c r="D174" s="1396"/>
      <c r="E174" s="1423"/>
      <c r="F174" s="1423"/>
      <c r="G174" s="1423"/>
      <c r="H174" s="1423"/>
      <c r="I174" s="1358"/>
      <c r="J174" s="1425"/>
      <c r="K174" s="1425"/>
      <c r="L174" s="1426"/>
      <c r="M174" s="2009"/>
    </row>
    <row r="175" spans="1:13" s="423" customFormat="1" ht="12" customHeight="1">
      <c r="A175" s="2042"/>
      <c r="B175" s="2151"/>
      <c r="C175" s="1422" t="s">
        <v>32</v>
      </c>
      <c r="D175" s="1391"/>
      <c r="E175" s="1423"/>
      <c r="F175" s="1423"/>
      <c r="G175" s="1423"/>
      <c r="H175" s="1423"/>
      <c r="I175" s="1358"/>
      <c r="J175" s="1425"/>
      <c r="K175" s="1425"/>
      <c r="L175" s="1426"/>
      <c r="M175" s="2009"/>
    </row>
    <row r="176" spans="1:13" s="423" customFormat="1" ht="14.1" hidden="1" customHeight="1">
      <c r="A176" s="1470"/>
      <c r="B176" s="2151">
        <v>85149</v>
      </c>
      <c r="C176" s="1468" t="s">
        <v>437</v>
      </c>
      <c r="D176" s="1462"/>
      <c r="E176" s="1463">
        <f>SUM(E177,E186)</f>
        <v>0</v>
      </c>
      <c r="F176" s="1463">
        <f>SUM(F177,F186)</f>
        <v>0</v>
      </c>
      <c r="G176" s="1463"/>
      <c r="H176" s="1463">
        <f>SUM(H177,H186)</f>
        <v>0</v>
      </c>
      <c r="I176" s="1357" t="e">
        <f>H176/E176</f>
        <v>#DIV/0!</v>
      </c>
      <c r="J176" s="1464">
        <f>SUM(J177,J186)</f>
        <v>0</v>
      </c>
      <c r="K176" s="1464">
        <f>SUM(K177,K186)</f>
        <v>0</v>
      </c>
      <c r="L176" s="1465"/>
      <c r="M176" s="2173"/>
    </row>
    <row r="177" spans="1:13" s="423" customFormat="1" ht="14.1" hidden="1" customHeight="1">
      <c r="A177" s="1470"/>
      <c r="B177" s="2151"/>
      <c r="C177" s="1418" t="s">
        <v>18</v>
      </c>
      <c r="D177" s="1469"/>
      <c r="E177" s="1313">
        <f>E178+E181+E182+E183+E184+E185</f>
        <v>0</v>
      </c>
      <c r="F177" s="1313">
        <f>F178+F181+F182+F183+F184+F185</f>
        <v>0</v>
      </c>
      <c r="G177" s="1313"/>
      <c r="H177" s="1313">
        <f>H178+H181+H182+H183+H184+H185</f>
        <v>0</v>
      </c>
      <c r="I177" s="1358" t="e">
        <f>H177/E177</f>
        <v>#DIV/0!</v>
      </c>
      <c r="J177" s="1310">
        <f>J178+J181+J182+J183+J184+J185</f>
        <v>0</v>
      </c>
      <c r="K177" s="1310">
        <f>K178+K181+K182+K183+K184+K185</f>
        <v>0</v>
      </c>
      <c r="L177" s="1421"/>
      <c r="M177" s="2173"/>
    </row>
    <row r="178" spans="1:13" s="423" customFormat="1" ht="14.1" hidden="1" customHeight="1">
      <c r="A178" s="1470"/>
      <c r="B178" s="2151"/>
      <c r="C178" s="1422" t="s">
        <v>19</v>
      </c>
      <c r="D178" s="1386"/>
      <c r="E178" s="1423">
        <f>SUM(E179:E180)</f>
        <v>0</v>
      </c>
      <c r="F178" s="1423">
        <f>SUM(F179:F180)</f>
        <v>0</v>
      </c>
      <c r="G178" s="1423">
        <f>SUM(G179:G180)</f>
        <v>0</v>
      </c>
      <c r="H178" s="1423">
        <f>E178+G178</f>
        <v>0</v>
      </c>
      <c r="I178" s="1358" t="e">
        <f>H178/E178</f>
        <v>#DIV/0!</v>
      </c>
      <c r="J178" s="1425">
        <f>SUM(J179:J180)</f>
        <v>0</v>
      </c>
      <c r="K178" s="1425">
        <f>H178+J178</f>
        <v>0</v>
      </c>
      <c r="L178" s="1426"/>
      <c r="M178" s="2173"/>
    </row>
    <row r="179" spans="1:13" s="423" customFormat="1" ht="14.1" hidden="1" customHeight="1">
      <c r="A179" s="1470"/>
      <c r="B179" s="2151"/>
      <c r="C179" s="1422" t="s">
        <v>20</v>
      </c>
      <c r="D179" s="1391"/>
      <c r="E179" s="1423"/>
      <c r="F179" s="1423"/>
      <c r="G179" s="1423"/>
      <c r="H179" s="1423"/>
      <c r="I179" s="1358"/>
      <c r="J179" s="1425"/>
      <c r="K179" s="1425"/>
      <c r="L179" s="1426"/>
      <c r="M179" s="2173"/>
    </row>
    <row r="180" spans="1:13" s="423" customFormat="1" ht="25.5" hidden="1" customHeight="1">
      <c r="A180" s="1470"/>
      <c r="B180" s="2151"/>
      <c r="C180" s="1428" t="s">
        <v>369</v>
      </c>
      <c r="D180" s="1391">
        <v>4300</v>
      </c>
      <c r="E180" s="1423">
        <v>0</v>
      </c>
      <c r="F180" s="1423">
        <v>0</v>
      </c>
      <c r="G180" s="1423"/>
      <c r="H180" s="1423">
        <f>E180+G180</f>
        <v>0</v>
      </c>
      <c r="I180" s="1352" t="e">
        <f>H180/E180</f>
        <v>#DIV/0!</v>
      </c>
      <c r="J180" s="1425"/>
      <c r="K180" s="1425">
        <f>H180+J180</f>
        <v>0</v>
      </c>
      <c r="L180" s="1426"/>
      <c r="M180" s="2173"/>
    </row>
    <row r="181" spans="1:13" s="423" customFormat="1" ht="14.1" hidden="1" customHeight="1">
      <c r="A181" s="1470"/>
      <c r="B181" s="2151"/>
      <c r="C181" s="1422" t="s">
        <v>23</v>
      </c>
      <c r="D181" s="1396"/>
      <c r="E181" s="1423"/>
      <c r="F181" s="1423"/>
      <c r="G181" s="1423"/>
      <c r="H181" s="1423"/>
      <c r="I181" s="1352"/>
      <c r="J181" s="1425"/>
      <c r="K181" s="1425"/>
      <c r="L181" s="1426"/>
      <c r="M181" s="2173"/>
    </row>
    <row r="182" spans="1:13" s="423" customFormat="1" ht="14.1" hidden="1" customHeight="1">
      <c r="A182" s="1470"/>
      <c r="B182" s="2151"/>
      <c r="C182" s="1422" t="s">
        <v>24</v>
      </c>
      <c r="D182" s="1391"/>
      <c r="E182" s="1423"/>
      <c r="F182" s="1423"/>
      <c r="G182" s="1423"/>
      <c r="H182" s="1423"/>
      <c r="I182" s="1358"/>
      <c r="J182" s="1425"/>
      <c r="K182" s="1425"/>
      <c r="L182" s="1426"/>
      <c r="M182" s="2173"/>
    </row>
    <row r="183" spans="1:13" s="423" customFormat="1" ht="22.5" hidden="1" customHeight="1">
      <c r="A183" s="1470"/>
      <c r="B183" s="2151"/>
      <c r="C183" s="1428" t="s">
        <v>427</v>
      </c>
      <c r="D183" s="1391"/>
      <c r="E183" s="1423"/>
      <c r="F183" s="1423"/>
      <c r="G183" s="1423"/>
      <c r="H183" s="1423"/>
      <c r="I183" s="1358"/>
      <c r="J183" s="1425"/>
      <c r="K183" s="1425"/>
      <c r="L183" s="1426"/>
      <c r="M183" s="2173"/>
    </row>
    <row r="184" spans="1:13" s="423" customFormat="1" ht="14.1" hidden="1" customHeight="1">
      <c r="A184" s="1470"/>
      <c r="B184" s="2151"/>
      <c r="C184" s="1422" t="s">
        <v>26</v>
      </c>
      <c r="D184" s="1396"/>
      <c r="E184" s="1423"/>
      <c r="F184" s="1423"/>
      <c r="G184" s="1423"/>
      <c r="H184" s="1423"/>
      <c r="I184" s="1358"/>
      <c r="J184" s="1425"/>
      <c r="K184" s="1425"/>
      <c r="L184" s="1426"/>
      <c r="M184" s="2173"/>
    </row>
    <row r="185" spans="1:13" s="423" customFormat="1" ht="14.1" hidden="1" customHeight="1">
      <c r="A185" s="1470"/>
      <c r="B185" s="2151"/>
      <c r="C185" s="1422" t="s">
        <v>27</v>
      </c>
      <c r="D185" s="1391"/>
      <c r="E185" s="1423"/>
      <c r="F185" s="1423"/>
      <c r="G185" s="1423"/>
      <c r="H185" s="1423"/>
      <c r="I185" s="1358"/>
      <c r="J185" s="1425"/>
      <c r="K185" s="1425"/>
      <c r="L185" s="1426"/>
      <c r="M185" s="2173"/>
    </row>
    <row r="186" spans="1:13" s="423" customFormat="1" ht="14.1" hidden="1" customHeight="1">
      <c r="A186" s="1470"/>
      <c r="B186" s="2151"/>
      <c r="C186" s="1308" t="s">
        <v>28</v>
      </c>
      <c r="D186" s="1391"/>
      <c r="E186" s="1313">
        <f>E187+E189+E190</f>
        <v>0</v>
      </c>
      <c r="F186" s="1313">
        <f>F187+F189+F190</f>
        <v>0</v>
      </c>
      <c r="G186" s="1313"/>
      <c r="H186" s="1313">
        <f>H187+H189+H190</f>
        <v>0</v>
      </c>
      <c r="I186" s="1420"/>
      <c r="J186" s="1310">
        <f>J187+J189+J190</f>
        <v>0</v>
      </c>
      <c r="K186" s="1310">
        <f>K187+K189+K190</f>
        <v>0</v>
      </c>
      <c r="L186" s="1421"/>
      <c r="M186" s="2173"/>
    </row>
    <row r="187" spans="1:13" s="423" customFormat="1" ht="14.1" hidden="1" customHeight="1">
      <c r="A187" s="1470"/>
      <c r="B187" s="2151"/>
      <c r="C187" s="1422" t="s">
        <v>29</v>
      </c>
      <c r="D187" s="1391"/>
      <c r="E187" s="1423"/>
      <c r="F187" s="1423"/>
      <c r="G187" s="1423"/>
      <c r="H187" s="1423"/>
      <c r="I187" s="1420"/>
      <c r="J187" s="1425"/>
      <c r="K187" s="1425"/>
      <c r="L187" s="1426"/>
      <c r="M187" s="2173"/>
    </row>
    <row r="188" spans="1:13" s="423" customFormat="1" ht="23.25" hidden="1" customHeight="1">
      <c r="A188" s="1470"/>
      <c r="B188" s="2151"/>
      <c r="C188" s="1428" t="s">
        <v>89</v>
      </c>
      <c r="D188" s="1391"/>
      <c r="E188" s="1423"/>
      <c r="F188" s="1423"/>
      <c r="G188" s="1423"/>
      <c r="H188" s="1423"/>
      <c r="I188" s="1358"/>
      <c r="J188" s="1425"/>
      <c r="K188" s="1425"/>
      <c r="L188" s="1426"/>
      <c r="M188" s="2173"/>
    </row>
    <row r="189" spans="1:13" s="423" customFormat="1" ht="14.1" hidden="1" customHeight="1">
      <c r="A189" s="1470"/>
      <c r="B189" s="2151"/>
      <c r="C189" s="1422" t="s">
        <v>31</v>
      </c>
      <c r="D189" s="1396"/>
      <c r="E189" s="1423"/>
      <c r="F189" s="1423"/>
      <c r="G189" s="1423"/>
      <c r="H189" s="1423"/>
      <c r="I189" s="1358"/>
      <c r="J189" s="1425"/>
      <c r="K189" s="1425"/>
      <c r="L189" s="1426"/>
      <c r="M189" s="2173"/>
    </row>
    <row r="190" spans="1:13" s="423" customFormat="1" ht="12" hidden="1" customHeight="1">
      <c r="A190" s="1470"/>
      <c r="B190" s="2151"/>
      <c r="C190" s="1422" t="s">
        <v>32</v>
      </c>
      <c r="D190" s="1391"/>
      <c r="E190" s="1423"/>
      <c r="F190" s="1423"/>
      <c r="G190" s="1423"/>
      <c r="H190" s="1423"/>
      <c r="I190" s="1358"/>
      <c r="J190" s="1425"/>
      <c r="K190" s="1425"/>
      <c r="L190" s="1426"/>
      <c r="M190" s="2173"/>
    </row>
    <row r="191" spans="1:13" s="423" customFormat="1" ht="14.1" customHeight="1">
      <c r="A191" s="2026"/>
      <c r="B191" s="2179" t="s">
        <v>438</v>
      </c>
      <c r="C191" s="1471" t="s">
        <v>439</v>
      </c>
      <c r="D191" s="1462"/>
      <c r="E191" s="1321">
        <f>SUM(E192,E201)</f>
        <v>150000</v>
      </c>
      <c r="F191" s="1321">
        <f>SUM(F192,F201)</f>
        <v>150000</v>
      </c>
      <c r="G191" s="1321"/>
      <c r="H191" s="1321">
        <f>SUM(H192,H201)</f>
        <v>150000</v>
      </c>
      <c r="I191" s="1357">
        <f>H191/E191</f>
        <v>1</v>
      </c>
      <c r="J191" s="1449">
        <f>SUM(J192,J201)</f>
        <v>0</v>
      </c>
      <c r="K191" s="1449">
        <f>SUM(K192,K201)</f>
        <v>150000</v>
      </c>
      <c r="L191" s="1450">
        <f>K191/E191</f>
        <v>1</v>
      </c>
      <c r="M191" s="2009" t="s">
        <v>440</v>
      </c>
    </row>
    <row r="192" spans="1:13" s="423" customFormat="1" ht="14.1" customHeight="1">
      <c r="A192" s="2004"/>
      <c r="B192" s="2179"/>
      <c r="C192" s="1418" t="s">
        <v>18</v>
      </c>
      <c r="D192" s="1386"/>
      <c r="E192" s="903">
        <f>E193+E196+E197+E198+E199+E200</f>
        <v>150000</v>
      </c>
      <c r="F192" s="903">
        <f>F193+F196+F197+F198+F199+F200</f>
        <v>150000</v>
      </c>
      <c r="G192" s="903"/>
      <c r="H192" s="903">
        <f>H193+H196+H197+H198+H199+H200</f>
        <v>150000</v>
      </c>
      <c r="I192" s="1358">
        <f>H192/E192</f>
        <v>1</v>
      </c>
      <c r="J192" s="1452">
        <f>J193+J196+J197+J198+J199+J200</f>
        <v>0</v>
      </c>
      <c r="K192" s="1452">
        <f>K193+K196+K197+K198+K199+K200</f>
        <v>150000</v>
      </c>
      <c r="L192" s="1453">
        <f>K192/E192</f>
        <v>1</v>
      </c>
      <c r="M192" s="2009"/>
    </row>
    <row r="193" spans="1:13" s="423" customFormat="1" ht="14.1" customHeight="1">
      <c r="A193" s="2004"/>
      <c r="B193" s="2179"/>
      <c r="C193" s="1422" t="s">
        <v>19</v>
      </c>
      <c r="D193" s="1386"/>
      <c r="E193" s="906"/>
      <c r="F193" s="906"/>
      <c r="G193" s="906"/>
      <c r="H193" s="906"/>
      <c r="I193" s="1352"/>
      <c r="J193" s="1454"/>
      <c r="K193" s="1454"/>
      <c r="L193" s="1455"/>
      <c r="M193" s="2009"/>
    </row>
    <row r="194" spans="1:13" s="423" customFormat="1" ht="14.1" customHeight="1">
      <c r="A194" s="2004"/>
      <c r="B194" s="2179"/>
      <c r="C194" s="1422" t="s">
        <v>20</v>
      </c>
      <c r="D194" s="1391"/>
      <c r="E194" s="906"/>
      <c r="F194" s="906"/>
      <c r="G194" s="906"/>
      <c r="H194" s="906"/>
      <c r="I194" s="1352"/>
      <c r="J194" s="1454"/>
      <c r="K194" s="1454"/>
      <c r="L194" s="1455"/>
      <c r="M194" s="2009"/>
    </row>
    <row r="195" spans="1:13" s="423" customFormat="1" ht="22.5" customHeight="1">
      <c r="A195" s="2004"/>
      <c r="B195" s="2179"/>
      <c r="C195" s="1428" t="s">
        <v>369</v>
      </c>
      <c r="D195" s="1391"/>
      <c r="E195" s="906"/>
      <c r="F195" s="906"/>
      <c r="G195" s="906"/>
      <c r="H195" s="906"/>
      <c r="I195" s="1352"/>
      <c r="J195" s="1454"/>
      <c r="K195" s="1454"/>
      <c r="L195" s="1455"/>
      <c r="M195" s="2009"/>
    </row>
    <row r="196" spans="1:13" s="423" customFormat="1" ht="14.1" customHeight="1">
      <c r="A196" s="2004"/>
      <c r="B196" s="2179"/>
      <c r="C196" s="1459" t="s">
        <v>23</v>
      </c>
      <c r="D196" s="1396">
        <v>2360</v>
      </c>
      <c r="E196" s="906">
        <v>150000</v>
      </c>
      <c r="F196" s="906">
        <v>150000</v>
      </c>
      <c r="G196" s="906" t="e">
        <f>SUM(#REF!)</f>
        <v>#REF!</v>
      </c>
      <c r="H196" s="906">
        <v>150000</v>
      </c>
      <c r="I196" s="1352">
        <f>H196/E196</f>
        <v>1</v>
      </c>
      <c r="J196" s="1454">
        <v>0</v>
      </c>
      <c r="K196" s="1454">
        <f>J196+H196</f>
        <v>150000</v>
      </c>
      <c r="L196" s="1455">
        <f>K196/E196</f>
        <v>1</v>
      </c>
      <c r="M196" s="2009"/>
    </row>
    <row r="197" spans="1:13" s="423" customFormat="1" ht="14.1" customHeight="1">
      <c r="A197" s="2004"/>
      <c r="B197" s="2179"/>
      <c r="C197" s="1422" t="s">
        <v>24</v>
      </c>
      <c r="D197" s="1391"/>
      <c r="E197" s="906"/>
      <c r="F197" s="906"/>
      <c r="G197" s="906"/>
      <c r="H197" s="906"/>
      <c r="I197" s="1352"/>
      <c r="J197" s="1454"/>
      <c r="K197" s="1454"/>
      <c r="L197" s="1455"/>
      <c r="M197" s="2009"/>
    </row>
    <row r="198" spans="1:13" s="423" customFormat="1" ht="22.5">
      <c r="A198" s="2004"/>
      <c r="B198" s="2179"/>
      <c r="C198" s="1428" t="s">
        <v>441</v>
      </c>
      <c r="D198" s="1391"/>
      <c r="E198" s="906"/>
      <c r="F198" s="906"/>
      <c r="G198" s="906"/>
      <c r="H198" s="906"/>
      <c r="I198" s="1352"/>
      <c r="J198" s="1454"/>
      <c r="K198" s="1454"/>
      <c r="L198" s="1455"/>
      <c r="M198" s="2009"/>
    </row>
    <row r="199" spans="1:13" s="423" customFormat="1" ht="14.1" customHeight="1">
      <c r="A199" s="2004"/>
      <c r="B199" s="2179"/>
      <c r="C199" s="1422" t="s">
        <v>26</v>
      </c>
      <c r="D199" s="1396"/>
      <c r="E199" s="906"/>
      <c r="F199" s="906"/>
      <c r="G199" s="906"/>
      <c r="H199" s="906"/>
      <c r="I199" s="1352"/>
      <c r="J199" s="1454"/>
      <c r="K199" s="1454"/>
      <c r="L199" s="1455"/>
      <c r="M199" s="2009"/>
    </row>
    <row r="200" spans="1:13" s="423" customFormat="1" ht="14.1" customHeight="1">
      <c r="A200" s="2004"/>
      <c r="B200" s="2179"/>
      <c r="C200" s="1422" t="s">
        <v>27</v>
      </c>
      <c r="D200" s="1391"/>
      <c r="E200" s="906"/>
      <c r="F200" s="906"/>
      <c r="G200" s="906"/>
      <c r="H200" s="906"/>
      <c r="I200" s="1352"/>
      <c r="J200" s="1454"/>
      <c r="K200" s="1454"/>
      <c r="L200" s="1455"/>
      <c r="M200" s="2009"/>
    </row>
    <row r="201" spans="1:13" s="423" customFormat="1" ht="14.1" customHeight="1">
      <c r="A201" s="2004"/>
      <c r="B201" s="2179"/>
      <c r="C201" s="1308" t="s">
        <v>28</v>
      </c>
      <c r="D201" s="1391"/>
      <c r="E201" s="903">
        <f>SUM(E202,E204,E205)</f>
        <v>0</v>
      </c>
      <c r="F201" s="903">
        <f>SUM(F202,F204,F205)</f>
        <v>0</v>
      </c>
      <c r="G201" s="903"/>
      <c r="H201" s="903">
        <f>SUM(H202,H204,H205)</f>
        <v>0</v>
      </c>
      <c r="I201" s="1352"/>
      <c r="J201" s="1452">
        <f>SUM(J202,J204,J205)</f>
        <v>0</v>
      </c>
      <c r="K201" s="1452">
        <f>SUM(K202,K204,K205)</f>
        <v>0</v>
      </c>
      <c r="L201" s="1453"/>
      <c r="M201" s="2009"/>
    </row>
    <row r="202" spans="1:13" s="423" customFormat="1" ht="14.1" customHeight="1">
      <c r="A202" s="2004"/>
      <c r="B202" s="2179"/>
      <c r="C202" s="1422" t="s">
        <v>29</v>
      </c>
      <c r="D202" s="1315"/>
      <c r="E202" s="906"/>
      <c r="F202" s="906"/>
      <c r="G202" s="906"/>
      <c r="H202" s="906"/>
      <c r="I202" s="1352"/>
      <c r="J202" s="1454"/>
      <c r="K202" s="1454"/>
      <c r="L202" s="1455"/>
      <c r="M202" s="2009"/>
    </row>
    <row r="203" spans="1:13" s="423" customFormat="1" ht="24.75" customHeight="1">
      <c r="A203" s="2004"/>
      <c r="B203" s="2179"/>
      <c r="C203" s="1428" t="s">
        <v>89</v>
      </c>
      <c r="D203" s="1391"/>
      <c r="E203" s="906"/>
      <c r="F203" s="906"/>
      <c r="G203" s="906"/>
      <c r="H203" s="906"/>
      <c r="I203" s="1352"/>
      <c r="J203" s="1454"/>
      <c r="K203" s="1454"/>
      <c r="L203" s="1455"/>
      <c r="M203" s="2009"/>
    </row>
    <row r="204" spans="1:13" s="423" customFormat="1" ht="14.1" customHeight="1">
      <c r="A204" s="2004"/>
      <c r="B204" s="2179"/>
      <c r="C204" s="1422" t="s">
        <v>31</v>
      </c>
      <c r="D204" s="1396"/>
      <c r="E204" s="906"/>
      <c r="F204" s="906"/>
      <c r="G204" s="906"/>
      <c r="H204" s="906"/>
      <c r="I204" s="1352"/>
      <c r="J204" s="1454"/>
      <c r="K204" s="1454"/>
      <c r="L204" s="1455"/>
      <c r="M204" s="2009"/>
    </row>
    <row r="205" spans="1:13" s="423" customFormat="1" ht="14.1" customHeight="1" thickBot="1">
      <c r="A205" s="2027"/>
      <c r="B205" s="2180"/>
      <c r="C205" s="1039" t="s">
        <v>32</v>
      </c>
      <c r="D205" s="1618"/>
      <c r="E205" s="683"/>
      <c r="F205" s="683"/>
      <c r="G205" s="683"/>
      <c r="H205" s="681"/>
      <c r="I205" s="1178"/>
      <c r="J205" s="1684"/>
      <c r="K205" s="1650"/>
      <c r="L205" s="1651"/>
      <c r="M205" s="2021"/>
    </row>
    <row r="206" spans="1:13" s="423" customFormat="1" ht="14.1" customHeight="1">
      <c r="A206" s="2003"/>
      <c r="B206" s="2154">
        <v>85154</v>
      </c>
      <c r="C206" s="1661" t="s">
        <v>442</v>
      </c>
      <c r="D206" s="1662"/>
      <c r="E206" s="1663">
        <f>SUM(E207+E222)</f>
        <v>472500</v>
      </c>
      <c r="F206" s="1663">
        <f>SUM(F207+F222)</f>
        <v>472500</v>
      </c>
      <c r="G206" s="1663"/>
      <c r="H206" s="1663">
        <f>SUM(H207+H222)</f>
        <v>301200</v>
      </c>
      <c r="I206" s="1157">
        <f>H206/E206</f>
        <v>0.6374603174603175</v>
      </c>
      <c r="J206" s="1664">
        <f>SUM(J207+J222)</f>
        <v>164998</v>
      </c>
      <c r="K206" s="1664">
        <f>SUM(K207+K222)</f>
        <v>466198</v>
      </c>
      <c r="L206" s="1665">
        <f>K206/E206</f>
        <v>0.98666243386243391</v>
      </c>
      <c r="M206" s="2008" t="s">
        <v>626</v>
      </c>
    </row>
    <row r="207" spans="1:13" s="423" customFormat="1" ht="15.75" customHeight="1">
      <c r="A207" s="2004"/>
      <c r="B207" s="2151"/>
      <c r="C207" s="1418" t="s">
        <v>18</v>
      </c>
      <c r="D207" s="1611"/>
      <c r="E207" s="1313">
        <f>SUM(E208+E216+E218+E219+E220+E221)</f>
        <v>472500</v>
      </c>
      <c r="F207" s="1313">
        <f>SUM(F208+F216+F218+F219+F220+F221)</f>
        <v>472500</v>
      </c>
      <c r="G207" s="1313">
        <f>SUM(G208+G216+G218+G219+G220+G221)</f>
        <v>0</v>
      </c>
      <c r="H207" s="1313">
        <f>SUM(H215,H208)</f>
        <v>301200</v>
      </c>
      <c r="I207" s="1358">
        <f>H207/E207</f>
        <v>0.6374603174603175</v>
      </c>
      <c r="J207" s="1310">
        <f>SUM(J208+J216+J218+J219+J220+J221)</f>
        <v>164998</v>
      </c>
      <c r="K207" s="1310">
        <f>SUM(K208,K215)</f>
        <v>466198</v>
      </c>
      <c r="L207" s="1453">
        <f>K207/E207</f>
        <v>0.98666243386243391</v>
      </c>
      <c r="M207" s="2009"/>
    </row>
    <row r="208" spans="1:13" s="423" customFormat="1" ht="14.1" customHeight="1">
      <c r="A208" s="2004"/>
      <c r="B208" s="2151"/>
      <c r="C208" s="1422" t="s">
        <v>19</v>
      </c>
      <c r="D208" s="1472"/>
      <c r="E208" s="1423">
        <f>SUM(E209+E210)</f>
        <v>35000</v>
      </c>
      <c r="F208" s="1423">
        <f>SUM(F209+F210)</f>
        <v>35000</v>
      </c>
      <c r="G208" s="1423"/>
      <c r="H208" s="1423">
        <f>SUM(H209+H210)</f>
        <v>33000</v>
      </c>
      <c r="I208" s="1352">
        <f>H208/E208</f>
        <v>0.94285714285714284</v>
      </c>
      <c r="J208" s="1425">
        <f>SUM(J215)</f>
        <v>164998</v>
      </c>
      <c r="K208" s="1425">
        <f>SUM(K209+K210)</f>
        <v>33000</v>
      </c>
      <c r="L208" s="1455">
        <f>K208/E208</f>
        <v>0.94285714285714284</v>
      </c>
      <c r="M208" s="2009"/>
    </row>
    <row r="209" spans="1:20" s="423" customFormat="1" ht="11.25" customHeight="1">
      <c r="A209" s="2004"/>
      <c r="B209" s="2151"/>
      <c r="C209" s="1422" t="s">
        <v>20</v>
      </c>
      <c r="D209" s="1391"/>
      <c r="E209" s="1423"/>
      <c r="F209" s="1423"/>
      <c r="G209" s="1423"/>
      <c r="H209" s="1423"/>
      <c r="I209" s="1352"/>
      <c r="J209" s="1425"/>
      <c r="K209" s="1425"/>
      <c r="L209" s="1426"/>
      <c r="M209" s="2009"/>
    </row>
    <row r="210" spans="1:20" s="423" customFormat="1" ht="14.1" customHeight="1">
      <c r="A210" s="2004"/>
      <c r="B210" s="2151"/>
      <c r="C210" s="2014" t="s">
        <v>433</v>
      </c>
      <c r="D210" s="1396" t="s">
        <v>366</v>
      </c>
      <c r="E210" s="1423">
        <f>SUM(E211:E214)</f>
        <v>35000</v>
      </c>
      <c r="F210" s="1423">
        <f>SUM(F211:F214)</f>
        <v>35000</v>
      </c>
      <c r="G210" s="1423">
        <f>SUM(G211:G214)</f>
        <v>0</v>
      </c>
      <c r="H210" s="907">
        <f>SUM(H211:H214)</f>
        <v>33000</v>
      </c>
      <c r="I210" s="1352">
        <f t="shared" ref="I210:I216" si="5">H210/E210</f>
        <v>0.94285714285714284</v>
      </c>
      <c r="J210" s="1425">
        <f>SUM(J212:J212)</f>
        <v>0</v>
      </c>
      <c r="K210" s="1473">
        <f>SUM(K211:K214)</f>
        <v>33000</v>
      </c>
      <c r="L210" s="1455">
        <f>K210/E210</f>
        <v>0.94285714285714284</v>
      </c>
      <c r="M210" s="2009"/>
    </row>
    <row r="211" spans="1:20" s="423" customFormat="1" ht="14.1" customHeight="1">
      <c r="A211" s="2004"/>
      <c r="B211" s="2151"/>
      <c r="C211" s="2014"/>
      <c r="D211" s="1398">
        <v>4190</v>
      </c>
      <c r="E211" s="1474">
        <v>25000</v>
      </c>
      <c r="F211" s="1474">
        <v>25000</v>
      </c>
      <c r="G211" s="1474"/>
      <c r="H211" s="1354">
        <v>27000</v>
      </c>
      <c r="I211" s="1360">
        <f t="shared" si="5"/>
        <v>1.08</v>
      </c>
      <c r="J211" s="1475"/>
      <c r="K211" s="1476">
        <f>J211+H211</f>
        <v>27000</v>
      </c>
      <c r="L211" s="1455">
        <f t="shared" ref="L211:L216" si="6">K211/E211</f>
        <v>1.08</v>
      </c>
      <c r="M211" s="2009"/>
    </row>
    <row r="212" spans="1:20" s="423" customFormat="1" ht="14.1" customHeight="1">
      <c r="A212" s="2004"/>
      <c r="B212" s="2151"/>
      <c r="C212" s="2014"/>
      <c r="D212" s="1398">
        <v>4210</v>
      </c>
      <c r="E212" s="1474">
        <v>2000</v>
      </c>
      <c r="F212" s="1474">
        <v>2000</v>
      </c>
      <c r="G212" s="1474"/>
      <c r="H212" s="1354">
        <v>2000</v>
      </c>
      <c r="I212" s="1360">
        <f t="shared" si="5"/>
        <v>1</v>
      </c>
      <c r="J212" s="1475"/>
      <c r="K212" s="1476">
        <f>J212+H212</f>
        <v>2000</v>
      </c>
      <c r="L212" s="1455">
        <f t="shared" si="6"/>
        <v>1</v>
      </c>
      <c r="M212" s="2009"/>
    </row>
    <row r="213" spans="1:20" s="423" customFormat="1" ht="14.1" hidden="1" customHeight="1">
      <c r="A213" s="2004"/>
      <c r="B213" s="2151"/>
      <c r="C213" s="2014"/>
      <c r="D213" s="1398">
        <v>4280</v>
      </c>
      <c r="E213" s="1474">
        <v>0</v>
      </c>
      <c r="F213" s="1474">
        <v>0</v>
      </c>
      <c r="G213" s="1474"/>
      <c r="H213" s="1354">
        <v>0</v>
      </c>
      <c r="I213" s="1360"/>
      <c r="J213" s="1425"/>
      <c r="K213" s="1476">
        <f>SUM(J213,H213)</f>
        <v>0</v>
      </c>
      <c r="L213" s="1455" t="e">
        <f t="shared" si="6"/>
        <v>#DIV/0!</v>
      </c>
      <c r="M213" s="2009"/>
    </row>
    <row r="214" spans="1:20" s="423" customFormat="1" ht="11.25" customHeight="1">
      <c r="A214" s="2004"/>
      <c r="B214" s="2151"/>
      <c r="C214" s="2014"/>
      <c r="D214" s="1398">
        <v>4300</v>
      </c>
      <c r="E214" s="1474">
        <v>8000</v>
      </c>
      <c r="F214" s="1474">
        <v>8000</v>
      </c>
      <c r="G214" s="1474"/>
      <c r="H214" s="1354">
        <v>4000</v>
      </c>
      <c r="I214" s="1360">
        <f t="shared" si="5"/>
        <v>0.5</v>
      </c>
      <c r="J214" s="1475"/>
      <c r="K214" s="1476">
        <f>J214+H214</f>
        <v>4000</v>
      </c>
      <c r="L214" s="1455">
        <f t="shared" si="6"/>
        <v>0.5</v>
      </c>
      <c r="M214" s="2009"/>
    </row>
    <row r="215" spans="1:20" s="423" customFormat="1" ht="11.25" customHeight="1">
      <c r="A215" s="2004"/>
      <c r="B215" s="2151"/>
      <c r="C215" s="2013" t="s">
        <v>23</v>
      </c>
      <c r="D215" s="1398" t="s">
        <v>366</v>
      </c>
      <c r="E215" s="1474">
        <f>SUM(E216)</f>
        <v>437500</v>
      </c>
      <c r="F215" s="1474">
        <f>SUM(F216)</f>
        <v>437500</v>
      </c>
      <c r="G215" s="1474"/>
      <c r="H215" s="1354">
        <f>SUM(H216:H217)</f>
        <v>268200</v>
      </c>
      <c r="I215" s="1360">
        <f t="shared" si="5"/>
        <v>0.61302857142857148</v>
      </c>
      <c r="J215" s="1475">
        <f>SUM(J216:J217)</f>
        <v>164998</v>
      </c>
      <c r="K215" s="1476">
        <f>SUM(K216:K217)</f>
        <v>433198</v>
      </c>
      <c r="L215" s="1455">
        <f t="shared" si="6"/>
        <v>0.99016685714285713</v>
      </c>
      <c r="M215" s="2009"/>
    </row>
    <row r="216" spans="1:20" s="423" customFormat="1" ht="14.1" customHeight="1">
      <c r="A216" s="2004"/>
      <c r="B216" s="2151"/>
      <c r="C216" s="2013"/>
      <c r="D216" s="1391">
        <v>2360</v>
      </c>
      <c r="E216" s="1423">
        <v>437500</v>
      </c>
      <c r="F216" s="1423">
        <v>437500</v>
      </c>
      <c r="G216" s="1423"/>
      <c r="H216" s="907">
        <v>268200</v>
      </c>
      <c r="I216" s="1352">
        <f t="shared" si="5"/>
        <v>0.61302857142857148</v>
      </c>
      <c r="J216" s="1425"/>
      <c r="K216" s="1476">
        <f>J216+H216</f>
        <v>268200</v>
      </c>
      <c r="L216" s="1455">
        <f t="shared" si="6"/>
        <v>0.61302857142857148</v>
      </c>
      <c r="M216" s="2009"/>
    </row>
    <row r="217" spans="1:20" s="423" customFormat="1" ht="14.1" customHeight="1">
      <c r="A217" s="2004"/>
      <c r="B217" s="2151"/>
      <c r="C217" s="2013"/>
      <c r="D217" s="1391">
        <v>2560</v>
      </c>
      <c r="E217" s="1423">
        <v>0</v>
      </c>
      <c r="F217" s="1423">
        <v>0</v>
      </c>
      <c r="G217" s="1423"/>
      <c r="H217" s="907">
        <v>0</v>
      </c>
      <c r="I217" s="1352"/>
      <c r="J217" s="1425">
        <v>164998</v>
      </c>
      <c r="K217" s="1476">
        <f>J217+H217</f>
        <v>164998</v>
      </c>
      <c r="L217" s="1455"/>
      <c r="M217" s="2009"/>
    </row>
    <row r="218" spans="1:20" s="423" customFormat="1" ht="11.25" customHeight="1">
      <c r="A218" s="2004"/>
      <c r="B218" s="2151"/>
      <c r="C218" s="1422" t="s">
        <v>24</v>
      </c>
      <c r="D218" s="1399"/>
      <c r="E218" s="1423"/>
      <c r="F218" s="1423"/>
      <c r="G218" s="1423"/>
      <c r="H218" s="907"/>
      <c r="I218" s="1360"/>
      <c r="J218" s="1425"/>
      <c r="K218" s="1473"/>
      <c r="L218" s="1477"/>
      <c r="M218" s="2009"/>
    </row>
    <row r="219" spans="1:20" s="423" customFormat="1" ht="22.5">
      <c r="A219" s="2004"/>
      <c r="B219" s="2151"/>
      <c r="C219" s="1428" t="s">
        <v>35</v>
      </c>
      <c r="D219" s="1391"/>
      <c r="E219" s="1423"/>
      <c r="F219" s="1423"/>
      <c r="G219" s="1423"/>
      <c r="H219" s="907"/>
      <c r="I219" s="1360"/>
      <c r="J219" s="1425"/>
      <c r="K219" s="1473"/>
      <c r="L219" s="1477"/>
      <c r="M219" s="2009"/>
      <c r="T219" s="771"/>
    </row>
    <row r="220" spans="1:20" s="423" customFormat="1" ht="11.25" customHeight="1">
      <c r="A220" s="2004"/>
      <c r="B220" s="2151"/>
      <c r="C220" s="1422" t="s">
        <v>26</v>
      </c>
      <c r="D220" s="1396"/>
      <c r="E220" s="1423"/>
      <c r="F220" s="1423"/>
      <c r="G220" s="1423"/>
      <c r="H220" s="907"/>
      <c r="I220" s="1360"/>
      <c r="J220" s="1425"/>
      <c r="K220" s="1473"/>
      <c r="L220" s="1477"/>
      <c r="M220" s="2009"/>
    </row>
    <row r="221" spans="1:20" s="423" customFormat="1" ht="11.25" customHeight="1">
      <c r="A221" s="2004"/>
      <c r="B221" s="2151"/>
      <c r="C221" s="1422" t="s">
        <v>27</v>
      </c>
      <c r="D221" s="1391"/>
      <c r="E221" s="1423"/>
      <c r="F221" s="1423"/>
      <c r="G221" s="1423"/>
      <c r="H221" s="907"/>
      <c r="I221" s="1360"/>
      <c r="J221" s="1425"/>
      <c r="K221" s="1473"/>
      <c r="L221" s="1477"/>
      <c r="M221" s="2009"/>
    </row>
    <row r="222" spans="1:20" s="423" customFormat="1" ht="11.25" customHeight="1">
      <c r="A222" s="2004"/>
      <c r="B222" s="2151"/>
      <c r="C222" s="1308" t="s">
        <v>28</v>
      </c>
      <c r="D222" s="1391"/>
      <c r="E222" s="1313">
        <f>SUM(E223+E225+E226)</f>
        <v>0</v>
      </c>
      <c r="F222" s="1313">
        <f>SUM(F223+F225+F226)</f>
        <v>0</v>
      </c>
      <c r="G222" s="1313"/>
      <c r="H222" s="1313">
        <f>SUM(H223+H225+H226)</f>
        <v>0</v>
      </c>
      <c r="I222" s="1360"/>
      <c r="J222" s="1310">
        <f>SUM(J223+J225+J226)</f>
        <v>0</v>
      </c>
      <c r="K222" s="1310">
        <f>SUM(K223+K225+K226)</f>
        <v>0</v>
      </c>
      <c r="L222" s="1421"/>
      <c r="M222" s="2009"/>
    </row>
    <row r="223" spans="1:20" s="423" customFormat="1" ht="12.75" customHeight="1">
      <c r="A223" s="2004"/>
      <c r="B223" s="2151"/>
      <c r="C223" s="1422" t="s">
        <v>29</v>
      </c>
      <c r="D223" s="1391"/>
      <c r="E223" s="1423"/>
      <c r="F223" s="1423"/>
      <c r="G223" s="1423"/>
      <c r="H223" s="1423"/>
      <c r="I223" s="1360"/>
      <c r="J223" s="1425"/>
      <c r="K223" s="1425"/>
      <c r="L223" s="1426"/>
      <c r="M223" s="2009"/>
    </row>
    <row r="224" spans="1:20" s="423" customFormat="1" ht="22.5">
      <c r="A224" s="2004"/>
      <c r="B224" s="2151"/>
      <c r="C224" s="1428" t="s">
        <v>89</v>
      </c>
      <c r="D224" s="1391"/>
      <c r="E224" s="1423"/>
      <c r="F224" s="1423"/>
      <c r="G224" s="1423"/>
      <c r="H224" s="1423"/>
      <c r="I224" s="1360"/>
      <c r="J224" s="1425"/>
      <c r="K224" s="1425"/>
      <c r="L224" s="1426"/>
      <c r="M224" s="2009"/>
    </row>
    <row r="225" spans="1:13" s="423" customFormat="1" ht="11.25" customHeight="1">
      <c r="A225" s="2004"/>
      <c r="B225" s="2151"/>
      <c r="C225" s="1422" t="s">
        <v>31</v>
      </c>
      <c r="D225" s="1396"/>
      <c r="E225" s="1423"/>
      <c r="F225" s="1423"/>
      <c r="G225" s="1423"/>
      <c r="H225" s="1423"/>
      <c r="I225" s="1360"/>
      <c r="J225" s="1425"/>
      <c r="K225" s="1425"/>
      <c r="L225" s="1426"/>
      <c r="M225" s="2009"/>
    </row>
    <row r="226" spans="1:13" s="423" customFormat="1" ht="11.25" customHeight="1">
      <c r="A226" s="2005"/>
      <c r="B226" s="2151"/>
      <c r="C226" s="1422" t="s">
        <v>32</v>
      </c>
      <c r="D226" s="1391"/>
      <c r="E226" s="1423"/>
      <c r="F226" s="1423"/>
      <c r="G226" s="1423"/>
      <c r="H226" s="1423"/>
      <c r="I226" s="1360"/>
      <c r="J226" s="1425"/>
      <c r="K226" s="1425"/>
      <c r="L226" s="1426"/>
      <c r="M226" s="2009"/>
    </row>
    <row r="227" spans="1:13" s="423" customFormat="1" ht="12" customHeight="1">
      <c r="A227" s="2026"/>
      <c r="B227" s="2151">
        <v>85157</v>
      </c>
      <c r="C227" s="1466" t="s">
        <v>443</v>
      </c>
      <c r="D227" s="1462"/>
      <c r="E227" s="1463">
        <f>SUM(E228,E241)</f>
        <v>19736691</v>
      </c>
      <c r="F227" s="1463">
        <f>SUM(F228,F241)</f>
        <v>29220053</v>
      </c>
      <c r="G227" s="1463"/>
      <c r="H227" s="1463">
        <f>SUM(H228,H241)</f>
        <v>34081097</v>
      </c>
      <c r="I227" s="1478">
        <f>H227/E227</f>
        <v>1.7267888016283985</v>
      </c>
      <c r="J227" s="1464">
        <f>SUM(J228,J241)</f>
        <v>-15577097</v>
      </c>
      <c r="K227" s="1464">
        <f>SUM(K228,K241)</f>
        <v>18504000</v>
      </c>
      <c r="L227" s="1450">
        <f>K227/E227</f>
        <v>0.93754317783056951</v>
      </c>
      <c r="M227" s="2009" t="s">
        <v>444</v>
      </c>
    </row>
    <row r="228" spans="1:13" s="423" customFormat="1" ht="14.1" customHeight="1">
      <c r="A228" s="2004"/>
      <c r="B228" s="2151"/>
      <c r="C228" s="1418" t="s">
        <v>18</v>
      </c>
      <c r="D228" s="1611"/>
      <c r="E228" s="1313">
        <f>E229+E236+E237+E238+E239+E240</f>
        <v>19736691</v>
      </c>
      <c r="F228" s="1313">
        <f>F229+F236+F237+F238+F239+F240</f>
        <v>29220053</v>
      </c>
      <c r="G228" s="1313">
        <f t="shared" ref="G228:K228" si="7">G229+G236+G237+G238+G239+G240</f>
        <v>0</v>
      </c>
      <c r="H228" s="1313">
        <f t="shared" si="7"/>
        <v>34081097</v>
      </c>
      <c r="I228" s="1420">
        <f>H228/E228</f>
        <v>1.7267888016283985</v>
      </c>
      <c r="J228" s="1310">
        <f t="shared" si="7"/>
        <v>-15577097</v>
      </c>
      <c r="K228" s="1310">
        <f t="shared" si="7"/>
        <v>18504000</v>
      </c>
      <c r="L228" s="1455">
        <f t="shared" ref="L228:L235" si="8">K228/E228</f>
        <v>0.93754317783056951</v>
      </c>
      <c r="M228" s="2009"/>
    </row>
    <row r="229" spans="1:13" s="423" customFormat="1" ht="14.1" customHeight="1">
      <c r="A229" s="2004"/>
      <c r="B229" s="2151"/>
      <c r="C229" s="1422" t="s">
        <v>19</v>
      </c>
      <c r="D229" s="1386"/>
      <c r="E229" s="1423">
        <f>SUM(E230,E235)</f>
        <v>19736691</v>
      </c>
      <c r="F229" s="1423">
        <f>SUM(F230,F235)</f>
        <v>29220053</v>
      </c>
      <c r="G229" s="1423">
        <f>SUM(G230,G235)</f>
        <v>0</v>
      </c>
      <c r="H229" s="1423">
        <f>SUM(H230,H235)</f>
        <v>34081097</v>
      </c>
      <c r="I229" s="1352">
        <f>H229/E229</f>
        <v>1.7267888016283985</v>
      </c>
      <c r="J229" s="1425">
        <f>SUM(J230,J235)</f>
        <v>-15577097</v>
      </c>
      <c r="K229" s="1425">
        <f>SUM(K230,K235)</f>
        <v>18504000</v>
      </c>
      <c r="L229" s="1455">
        <f t="shared" si="8"/>
        <v>0.93754317783056951</v>
      </c>
      <c r="M229" s="2009"/>
    </row>
    <row r="230" spans="1:13" s="423" customFormat="1" ht="15" customHeight="1">
      <c r="A230" s="2004"/>
      <c r="B230" s="2151"/>
      <c r="C230" s="2013" t="s">
        <v>20</v>
      </c>
      <c r="D230" s="1391" t="s">
        <v>366</v>
      </c>
      <c r="E230" s="1423"/>
      <c r="F230" s="1423">
        <f>SUM(F231:F234)</f>
        <v>26937</v>
      </c>
      <c r="G230" s="1423">
        <f t="shared" ref="G230" si="9">G233+G232+G231</f>
        <v>0</v>
      </c>
      <c r="H230" s="1423"/>
      <c r="I230" s="1401"/>
      <c r="J230" s="1425"/>
      <c r="K230" s="1425"/>
      <c r="L230" s="1455"/>
      <c r="M230" s="2009"/>
    </row>
    <row r="231" spans="1:13" s="423" customFormat="1" ht="13.5" customHeight="1">
      <c r="A231" s="2004"/>
      <c r="B231" s="2151"/>
      <c r="C231" s="2013"/>
      <c r="D231" s="1399">
        <v>4010</v>
      </c>
      <c r="E231" s="1474">
        <v>0</v>
      </c>
      <c r="F231" s="1474">
        <v>22422</v>
      </c>
      <c r="G231" s="1474"/>
      <c r="H231" s="1474">
        <v>0</v>
      </c>
      <c r="I231" s="1401"/>
      <c r="J231" s="1475"/>
      <c r="K231" s="1475">
        <f>H231+J231</f>
        <v>0</v>
      </c>
      <c r="L231" s="1455"/>
      <c r="M231" s="2009"/>
    </row>
    <row r="232" spans="1:13" s="423" customFormat="1" ht="14.25" customHeight="1">
      <c r="A232" s="2004"/>
      <c r="B232" s="2151"/>
      <c r="C232" s="2013"/>
      <c r="D232" s="1399">
        <v>4110</v>
      </c>
      <c r="E232" s="1474">
        <v>0</v>
      </c>
      <c r="F232" s="1474">
        <v>3854</v>
      </c>
      <c r="G232" s="1474"/>
      <c r="H232" s="1474">
        <v>0</v>
      </c>
      <c r="I232" s="1401"/>
      <c r="J232" s="1475"/>
      <c r="K232" s="1475">
        <f>H232+J232</f>
        <v>0</v>
      </c>
      <c r="L232" s="1455"/>
      <c r="M232" s="2009"/>
    </row>
    <row r="233" spans="1:13" s="423" customFormat="1" ht="13.5" customHeight="1">
      <c r="A233" s="2004"/>
      <c r="B233" s="2151"/>
      <c r="C233" s="2013"/>
      <c r="D233" s="1399">
        <v>4120</v>
      </c>
      <c r="E233" s="1474">
        <v>0</v>
      </c>
      <c r="F233" s="1474">
        <v>550</v>
      </c>
      <c r="G233" s="1474"/>
      <c r="H233" s="1474">
        <v>0</v>
      </c>
      <c r="I233" s="1401"/>
      <c r="J233" s="1475"/>
      <c r="K233" s="1475">
        <f>H233+J233</f>
        <v>0</v>
      </c>
      <c r="L233" s="1455"/>
      <c r="M233" s="2009"/>
    </row>
    <row r="234" spans="1:13" s="423" customFormat="1" ht="14.25" customHeight="1">
      <c r="A234" s="2004"/>
      <c r="B234" s="2151"/>
      <c r="C234" s="2013"/>
      <c r="D234" s="1399">
        <v>4710</v>
      </c>
      <c r="E234" s="1474">
        <v>0</v>
      </c>
      <c r="F234" s="1474">
        <v>111</v>
      </c>
      <c r="G234" s="1474"/>
      <c r="H234" s="1474">
        <v>0</v>
      </c>
      <c r="I234" s="1401"/>
      <c r="J234" s="1475"/>
      <c r="K234" s="1475">
        <f>H234+J234</f>
        <v>0</v>
      </c>
      <c r="L234" s="1455"/>
      <c r="M234" s="2009"/>
    </row>
    <row r="235" spans="1:13" s="423" customFormat="1" ht="23.25" customHeight="1">
      <c r="A235" s="2004"/>
      <c r="B235" s="2151"/>
      <c r="C235" s="1428" t="s">
        <v>369</v>
      </c>
      <c r="D235" s="1391">
        <v>4320</v>
      </c>
      <c r="E235" s="1423">
        <v>19736691</v>
      </c>
      <c r="F235" s="1423">
        <v>29193116</v>
      </c>
      <c r="G235" s="1423"/>
      <c r="H235" s="1423">
        <v>34081097</v>
      </c>
      <c r="I235" s="1352">
        <f t="shared" ref="I235" si="10">H235/E235</f>
        <v>1.7267888016283985</v>
      </c>
      <c r="J235" s="1425">
        <v>-15577097</v>
      </c>
      <c r="K235" s="1425">
        <f>J235+H235</f>
        <v>18504000</v>
      </c>
      <c r="L235" s="1455">
        <f t="shared" si="8"/>
        <v>0.93754317783056951</v>
      </c>
      <c r="M235" s="2009"/>
    </row>
    <row r="236" spans="1:13" s="423" customFormat="1" ht="11.25" customHeight="1">
      <c r="A236" s="2004"/>
      <c r="B236" s="2151"/>
      <c r="C236" s="1422" t="s">
        <v>23</v>
      </c>
      <c r="D236" s="1396"/>
      <c r="E236" s="1423"/>
      <c r="F236" s="1423"/>
      <c r="G236" s="1423"/>
      <c r="H236" s="1423"/>
      <c r="I236" s="1360"/>
      <c r="J236" s="1425"/>
      <c r="K236" s="1425"/>
      <c r="L236" s="1426"/>
      <c r="M236" s="2009"/>
    </row>
    <row r="237" spans="1:13" s="423" customFormat="1" ht="11.25" customHeight="1">
      <c r="A237" s="2004"/>
      <c r="B237" s="2151"/>
      <c r="C237" s="1422" t="s">
        <v>24</v>
      </c>
      <c r="D237" s="1391"/>
      <c r="E237" s="1423"/>
      <c r="F237" s="1423"/>
      <c r="G237" s="1423"/>
      <c r="H237" s="1423"/>
      <c r="I237" s="1360"/>
      <c r="J237" s="1425"/>
      <c r="K237" s="1425"/>
      <c r="L237" s="1426"/>
      <c r="M237" s="2009"/>
    </row>
    <row r="238" spans="1:13" s="423" customFormat="1" ht="22.5">
      <c r="A238" s="2004"/>
      <c r="B238" s="2151"/>
      <c r="C238" s="1428" t="s">
        <v>35</v>
      </c>
      <c r="D238" s="1391"/>
      <c r="E238" s="1423"/>
      <c r="F238" s="1423"/>
      <c r="G238" s="1423"/>
      <c r="H238" s="1423"/>
      <c r="I238" s="1360"/>
      <c r="J238" s="1425"/>
      <c r="K238" s="1425"/>
      <c r="L238" s="1426"/>
      <c r="M238" s="2009"/>
    </row>
    <row r="239" spans="1:13" s="423" customFormat="1" ht="12.75" customHeight="1">
      <c r="A239" s="2004"/>
      <c r="B239" s="2151"/>
      <c r="C239" s="1422" t="s">
        <v>26</v>
      </c>
      <c r="D239" s="1396"/>
      <c r="E239" s="1423"/>
      <c r="F239" s="1423"/>
      <c r="G239" s="1423"/>
      <c r="H239" s="1423"/>
      <c r="I239" s="1360"/>
      <c r="J239" s="1425"/>
      <c r="K239" s="1425"/>
      <c r="L239" s="1426"/>
      <c r="M239" s="2009"/>
    </row>
    <row r="240" spans="1:13" s="423" customFormat="1" ht="12" customHeight="1">
      <c r="A240" s="2004"/>
      <c r="B240" s="2151"/>
      <c r="C240" s="1422" t="s">
        <v>27</v>
      </c>
      <c r="D240" s="1391"/>
      <c r="E240" s="1423"/>
      <c r="F240" s="1423"/>
      <c r="G240" s="1423"/>
      <c r="H240" s="1423"/>
      <c r="I240" s="1360"/>
      <c r="J240" s="1425"/>
      <c r="K240" s="1425"/>
      <c r="L240" s="1426"/>
      <c r="M240" s="2009"/>
    </row>
    <row r="241" spans="1:13" s="423" customFormat="1" ht="14.1" customHeight="1">
      <c r="A241" s="2004"/>
      <c r="B241" s="2151"/>
      <c r="C241" s="1308" t="s">
        <v>28</v>
      </c>
      <c r="D241" s="1391"/>
      <c r="E241" s="1313">
        <f>SUM(E242+E244+E245)</f>
        <v>0</v>
      </c>
      <c r="F241" s="1313">
        <f>SUM(F242+F244+F245)</f>
        <v>0</v>
      </c>
      <c r="G241" s="1313"/>
      <c r="H241" s="1313">
        <f>SUM(H242+H244+H245)</f>
        <v>0</v>
      </c>
      <c r="I241" s="1360"/>
      <c r="J241" s="1310">
        <f>SUM(J242+J244+J245)</f>
        <v>0</v>
      </c>
      <c r="K241" s="1310">
        <f>SUM(K242+K244+K245)</f>
        <v>0</v>
      </c>
      <c r="L241" s="1421"/>
      <c r="M241" s="2009"/>
    </row>
    <row r="242" spans="1:13" s="423" customFormat="1" ht="12" customHeight="1">
      <c r="A242" s="2004"/>
      <c r="B242" s="2151"/>
      <c r="C242" s="1422" t="s">
        <v>29</v>
      </c>
      <c r="D242" s="1315"/>
      <c r="E242" s="1423"/>
      <c r="F242" s="1423"/>
      <c r="G242" s="1423"/>
      <c r="H242" s="1423"/>
      <c r="I242" s="1360"/>
      <c r="J242" s="1425"/>
      <c r="K242" s="1425"/>
      <c r="L242" s="1426"/>
      <c r="M242" s="2009"/>
    </row>
    <row r="243" spans="1:13" s="423" customFormat="1" ht="22.5">
      <c r="A243" s="2004"/>
      <c r="B243" s="2151"/>
      <c r="C243" s="1428" t="s">
        <v>89</v>
      </c>
      <c r="D243" s="1391"/>
      <c r="E243" s="1423"/>
      <c r="F243" s="1423"/>
      <c r="G243" s="1423"/>
      <c r="H243" s="1423"/>
      <c r="I243" s="1360"/>
      <c r="J243" s="1425"/>
      <c r="K243" s="1425"/>
      <c r="L243" s="1426"/>
      <c r="M243" s="2009"/>
    </row>
    <row r="244" spans="1:13" s="423" customFormat="1" ht="12" customHeight="1">
      <c r="A244" s="2004"/>
      <c r="B244" s="2151"/>
      <c r="C244" s="1422" t="s">
        <v>31</v>
      </c>
      <c r="D244" s="1396"/>
      <c r="E244" s="1423"/>
      <c r="F244" s="1423"/>
      <c r="G244" s="1423"/>
      <c r="H244" s="1423"/>
      <c r="I244" s="1360"/>
      <c r="J244" s="1425"/>
      <c r="K244" s="1425"/>
      <c r="L244" s="1426"/>
      <c r="M244" s="2009"/>
    </row>
    <row r="245" spans="1:13" s="423" customFormat="1" ht="12" customHeight="1" thickBot="1">
      <c r="A245" s="2027"/>
      <c r="B245" s="2152"/>
      <c r="C245" s="1039" t="s">
        <v>32</v>
      </c>
      <c r="D245" s="1618"/>
      <c r="E245" s="1634"/>
      <c r="F245" s="1634"/>
      <c r="G245" s="1634"/>
      <c r="H245" s="1634"/>
      <c r="I245" s="1685"/>
      <c r="J245" s="1637"/>
      <c r="K245" s="1637"/>
      <c r="L245" s="1638"/>
      <c r="M245" s="2021"/>
    </row>
    <row r="246" spans="1:13" s="423" customFormat="1" ht="12" customHeight="1">
      <c r="A246" s="2015"/>
      <c r="B246" s="2154">
        <v>85195</v>
      </c>
      <c r="C246" s="1661" t="s">
        <v>362</v>
      </c>
      <c r="D246" s="1662"/>
      <c r="E246" s="1663">
        <f>SUM(E247,E263)</f>
        <v>138734</v>
      </c>
      <c r="F246" s="1663">
        <f>SUM(F247,F263)</f>
        <v>4272045</v>
      </c>
      <c r="G246" s="1663"/>
      <c r="H246" s="1663">
        <f>SUM(H247,H263)</f>
        <v>140083</v>
      </c>
      <c r="I246" s="1689">
        <f t="shared" ref="I246:I251" si="11">H246/E246</f>
        <v>1.0097236438075743</v>
      </c>
      <c r="J246" s="1664">
        <f>SUM(J247,J263)</f>
        <v>0</v>
      </c>
      <c r="K246" s="1664">
        <f>SUM(K247,K263)</f>
        <v>140083</v>
      </c>
      <c r="L246" s="1665">
        <f>K246/E246</f>
        <v>1.0097236438075743</v>
      </c>
      <c r="M246" s="2008" t="s">
        <v>445</v>
      </c>
    </row>
    <row r="247" spans="1:13" s="423" customFormat="1" ht="14.1" customHeight="1">
      <c r="A247" s="2016"/>
      <c r="B247" s="2151"/>
      <c r="C247" s="1418" t="s">
        <v>18</v>
      </c>
      <c r="D247" s="1611"/>
      <c r="E247" s="1313">
        <f>E248+E253+E255+E256+E261+E262</f>
        <v>138734</v>
      </c>
      <c r="F247" s="1313">
        <f>F248+F253+F255+F256+F261+F262</f>
        <v>614304</v>
      </c>
      <c r="G247" s="1313" t="e">
        <f>G248+G253+G255+G256+G261+G262</f>
        <v>#REF!</v>
      </c>
      <c r="H247" s="1313">
        <f>H248+H253+H255+H256+H261+H262</f>
        <v>140083</v>
      </c>
      <c r="I247" s="1401">
        <f t="shared" si="11"/>
        <v>1.0097236438075743</v>
      </c>
      <c r="J247" s="1310">
        <f>J248+J253+J255+J256+J261+J262</f>
        <v>0</v>
      </c>
      <c r="K247" s="1310">
        <f>K248+K253+K255+K256+K261+K262</f>
        <v>140083</v>
      </c>
      <c r="L247" s="1455">
        <f t="shared" ref="L247:L253" si="12">K247/E247</f>
        <v>1.0097236438075743</v>
      </c>
      <c r="M247" s="2009"/>
    </row>
    <row r="248" spans="1:13" s="423" customFormat="1" ht="14.1" customHeight="1">
      <c r="A248" s="2016"/>
      <c r="B248" s="2151"/>
      <c r="C248" s="1422" t="s">
        <v>19</v>
      </c>
      <c r="D248" s="1386"/>
      <c r="E248" s="1423">
        <f>SUM(E249,E251)</f>
        <v>48734</v>
      </c>
      <c r="F248" s="1423">
        <f>SUM(F249,F250)</f>
        <v>82534</v>
      </c>
      <c r="G248" s="1423" t="e">
        <f>SUM(G249,G251)</f>
        <v>#REF!</v>
      </c>
      <c r="H248" s="1423">
        <f>SUM(H249,H251)</f>
        <v>50083</v>
      </c>
      <c r="I248" s="1401">
        <f t="shared" si="11"/>
        <v>1.0276808798785242</v>
      </c>
      <c r="J248" s="1425">
        <f>SUM(J249,J251)</f>
        <v>0</v>
      </c>
      <c r="K248" s="1425">
        <f>SUM(K249,K251)</f>
        <v>50083</v>
      </c>
      <c r="L248" s="1455">
        <f t="shared" si="12"/>
        <v>1.0276808798785242</v>
      </c>
      <c r="M248" s="2009"/>
    </row>
    <row r="249" spans="1:13" s="423" customFormat="1" ht="14.1" customHeight="1">
      <c r="A249" s="2016"/>
      <c r="B249" s="2151"/>
      <c r="C249" s="1459" t="s">
        <v>20</v>
      </c>
      <c r="D249" s="1479">
        <v>4170</v>
      </c>
      <c r="E249" s="1467">
        <v>43874</v>
      </c>
      <c r="F249" s="1467">
        <v>65474</v>
      </c>
      <c r="G249" s="1467" t="e">
        <f>#REF!+#REF!+#REF!</f>
        <v>#REF!</v>
      </c>
      <c r="H249" s="1467">
        <f>19175+27200</f>
        <v>46375</v>
      </c>
      <c r="I249" s="1480">
        <f t="shared" si="11"/>
        <v>1.0570041482426951</v>
      </c>
      <c r="J249" s="1425"/>
      <c r="K249" s="1425">
        <f>J249+H249</f>
        <v>46375</v>
      </c>
      <c r="L249" s="1455">
        <f t="shared" si="12"/>
        <v>1.0570041482426951</v>
      </c>
      <c r="M249" s="2009"/>
    </row>
    <row r="250" spans="1:13" s="423" customFormat="1" ht="14.1" customHeight="1">
      <c r="A250" s="2016"/>
      <c r="B250" s="2151"/>
      <c r="C250" s="2014" t="s">
        <v>369</v>
      </c>
      <c r="D250" s="1479" t="s">
        <v>366</v>
      </c>
      <c r="E250" s="1467">
        <f>SUM(E251:E252)</f>
        <v>4860</v>
      </c>
      <c r="F250" s="1467">
        <f>SUM(F251:F252)</f>
        <v>17060</v>
      </c>
      <c r="G250" s="1467">
        <f t="shared" ref="G250:H250" si="13">SUM(G251:G252)</f>
        <v>0</v>
      </c>
      <c r="H250" s="1467">
        <f t="shared" si="13"/>
        <v>3708</v>
      </c>
      <c r="I250" s="1480">
        <f t="shared" si="11"/>
        <v>0.76296296296296295</v>
      </c>
      <c r="J250" s="1481">
        <f>SUM(J251:J252)</f>
        <v>0</v>
      </c>
      <c r="K250" s="1481">
        <f t="shared" ref="K250" si="14">SUM(K251:K252)</f>
        <v>3708</v>
      </c>
      <c r="L250" s="1455">
        <f t="shared" si="12"/>
        <v>0.76296296296296295</v>
      </c>
      <c r="M250" s="2009"/>
    </row>
    <row r="251" spans="1:13" s="423" customFormat="1" ht="18" customHeight="1">
      <c r="A251" s="2016"/>
      <c r="B251" s="2151"/>
      <c r="C251" s="2014"/>
      <c r="D251" s="1482">
        <v>4300</v>
      </c>
      <c r="E251" s="1483">
        <v>4860</v>
      </c>
      <c r="F251" s="1483">
        <v>17060</v>
      </c>
      <c r="G251" s="1483"/>
      <c r="H251" s="1483">
        <f>908+2800</f>
        <v>3708</v>
      </c>
      <c r="I251" s="1484">
        <f t="shared" si="11"/>
        <v>0.76296296296296295</v>
      </c>
      <c r="J251" s="1475"/>
      <c r="K251" s="1475">
        <f>J251+H251</f>
        <v>3708</v>
      </c>
      <c r="L251" s="1455">
        <f t="shared" si="12"/>
        <v>0.76296296296296295</v>
      </c>
      <c r="M251" s="2009"/>
    </row>
    <row r="252" spans="1:13" s="423" customFormat="1" ht="18.75" hidden="1" customHeight="1">
      <c r="A252" s="2016"/>
      <c r="B252" s="2151"/>
      <c r="C252" s="2014"/>
      <c r="D252" s="1399"/>
      <c r="E252" s="1474"/>
      <c r="F252" s="1474"/>
      <c r="G252" s="1474"/>
      <c r="H252" s="1474"/>
      <c r="I252" s="1360"/>
      <c r="J252" s="1475"/>
      <c r="K252" s="1475">
        <f>H252+J252</f>
        <v>0</v>
      </c>
      <c r="L252" s="1455" t="e">
        <f t="shared" si="12"/>
        <v>#DIV/0!</v>
      </c>
      <c r="M252" s="2009"/>
    </row>
    <row r="253" spans="1:13" s="423" customFormat="1" ht="11.25" customHeight="1">
      <c r="A253" s="2016"/>
      <c r="B253" s="2151"/>
      <c r="C253" s="2013" t="s">
        <v>23</v>
      </c>
      <c r="D253" s="1396">
        <v>2360</v>
      </c>
      <c r="E253" s="1423">
        <v>90000</v>
      </c>
      <c r="F253" s="1423">
        <v>90000</v>
      </c>
      <c r="G253" s="1423" t="e">
        <f>SUM(#REF!)</f>
        <v>#REF!</v>
      </c>
      <c r="H253" s="1423">
        <v>90000</v>
      </c>
      <c r="I253" s="1352">
        <f t="shared" ref="I253:I254" si="15">H253/E253</f>
        <v>1</v>
      </c>
      <c r="J253" s="1425"/>
      <c r="K253" s="1425">
        <f>J253+H253</f>
        <v>90000</v>
      </c>
      <c r="L253" s="1455">
        <f t="shared" si="12"/>
        <v>1</v>
      </c>
      <c r="M253" s="2009"/>
    </row>
    <row r="254" spans="1:13" s="772" customFormat="1" ht="15" hidden="1" customHeight="1">
      <c r="A254" s="2016"/>
      <c r="B254" s="2151"/>
      <c r="C254" s="2013"/>
      <c r="D254" s="1485"/>
      <c r="E254" s="1483">
        <v>0</v>
      </c>
      <c r="F254" s="1483"/>
      <c r="G254" s="1483"/>
      <c r="H254" s="1483"/>
      <c r="I254" s="1352" t="e">
        <f t="shared" si="15"/>
        <v>#DIV/0!</v>
      </c>
      <c r="J254" s="1486"/>
      <c r="K254" s="1486"/>
      <c r="L254" s="1487"/>
      <c r="M254" s="2009"/>
    </row>
    <row r="255" spans="1:13" s="423" customFormat="1" ht="11.25" customHeight="1">
      <c r="A255" s="2016"/>
      <c r="B255" s="2151"/>
      <c r="C255" s="1422" t="s">
        <v>24</v>
      </c>
      <c r="D255" s="1391"/>
      <c r="E255" s="1423"/>
      <c r="F255" s="1423"/>
      <c r="G255" s="1423"/>
      <c r="H255" s="1423"/>
      <c r="I255" s="1352"/>
      <c r="J255" s="1425"/>
      <c r="K255" s="1425"/>
      <c r="L255" s="1426"/>
      <c r="M255" s="2009"/>
    </row>
    <row r="256" spans="1:13" s="423" customFormat="1" ht="15.75" customHeight="1">
      <c r="A256" s="2016"/>
      <c r="B256" s="2151"/>
      <c r="C256" s="2014" t="s">
        <v>35</v>
      </c>
      <c r="D256" s="1391" t="s">
        <v>366</v>
      </c>
      <c r="E256" s="1423">
        <f>SUM(E257:E260)</f>
        <v>0</v>
      </c>
      <c r="F256" s="1423">
        <f>SUM(F257:F260)</f>
        <v>441770</v>
      </c>
      <c r="G256" s="1423">
        <f>SUM(G258:G258)</f>
        <v>0</v>
      </c>
      <c r="H256" s="1423">
        <f>SUM(H258:H258)</f>
        <v>0</v>
      </c>
      <c r="I256" s="1423"/>
      <c r="J256" s="1425">
        <f>SUM(J258:J258)</f>
        <v>0</v>
      </c>
      <c r="K256" s="1425">
        <f>SUM(K257:K260)</f>
        <v>0</v>
      </c>
      <c r="L256" s="1426"/>
      <c r="M256" s="2009"/>
    </row>
    <row r="257" spans="1:13" s="423" customFormat="1" ht="15.75" customHeight="1">
      <c r="A257" s="2016"/>
      <c r="B257" s="2151"/>
      <c r="C257" s="2014"/>
      <c r="D257" s="1399">
        <v>2007</v>
      </c>
      <c r="E257" s="1474"/>
      <c r="F257" s="1474">
        <v>439741</v>
      </c>
      <c r="G257" s="1474"/>
      <c r="H257" s="1483"/>
      <c r="I257" s="1474"/>
      <c r="J257" s="1475"/>
      <c r="K257" s="1475"/>
      <c r="L257" s="1488"/>
      <c r="M257" s="2009"/>
    </row>
    <row r="258" spans="1:13" s="772" customFormat="1" ht="12.75" customHeight="1">
      <c r="A258" s="2016"/>
      <c r="B258" s="2151"/>
      <c r="C258" s="2014"/>
      <c r="D258" s="1482">
        <v>4217</v>
      </c>
      <c r="E258" s="1483"/>
      <c r="F258" s="1483">
        <v>600</v>
      </c>
      <c r="G258" s="1483"/>
      <c r="H258" s="1483"/>
      <c r="I258" s="1484"/>
      <c r="J258" s="1486"/>
      <c r="K258" s="1475"/>
      <c r="L258" s="1488"/>
      <c r="M258" s="2009"/>
    </row>
    <row r="259" spans="1:13" s="772" customFormat="1" ht="12.75" customHeight="1">
      <c r="A259" s="2016"/>
      <c r="B259" s="2151"/>
      <c r="C259" s="2014"/>
      <c r="D259" s="1482">
        <v>2917</v>
      </c>
      <c r="E259" s="1483"/>
      <c r="F259" s="1483">
        <v>1338</v>
      </c>
      <c r="G259" s="1483"/>
      <c r="H259" s="1483"/>
      <c r="I259" s="1484"/>
      <c r="J259" s="1486"/>
      <c r="K259" s="1475"/>
      <c r="L259" s="1488"/>
      <c r="M259" s="2009"/>
    </row>
    <row r="260" spans="1:13" s="772" customFormat="1" ht="12.75" customHeight="1">
      <c r="A260" s="2016"/>
      <c r="B260" s="2151"/>
      <c r="C260" s="2014"/>
      <c r="D260" s="1482">
        <v>4569</v>
      </c>
      <c r="E260" s="1483"/>
      <c r="F260" s="1483">
        <v>91</v>
      </c>
      <c r="G260" s="1483"/>
      <c r="H260" s="1483"/>
      <c r="I260" s="1484"/>
      <c r="J260" s="1486"/>
      <c r="K260" s="1475"/>
      <c r="L260" s="1488"/>
      <c r="M260" s="2009"/>
    </row>
    <row r="261" spans="1:13" s="773" customFormat="1" ht="14.1" customHeight="1">
      <c r="A261" s="2016"/>
      <c r="B261" s="2151"/>
      <c r="C261" s="1489" t="s">
        <v>26</v>
      </c>
      <c r="D261" s="1490"/>
      <c r="E261" s="1467"/>
      <c r="F261" s="1467"/>
      <c r="G261" s="1467"/>
      <c r="H261" s="1467"/>
      <c r="I261" s="1480"/>
      <c r="J261" s="1481"/>
      <c r="K261" s="1481"/>
      <c r="L261" s="1491"/>
      <c r="M261" s="2009"/>
    </row>
    <row r="262" spans="1:13" s="773" customFormat="1" ht="14.1" customHeight="1">
      <c r="A262" s="2016"/>
      <c r="B262" s="2151"/>
      <c r="C262" s="1489" t="s">
        <v>27</v>
      </c>
      <c r="D262" s="1479"/>
      <c r="E262" s="1467"/>
      <c r="F262" s="1467"/>
      <c r="G262" s="1467"/>
      <c r="H262" s="1467"/>
      <c r="I262" s="1480"/>
      <c r="J262" s="1481"/>
      <c r="K262" s="1481"/>
      <c r="L262" s="1491"/>
      <c r="M262" s="2009"/>
    </row>
    <row r="263" spans="1:13" s="773" customFormat="1" ht="14.1" customHeight="1">
      <c r="A263" s="2016"/>
      <c r="B263" s="2151"/>
      <c r="C263" s="1492" t="s">
        <v>28</v>
      </c>
      <c r="D263" s="1479"/>
      <c r="E263" s="1493">
        <f>SUM(E264+E266+E267)</f>
        <v>0</v>
      </c>
      <c r="F263" s="1493">
        <f>SUM(F264+F266+F267)</f>
        <v>3657741</v>
      </c>
      <c r="G263" s="1493"/>
      <c r="H263" s="1493">
        <f>SUM(H264+H266+H267)</f>
        <v>0</v>
      </c>
      <c r="I263" s="1480"/>
      <c r="J263" s="1494">
        <f>SUM(J264+J266+J267)</f>
        <v>0</v>
      </c>
      <c r="K263" s="1494">
        <f>SUM(K264+K266+K267)</f>
        <v>0</v>
      </c>
      <c r="L263" s="1495"/>
      <c r="M263" s="2009"/>
    </row>
    <row r="264" spans="1:13" s="773" customFormat="1" ht="24.75" customHeight="1">
      <c r="A264" s="2016"/>
      <c r="B264" s="2151"/>
      <c r="C264" s="1489" t="s">
        <v>29</v>
      </c>
      <c r="D264" s="1479"/>
      <c r="E264" s="1467"/>
      <c r="F264" s="1467">
        <v>3657741</v>
      </c>
      <c r="G264" s="1467" t="e">
        <f>SUM(#REF!)</f>
        <v>#REF!</v>
      </c>
      <c r="H264" s="1467"/>
      <c r="I264" s="1480"/>
      <c r="J264" s="1481"/>
      <c r="K264" s="1481"/>
      <c r="L264" s="1491"/>
      <c r="M264" s="2009"/>
    </row>
    <row r="265" spans="1:13" s="773" customFormat="1" ht="31.5" customHeight="1">
      <c r="A265" s="2016"/>
      <c r="B265" s="2151"/>
      <c r="C265" s="1496" t="s">
        <v>89</v>
      </c>
      <c r="D265" s="1479"/>
      <c r="E265" s="1467"/>
      <c r="F265" s="1467">
        <v>3657741</v>
      </c>
      <c r="G265" s="1467" t="e">
        <f>SUM(#REF!)</f>
        <v>#REF!</v>
      </c>
      <c r="H265" s="1467"/>
      <c r="I265" s="1480"/>
      <c r="J265" s="1481"/>
      <c r="K265" s="1481"/>
      <c r="L265" s="1491"/>
      <c r="M265" s="2009"/>
    </row>
    <row r="266" spans="1:13" s="773" customFormat="1" ht="27" customHeight="1">
      <c r="A266" s="2016"/>
      <c r="B266" s="2151"/>
      <c r="C266" s="1489" t="s">
        <v>31</v>
      </c>
      <c r="D266" s="1490"/>
      <c r="E266" s="1467"/>
      <c r="F266" s="1467"/>
      <c r="G266" s="1467"/>
      <c r="H266" s="1467"/>
      <c r="I266" s="1484"/>
      <c r="J266" s="1481"/>
      <c r="K266" s="1481"/>
      <c r="L266" s="1491"/>
      <c r="M266" s="2009"/>
    </row>
    <row r="267" spans="1:13" s="423" customFormat="1" ht="22.5" customHeight="1">
      <c r="A267" s="2016"/>
      <c r="B267" s="2151"/>
      <c r="C267" s="1422" t="s">
        <v>32</v>
      </c>
      <c r="D267" s="1391"/>
      <c r="E267" s="1423"/>
      <c r="F267" s="1423"/>
      <c r="G267" s="1423"/>
      <c r="H267" s="1423"/>
      <c r="I267" s="1360"/>
      <c r="J267" s="1425"/>
      <c r="K267" s="1425"/>
      <c r="L267" s="1426"/>
      <c r="M267" s="2009"/>
    </row>
    <row r="268" spans="1:13" s="423" customFormat="1" ht="14.1" customHeight="1">
      <c r="A268" s="1012" t="s">
        <v>446</v>
      </c>
      <c r="B268" s="1445"/>
      <c r="C268" s="1446" t="s">
        <v>447</v>
      </c>
      <c r="D268" s="1410"/>
      <c r="E268" s="1369">
        <f>SUM(E269,E299,E357,E342,E284)</f>
        <v>10019402</v>
      </c>
      <c r="F268" s="1369">
        <f>SUM(F269,F299,F357,F342,F284)</f>
        <v>12688850</v>
      </c>
      <c r="G268" s="1369">
        <f>SUM(G269,G299,G357,G342,G284)</f>
        <v>0</v>
      </c>
      <c r="H268" s="1369">
        <f>SUM(H269,H299,H357,H342,H284)</f>
        <v>6735514</v>
      </c>
      <c r="I268" s="1497">
        <f>H268/E268</f>
        <v>0.67224710616461936</v>
      </c>
      <c r="J268" s="1498">
        <f>SUM(J269,J299,J357,J342,J284)</f>
        <v>5623721</v>
      </c>
      <c r="K268" s="1498">
        <f>SUM(K269,K299,K357,K342,K284)</f>
        <v>12359235</v>
      </c>
      <c r="L268" s="1407">
        <f>K268/E268</f>
        <v>1.2335302046968473</v>
      </c>
      <c r="M268" s="1499"/>
    </row>
    <row r="269" spans="1:13" s="423" customFormat="1" ht="23.25" customHeight="1">
      <c r="A269" s="2177"/>
      <c r="B269" s="2179" t="s">
        <v>448</v>
      </c>
      <c r="C269" s="1447" t="s">
        <v>449</v>
      </c>
      <c r="D269" s="1448"/>
      <c r="E269" s="1321">
        <f>SUM(E270,E279)</f>
        <v>200000</v>
      </c>
      <c r="F269" s="1321">
        <f>SUM(F270,F279)</f>
        <v>200000</v>
      </c>
      <c r="G269" s="1321"/>
      <c r="H269" s="1321">
        <f>SUM(H270+H279)</f>
        <v>100000</v>
      </c>
      <c r="I269" s="1500">
        <f>H269/E269</f>
        <v>0.5</v>
      </c>
      <c r="J269" s="1449">
        <f>SUM(J270+J279)</f>
        <v>100000</v>
      </c>
      <c r="K269" s="1449">
        <f>SUM(K270+K279)</f>
        <v>200000</v>
      </c>
      <c r="L269" s="1450">
        <f>K269/E269</f>
        <v>1</v>
      </c>
      <c r="M269" s="2160" t="s">
        <v>450</v>
      </c>
    </row>
    <row r="270" spans="1:13" s="423" customFormat="1" ht="14.1" customHeight="1">
      <c r="A270" s="2177"/>
      <c r="B270" s="2179"/>
      <c r="C270" s="1418" t="s">
        <v>18</v>
      </c>
      <c r="D270" s="1451"/>
      <c r="E270" s="903">
        <f>E271+E274+E275+E276+E277+E278</f>
        <v>200000</v>
      </c>
      <c r="F270" s="903">
        <f>F271+F273+F274+F275+F276+F277+F278</f>
        <v>200000</v>
      </c>
      <c r="G270" s="903"/>
      <c r="H270" s="903">
        <f>H271+H274+H275+H276+H277+H278</f>
        <v>100000</v>
      </c>
      <c r="I270" s="913">
        <f>H270/E270</f>
        <v>0.5</v>
      </c>
      <c r="J270" s="1452">
        <f>J271+J274+J275+J276+J277+J278</f>
        <v>100000</v>
      </c>
      <c r="K270" s="1452">
        <f>K271+K274+K275+K276+K277+K278</f>
        <v>200000</v>
      </c>
      <c r="L270" s="1453">
        <f t="shared" ref="L270" si="16">K270/E270</f>
        <v>1</v>
      </c>
      <c r="M270" s="2160"/>
    </row>
    <row r="271" spans="1:13" s="423" customFormat="1" ht="14.1" customHeight="1">
      <c r="A271" s="2177"/>
      <c r="B271" s="2179"/>
      <c r="C271" s="1422" t="s">
        <v>19</v>
      </c>
      <c r="D271" s="1386"/>
      <c r="E271" s="906"/>
      <c r="F271" s="906"/>
      <c r="G271" s="906"/>
      <c r="H271" s="906"/>
      <c r="I271" s="1501"/>
      <c r="J271" s="1454"/>
      <c r="K271" s="1454"/>
      <c r="L271" s="1455"/>
      <c r="M271" s="2160"/>
    </row>
    <row r="272" spans="1:13" s="423" customFormat="1" ht="14.1" customHeight="1">
      <c r="A272" s="2177"/>
      <c r="B272" s="2179"/>
      <c r="C272" s="1422" t="s">
        <v>20</v>
      </c>
      <c r="D272" s="1391"/>
      <c r="E272" s="906"/>
      <c r="F272" s="906"/>
      <c r="G272" s="906"/>
      <c r="H272" s="906"/>
      <c r="I272" s="1352"/>
      <c r="J272" s="1452"/>
      <c r="K272" s="1454"/>
      <c r="L272" s="1455"/>
      <c r="M272" s="2160"/>
    </row>
    <row r="273" spans="1:13" s="423" customFormat="1" ht="22.5">
      <c r="A273" s="2177"/>
      <c r="B273" s="2179"/>
      <c r="C273" s="1428" t="s">
        <v>369</v>
      </c>
      <c r="D273" s="1391">
        <v>4300</v>
      </c>
      <c r="E273" s="906"/>
      <c r="F273" s="906">
        <v>100000</v>
      </c>
      <c r="G273" s="906"/>
      <c r="H273" s="906"/>
      <c r="I273" s="1352"/>
      <c r="J273" s="1452"/>
      <c r="K273" s="1454"/>
      <c r="L273" s="1455"/>
      <c r="M273" s="2160"/>
    </row>
    <row r="274" spans="1:13" s="423" customFormat="1" ht="14.1" customHeight="1">
      <c r="A274" s="2177"/>
      <c r="B274" s="2179"/>
      <c r="C274" s="1459" t="s">
        <v>23</v>
      </c>
      <c r="D274" s="1396">
        <v>2360</v>
      </c>
      <c r="E274" s="1392">
        <v>200000</v>
      </c>
      <c r="F274" s="1392">
        <v>100000</v>
      </c>
      <c r="G274" s="1392" t="e">
        <f>SUM(#REF!)</f>
        <v>#REF!</v>
      </c>
      <c r="H274" s="906">
        <v>100000</v>
      </c>
      <c r="I274" s="1352">
        <f>H274/E274</f>
        <v>0.5</v>
      </c>
      <c r="J274" s="1393">
        <v>100000</v>
      </c>
      <c r="K274" s="1454">
        <f>J274+H274</f>
        <v>200000</v>
      </c>
      <c r="L274" s="1455">
        <f t="shared" ref="L274" si="17">K274/E274</f>
        <v>1</v>
      </c>
      <c r="M274" s="2160"/>
    </row>
    <row r="275" spans="1:13" s="423" customFormat="1" ht="14.1" customHeight="1">
      <c r="A275" s="2177"/>
      <c r="B275" s="2179"/>
      <c r="C275" s="1422" t="s">
        <v>24</v>
      </c>
      <c r="D275" s="1391"/>
      <c r="E275" s="1456"/>
      <c r="F275" s="1456"/>
      <c r="G275" s="1456"/>
      <c r="H275" s="906"/>
      <c r="I275" s="1352"/>
      <c r="J275" s="1457"/>
      <c r="K275" s="1454"/>
      <c r="L275" s="1455"/>
      <c r="M275" s="2160"/>
    </row>
    <row r="276" spans="1:13" s="423" customFormat="1" ht="22.5">
      <c r="A276" s="2177"/>
      <c r="B276" s="2179"/>
      <c r="C276" s="1428" t="s">
        <v>35</v>
      </c>
      <c r="D276" s="1391"/>
      <c r="E276" s="1423"/>
      <c r="F276" s="1423"/>
      <c r="G276" s="1423"/>
      <c r="H276" s="906"/>
      <c r="I276" s="1352"/>
      <c r="J276" s="1425"/>
      <c r="K276" s="1454"/>
      <c r="L276" s="1455"/>
      <c r="M276" s="2160"/>
    </row>
    <row r="277" spans="1:13" s="423" customFormat="1" ht="14.1" customHeight="1">
      <c r="A277" s="2177"/>
      <c r="B277" s="2179"/>
      <c r="C277" s="1422" t="s">
        <v>26</v>
      </c>
      <c r="D277" s="1396"/>
      <c r="E277" s="1423"/>
      <c r="F277" s="1423"/>
      <c r="G277" s="1423"/>
      <c r="H277" s="906"/>
      <c r="I277" s="1352"/>
      <c r="J277" s="1425"/>
      <c r="K277" s="1454"/>
      <c r="L277" s="1455"/>
      <c r="M277" s="2160"/>
    </row>
    <row r="278" spans="1:13" s="423" customFormat="1" ht="14.1" customHeight="1">
      <c r="A278" s="2177"/>
      <c r="B278" s="2179"/>
      <c r="C278" s="1422" t="s">
        <v>27</v>
      </c>
      <c r="D278" s="1391"/>
      <c r="E278" s="1423"/>
      <c r="F278" s="1423"/>
      <c r="G278" s="1423"/>
      <c r="H278" s="906"/>
      <c r="I278" s="1352"/>
      <c r="J278" s="1425"/>
      <c r="K278" s="1454"/>
      <c r="L278" s="1455"/>
      <c r="M278" s="2160"/>
    </row>
    <row r="279" spans="1:13" s="423" customFormat="1" ht="14.1" customHeight="1">
      <c r="A279" s="2177"/>
      <c r="B279" s="2179"/>
      <c r="C279" s="1308" t="s">
        <v>28</v>
      </c>
      <c r="D279" s="1391"/>
      <c r="E279" s="1313">
        <f>SUM(E283,E282,E280)</f>
        <v>0</v>
      </c>
      <c r="F279" s="1313">
        <f>SUM(F283,F282,F280)</f>
        <v>0</v>
      </c>
      <c r="G279" s="1313"/>
      <c r="H279" s="1313">
        <f>SUM(H283,H282,H280)</f>
        <v>0</v>
      </c>
      <c r="I279" s="1352"/>
      <c r="J279" s="1310">
        <f>SUM(J283,J282,J280)</f>
        <v>0</v>
      </c>
      <c r="K279" s="1310">
        <f>SUM(K283,K282,K280)</f>
        <v>0</v>
      </c>
      <c r="L279" s="1421"/>
      <c r="M279" s="2160"/>
    </row>
    <row r="280" spans="1:13" s="423" customFormat="1" ht="14.1" customHeight="1">
      <c r="A280" s="2177"/>
      <c r="B280" s="2179"/>
      <c r="C280" s="1422" t="s">
        <v>29</v>
      </c>
      <c r="D280" s="1315"/>
      <c r="E280" s="1423"/>
      <c r="F280" s="1423"/>
      <c r="G280" s="1423"/>
      <c r="H280" s="906"/>
      <c r="I280" s="1352"/>
      <c r="J280" s="1425"/>
      <c r="K280" s="1454"/>
      <c r="L280" s="1455"/>
      <c r="M280" s="2160"/>
    </row>
    <row r="281" spans="1:13" s="423" customFormat="1" ht="22.5">
      <c r="A281" s="2177"/>
      <c r="B281" s="2179"/>
      <c r="C281" s="1428" t="s">
        <v>89</v>
      </c>
      <c r="D281" s="1391"/>
      <c r="E281" s="1423"/>
      <c r="F281" s="1423"/>
      <c r="G281" s="1423"/>
      <c r="H281" s="906"/>
      <c r="I281" s="1352"/>
      <c r="J281" s="1425"/>
      <c r="K281" s="1454"/>
      <c r="L281" s="1455"/>
      <c r="M281" s="2160"/>
    </row>
    <row r="282" spans="1:13" s="423" customFormat="1" ht="14.1" customHeight="1">
      <c r="A282" s="2177"/>
      <c r="B282" s="2179"/>
      <c r="C282" s="1422" t="s">
        <v>31</v>
      </c>
      <c r="D282" s="1396"/>
      <c r="E282" s="1423"/>
      <c r="F282" s="1423"/>
      <c r="G282" s="1423"/>
      <c r="H282" s="906"/>
      <c r="I282" s="1352"/>
      <c r="J282" s="1425"/>
      <c r="K282" s="1454"/>
      <c r="L282" s="1455"/>
      <c r="M282" s="2160"/>
    </row>
    <row r="283" spans="1:13" s="423" customFormat="1" ht="13.5" customHeight="1" thickBot="1">
      <c r="A283" s="2178"/>
      <c r="B283" s="2180"/>
      <c r="C283" s="1039" t="s">
        <v>32</v>
      </c>
      <c r="D283" s="1618"/>
      <c r="E283" s="1634"/>
      <c r="F283" s="1634"/>
      <c r="G283" s="1634"/>
      <c r="H283" s="681"/>
      <c r="I283" s="1178"/>
      <c r="J283" s="1637"/>
      <c r="K283" s="1650"/>
      <c r="L283" s="1651"/>
      <c r="M283" s="2168"/>
    </row>
    <row r="284" spans="1:13" s="423" customFormat="1" ht="38.25" hidden="1" customHeight="1">
      <c r="A284" s="2181"/>
      <c r="B284" s="2183" t="s">
        <v>451</v>
      </c>
      <c r="C284" s="1642" t="s">
        <v>452</v>
      </c>
      <c r="D284" s="1686"/>
      <c r="E284" s="607">
        <f>SUM(E285,E294)</f>
        <v>0</v>
      </c>
      <c r="F284" s="607">
        <f>SUM(F285,F294)</f>
        <v>0</v>
      </c>
      <c r="G284" s="607"/>
      <c r="H284" s="607">
        <f>SUM(H285+H294)</f>
        <v>0</v>
      </c>
      <c r="I284" s="1687"/>
      <c r="J284" s="1688">
        <f>SUM(J285+J294)</f>
        <v>0</v>
      </c>
      <c r="K284" s="1688">
        <f>SUM(K285+K294)</f>
        <v>0</v>
      </c>
      <c r="L284" s="1654"/>
      <c r="M284" s="2185"/>
    </row>
    <row r="285" spans="1:13" s="423" customFormat="1" ht="14.1" hidden="1" customHeight="1">
      <c r="A285" s="2177"/>
      <c r="B285" s="2179"/>
      <c r="C285" s="1418" t="s">
        <v>18</v>
      </c>
      <c r="D285" s="1451"/>
      <c r="E285" s="903">
        <f>E286+E289+E290+E291+E292+E293</f>
        <v>0</v>
      </c>
      <c r="F285" s="903">
        <f>F286+F289+F290+F291+F292+F293</f>
        <v>0</v>
      </c>
      <c r="G285" s="903"/>
      <c r="H285" s="903">
        <f>H286+H289+H290+H291+H292+H293</f>
        <v>0</v>
      </c>
      <c r="I285" s="913"/>
      <c r="J285" s="1452">
        <f>J286+J289+J290+J291+J292+J293</f>
        <v>0</v>
      </c>
      <c r="K285" s="1452">
        <f>K286+K289+K290+K291+K292+K293</f>
        <v>0</v>
      </c>
      <c r="L285" s="1453"/>
      <c r="M285" s="2186"/>
    </row>
    <row r="286" spans="1:13" s="423" customFormat="1" ht="14.1" hidden="1" customHeight="1">
      <c r="A286" s="2177"/>
      <c r="B286" s="2179"/>
      <c r="C286" s="1422" t="s">
        <v>19</v>
      </c>
      <c r="D286" s="1386"/>
      <c r="E286" s="906"/>
      <c r="F286" s="906"/>
      <c r="G286" s="906"/>
      <c r="H286" s="906"/>
      <c r="I286" s="913"/>
      <c r="J286" s="1454"/>
      <c r="K286" s="1454"/>
      <c r="L286" s="1455"/>
      <c r="M286" s="2186"/>
    </row>
    <row r="287" spans="1:13" s="423" customFormat="1" ht="14.1" hidden="1" customHeight="1">
      <c r="A287" s="2177"/>
      <c r="B287" s="2179"/>
      <c r="C287" s="1422" t="s">
        <v>20</v>
      </c>
      <c r="D287" s="1391"/>
      <c r="E287" s="906"/>
      <c r="F287" s="906"/>
      <c r="G287" s="906"/>
      <c r="H287" s="906"/>
      <c r="I287" s="1352"/>
      <c r="J287" s="1452"/>
      <c r="K287" s="1454"/>
      <c r="L287" s="1455"/>
      <c r="M287" s="2186"/>
    </row>
    <row r="288" spans="1:13" s="423" customFormat="1" ht="27.75" hidden="1" customHeight="1">
      <c r="A288" s="2177"/>
      <c r="B288" s="2179"/>
      <c r="C288" s="1428" t="s">
        <v>369</v>
      </c>
      <c r="D288" s="1391"/>
      <c r="E288" s="906"/>
      <c r="F288" s="906"/>
      <c r="G288" s="906"/>
      <c r="H288" s="906"/>
      <c r="I288" s="1352"/>
      <c r="J288" s="1452"/>
      <c r="K288" s="1454"/>
      <c r="L288" s="1455"/>
      <c r="M288" s="2186"/>
    </row>
    <row r="289" spans="1:13" s="423" customFormat="1" ht="20.25" hidden="1" customHeight="1">
      <c r="A289" s="2177"/>
      <c r="B289" s="2179"/>
      <c r="C289" s="1459" t="s">
        <v>23</v>
      </c>
      <c r="D289" s="1396">
        <v>2710</v>
      </c>
      <c r="E289" s="1392">
        <v>0</v>
      </c>
      <c r="F289" s="1392">
        <v>0</v>
      </c>
      <c r="G289" s="1392"/>
      <c r="H289" s="906">
        <f>E289+G289</f>
        <v>0</v>
      </c>
      <c r="I289" s="1352"/>
      <c r="J289" s="1389">
        <v>0</v>
      </c>
      <c r="K289" s="1454">
        <f>H289+J289</f>
        <v>0</v>
      </c>
      <c r="L289" s="1455"/>
      <c r="M289" s="2186"/>
    </row>
    <row r="290" spans="1:13" s="423" customFormat="1" ht="14.1" hidden="1" customHeight="1">
      <c r="A290" s="2177"/>
      <c r="B290" s="2179"/>
      <c r="C290" s="1422" t="s">
        <v>24</v>
      </c>
      <c r="D290" s="1391"/>
      <c r="E290" s="1456"/>
      <c r="F290" s="1456"/>
      <c r="G290" s="1456"/>
      <c r="H290" s="906"/>
      <c r="I290" s="1352"/>
      <c r="J290" s="1457"/>
      <c r="K290" s="1454"/>
      <c r="L290" s="1455"/>
      <c r="M290" s="2186"/>
    </row>
    <row r="291" spans="1:13" s="423" customFormat="1" ht="27.75" hidden="1" customHeight="1">
      <c r="A291" s="2177"/>
      <c r="B291" s="2179"/>
      <c r="C291" s="1428" t="s">
        <v>35</v>
      </c>
      <c r="D291" s="1391"/>
      <c r="E291" s="1423"/>
      <c r="F291" s="1423"/>
      <c r="G291" s="1423"/>
      <c r="H291" s="906"/>
      <c r="I291" s="1352"/>
      <c r="J291" s="1425"/>
      <c r="K291" s="1454"/>
      <c r="L291" s="1455"/>
      <c r="M291" s="2186"/>
    </row>
    <row r="292" spans="1:13" s="423" customFormat="1" ht="14.1" hidden="1" customHeight="1">
      <c r="A292" s="2177"/>
      <c r="B292" s="2179"/>
      <c r="C292" s="1422" t="s">
        <v>26</v>
      </c>
      <c r="D292" s="1396"/>
      <c r="E292" s="1423"/>
      <c r="F292" s="1423"/>
      <c r="G292" s="1423"/>
      <c r="H292" s="906"/>
      <c r="I292" s="1352"/>
      <c r="J292" s="1425"/>
      <c r="K292" s="1454"/>
      <c r="L292" s="1455"/>
      <c r="M292" s="2186"/>
    </row>
    <row r="293" spans="1:13" s="423" customFormat="1" ht="14.1" hidden="1" customHeight="1">
      <c r="A293" s="2177"/>
      <c r="B293" s="2179"/>
      <c r="C293" s="1422" t="s">
        <v>27</v>
      </c>
      <c r="D293" s="1391"/>
      <c r="E293" s="1423"/>
      <c r="F293" s="1423"/>
      <c r="G293" s="1423"/>
      <c r="H293" s="906"/>
      <c r="I293" s="1352"/>
      <c r="J293" s="1425"/>
      <c r="K293" s="1454"/>
      <c r="L293" s="1455"/>
      <c r="M293" s="2186"/>
    </row>
    <row r="294" spans="1:13" s="423" customFormat="1" ht="14.1" hidden="1" customHeight="1">
      <c r="A294" s="2177"/>
      <c r="B294" s="2179"/>
      <c r="C294" s="1308" t="s">
        <v>28</v>
      </c>
      <c r="D294" s="1391"/>
      <c r="E294" s="1313">
        <f>SUM(E298,E297,E295)</f>
        <v>0</v>
      </c>
      <c r="F294" s="1313">
        <f>SUM(F298,F297,F295)</f>
        <v>0</v>
      </c>
      <c r="G294" s="1313"/>
      <c r="H294" s="1313">
        <f>SUM(H298,H297,H295)</f>
        <v>0</v>
      </c>
      <c r="I294" s="1352"/>
      <c r="J294" s="1310">
        <f>SUM(J298,J297,J295)</f>
        <v>0</v>
      </c>
      <c r="K294" s="1310">
        <f>SUM(K298,K297,K295)</f>
        <v>0</v>
      </c>
      <c r="L294" s="1421"/>
      <c r="M294" s="2186"/>
    </row>
    <row r="295" spans="1:13" s="423" customFormat="1" ht="14.1" hidden="1" customHeight="1">
      <c r="A295" s="2177"/>
      <c r="B295" s="2179"/>
      <c r="C295" s="1422" t="s">
        <v>29</v>
      </c>
      <c r="D295" s="1315"/>
      <c r="E295" s="1423"/>
      <c r="F295" s="1423"/>
      <c r="G295" s="1423"/>
      <c r="H295" s="906"/>
      <c r="I295" s="1352"/>
      <c r="J295" s="1425"/>
      <c r="K295" s="1454"/>
      <c r="L295" s="1455"/>
      <c r="M295" s="2186"/>
    </row>
    <row r="296" spans="1:13" s="423" customFormat="1" ht="24.75" hidden="1" customHeight="1">
      <c r="A296" s="2177"/>
      <c r="B296" s="2179"/>
      <c r="C296" s="1428" t="s">
        <v>89</v>
      </c>
      <c r="D296" s="1391"/>
      <c r="E296" s="1423"/>
      <c r="F296" s="1423"/>
      <c r="G296" s="1423"/>
      <c r="H296" s="906"/>
      <c r="I296" s="1352"/>
      <c r="J296" s="1425"/>
      <c r="K296" s="1454"/>
      <c r="L296" s="1455"/>
      <c r="M296" s="2186"/>
    </row>
    <row r="297" spans="1:13" s="423" customFormat="1" ht="14.1" hidden="1" customHeight="1">
      <c r="A297" s="2177"/>
      <c r="B297" s="2179"/>
      <c r="C297" s="1422" t="s">
        <v>31</v>
      </c>
      <c r="D297" s="1396"/>
      <c r="E297" s="1423"/>
      <c r="F297" s="1423"/>
      <c r="G297" s="1423"/>
      <c r="H297" s="906"/>
      <c r="I297" s="1352"/>
      <c r="J297" s="1425"/>
      <c r="K297" s="1454"/>
      <c r="L297" s="1455"/>
      <c r="M297" s="2186"/>
    </row>
    <row r="298" spans="1:13" s="423" customFormat="1" ht="14.1" hidden="1" customHeight="1">
      <c r="A298" s="2182"/>
      <c r="B298" s="2184"/>
      <c r="C298" s="253" t="s">
        <v>32</v>
      </c>
      <c r="D298" s="776"/>
      <c r="E298" s="777"/>
      <c r="F298" s="777"/>
      <c r="G298" s="777"/>
      <c r="H298" s="579"/>
      <c r="I298" s="778"/>
      <c r="J298" s="779"/>
      <c r="K298" s="1667"/>
      <c r="L298" s="1668"/>
      <c r="M298" s="2187"/>
    </row>
    <row r="299" spans="1:13" s="423" customFormat="1" ht="14.1" customHeight="1">
      <c r="A299" s="2052"/>
      <c r="B299" s="2158">
        <v>85217</v>
      </c>
      <c r="C299" s="1661" t="s">
        <v>453</v>
      </c>
      <c r="D299" s="1662"/>
      <c r="E299" s="1663">
        <f>SUM(E300,E335)</f>
        <v>5798639</v>
      </c>
      <c r="F299" s="1663">
        <f>SUM(F300,F335)</f>
        <v>6590018</v>
      </c>
      <c r="G299" s="1663"/>
      <c r="H299" s="1663">
        <f>SUM(H300,H335)</f>
        <v>6604323</v>
      </c>
      <c r="I299" s="1157">
        <f t="shared" ref="I299:I328" si="18">H299/E299</f>
        <v>1.1389436383261657</v>
      </c>
      <c r="J299" s="1664">
        <f>SUM(J300,J335)</f>
        <v>1162740</v>
      </c>
      <c r="K299" s="1664">
        <f>SUM(K300,K335)</f>
        <v>7767063</v>
      </c>
      <c r="L299" s="1665">
        <f>K299/E299</f>
        <v>1.3394631050493055</v>
      </c>
      <c r="M299" s="2074" t="s">
        <v>622</v>
      </c>
    </row>
    <row r="300" spans="1:13" s="423" customFormat="1" ht="13.5" customHeight="1">
      <c r="A300" s="2046"/>
      <c r="B300" s="2156"/>
      <c r="C300" s="1418" t="s">
        <v>18</v>
      </c>
      <c r="D300" s="1611"/>
      <c r="E300" s="1313">
        <f>E301+E330+E331+E332+E333+E334</f>
        <v>5316403</v>
      </c>
      <c r="F300" s="1313">
        <f>F301+F330+F331+F332+F333+F334</f>
        <v>5829640</v>
      </c>
      <c r="G300" s="1313"/>
      <c r="H300" s="1313">
        <f>H301+H330+H331+H332+H333+H334</f>
        <v>6073863</v>
      </c>
      <c r="I300" s="1358">
        <f t="shared" si="18"/>
        <v>1.1424760312564717</v>
      </c>
      <c r="J300" s="1310">
        <f>J301+J330+J331+J332+J333+J334</f>
        <v>691000</v>
      </c>
      <c r="K300" s="1310">
        <f>SUM(K301,K330,K331)</f>
        <v>6764863</v>
      </c>
      <c r="L300" s="1455">
        <f t="shared" ref="L300:L331" si="19">K300/E300</f>
        <v>1.2724511290810723</v>
      </c>
      <c r="M300" s="2075"/>
    </row>
    <row r="301" spans="1:13" s="423" customFormat="1" ht="14.1" customHeight="1">
      <c r="A301" s="2046"/>
      <c r="B301" s="2156"/>
      <c r="C301" s="1422" t="s">
        <v>19</v>
      </c>
      <c r="D301" s="1386"/>
      <c r="E301" s="1423">
        <f>SUM(E302,E309)</f>
        <v>4501955</v>
      </c>
      <c r="F301" s="1423">
        <f>SUM(F302,F309)</f>
        <v>5015192</v>
      </c>
      <c r="G301" s="1423"/>
      <c r="H301" s="1423">
        <f>SUM(H302,H309)</f>
        <v>5177576</v>
      </c>
      <c r="I301" s="1352">
        <f t="shared" si="18"/>
        <v>1.150072801705037</v>
      </c>
      <c r="J301" s="1425">
        <f>SUM(J302,J309)</f>
        <v>621000</v>
      </c>
      <c r="K301" s="1425">
        <f>SUM(K302,K309)</f>
        <v>5798576</v>
      </c>
      <c r="L301" s="1455">
        <f t="shared" si="19"/>
        <v>1.2880128744067856</v>
      </c>
      <c r="M301" s="2075"/>
    </row>
    <row r="302" spans="1:13" s="423" customFormat="1" ht="14.1" customHeight="1">
      <c r="A302" s="2046"/>
      <c r="B302" s="2156"/>
      <c r="C302" s="2013" t="s">
        <v>20</v>
      </c>
      <c r="D302" s="1391" t="s">
        <v>366</v>
      </c>
      <c r="E302" s="1423">
        <f>SUM(E303:E308)</f>
        <v>3622234</v>
      </c>
      <c r="F302" s="1423">
        <f>SUM(F303:F308)</f>
        <v>3968812</v>
      </c>
      <c r="G302" s="1423">
        <f>SUM(G303:G308)</f>
        <v>0</v>
      </c>
      <c r="H302" s="1423">
        <f>SUM(H303:H308)</f>
        <v>4165569</v>
      </c>
      <c r="I302" s="1352">
        <f t="shared" si="18"/>
        <v>1.1499999723927279</v>
      </c>
      <c r="J302" s="1425">
        <f>SUM(J303:J308)</f>
        <v>500000</v>
      </c>
      <c r="K302" s="1425">
        <f t="shared" ref="K302:K308" si="20">J302+H302</f>
        <v>4665569</v>
      </c>
      <c r="L302" s="1455">
        <f t="shared" si="19"/>
        <v>1.2880363333787934</v>
      </c>
      <c r="M302" s="2075"/>
    </row>
    <row r="303" spans="1:13" s="423" customFormat="1" ht="14.1" customHeight="1">
      <c r="A303" s="2046"/>
      <c r="B303" s="2156"/>
      <c r="C303" s="2013"/>
      <c r="D303" s="1399">
        <v>4010</v>
      </c>
      <c r="E303" s="1474">
        <v>2804010</v>
      </c>
      <c r="F303" s="1474">
        <v>3104028</v>
      </c>
      <c r="G303" s="1474"/>
      <c r="H303" s="1474">
        <v>3213823</v>
      </c>
      <c r="I303" s="1360">
        <f t="shared" si="18"/>
        <v>1.1461524744918885</v>
      </c>
      <c r="J303" s="1475">
        <v>417920</v>
      </c>
      <c r="K303" s="1475">
        <f t="shared" si="20"/>
        <v>3631743</v>
      </c>
      <c r="L303" s="1455">
        <f t="shared" si="19"/>
        <v>1.2951961654915638</v>
      </c>
      <c r="M303" s="2075"/>
    </row>
    <row r="304" spans="1:13" s="423" customFormat="1" ht="14.1" customHeight="1">
      <c r="A304" s="2046"/>
      <c r="B304" s="2156"/>
      <c r="C304" s="2013"/>
      <c r="D304" s="1399">
        <v>4040</v>
      </c>
      <c r="E304" s="1474">
        <v>196678</v>
      </c>
      <c r="F304" s="1474">
        <v>196678</v>
      </c>
      <c r="G304" s="1474"/>
      <c r="H304" s="1474">
        <v>231931</v>
      </c>
      <c r="I304" s="1360">
        <f t="shared" si="18"/>
        <v>1.1792422131605975</v>
      </c>
      <c r="J304" s="1475"/>
      <c r="K304" s="1475">
        <f t="shared" si="20"/>
        <v>231931</v>
      </c>
      <c r="L304" s="1455">
        <f t="shared" si="19"/>
        <v>1.1792422131605975</v>
      </c>
      <c r="M304" s="2075"/>
    </row>
    <row r="305" spans="1:14" s="423" customFormat="1" ht="14.1" customHeight="1">
      <c r="A305" s="2046"/>
      <c r="B305" s="2156"/>
      <c r="C305" s="2013"/>
      <c r="D305" s="1399">
        <v>4110</v>
      </c>
      <c r="E305" s="1474">
        <v>502038</v>
      </c>
      <c r="F305" s="1474">
        <v>553850</v>
      </c>
      <c r="G305" s="1474"/>
      <c r="H305" s="1474">
        <v>582864</v>
      </c>
      <c r="I305" s="1360">
        <f t="shared" si="18"/>
        <v>1.1609957811958458</v>
      </c>
      <c r="J305" s="1475">
        <v>71841</v>
      </c>
      <c r="K305" s="1475">
        <f t="shared" si="20"/>
        <v>654705</v>
      </c>
      <c r="L305" s="1455">
        <f t="shared" si="19"/>
        <v>1.3040945107740849</v>
      </c>
      <c r="M305" s="2075"/>
    </row>
    <row r="306" spans="1:14" s="423" customFormat="1" ht="14.1" customHeight="1">
      <c r="A306" s="2046"/>
      <c r="B306" s="2156"/>
      <c r="C306" s="2013"/>
      <c r="D306" s="1399">
        <v>4120</v>
      </c>
      <c r="E306" s="1474">
        <v>62382</v>
      </c>
      <c r="F306" s="1474">
        <v>69732</v>
      </c>
      <c r="G306" s="1474"/>
      <c r="H306" s="1474">
        <v>82688</v>
      </c>
      <c r="I306" s="1360">
        <f t="shared" si="18"/>
        <v>1.3255105639447275</v>
      </c>
      <c r="J306" s="1475">
        <v>10239</v>
      </c>
      <c r="K306" s="1475">
        <f t="shared" si="20"/>
        <v>92927</v>
      </c>
      <c r="L306" s="1455">
        <f t="shared" si="19"/>
        <v>1.4896444487191818</v>
      </c>
      <c r="M306" s="2075"/>
    </row>
    <row r="307" spans="1:14" s="423" customFormat="1" ht="14.1" customHeight="1">
      <c r="A307" s="2046"/>
      <c r="B307" s="2156"/>
      <c r="C307" s="2013"/>
      <c r="D307" s="1399">
        <v>4170</v>
      </c>
      <c r="E307" s="1474">
        <v>32400</v>
      </c>
      <c r="F307" s="1474">
        <v>15900</v>
      </c>
      <c r="G307" s="1474"/>
      <c r="H307" s="1474">
        <v>14400</v>
      </c>
      <c r="I307" s="1360">
        <f t="shared" si="18"/>
        <v>0.44444444444444442</v>
      </c>
      <c r="J307" s="1475"/>
      <c r="K307" s="1475">
        <f t="shared" si="20"/>
        <v>14400</v>
      </c>
      <c r="L307" s="1455">
        <f t="shared" si="19"/>
        <v>0.44444444444444442</v>
      </c>
      <c r="M307" s="2075"/>
      <c r="N307" s="771"/>
    </row>
    <row r="308" spans="1:14" s="423" customFormat="1" ht="14.1" customHeight="1">
      <c r="A308" s="2046"/>
      <c r="B308" s="2156"/>
      <c r="C308" s="2013"/>
      <c r="D308" s="1391">
        <v>4710</v>
      </c>
      <c r="E308" s="1423">
        <v>24726</v>
      </c>
      <c r="F308" s="1423">
        <v>28624</v>
      </c>
      <c r="G308" s="1423"/>
      <c r="H308" s="1474">
        <v>39863</v>
      </c>
      <c r="I308" s="1360">
        <f t="shared" si="18"/>
        <v>1.6121895979940144</v>
      </c>
      <c r="J308" s="1425"/>
      <c r="K308" s="1475">
        <f t="shared" si="20"/>
        <v>39863</v>
      </c>
      <c r="L308" s="1455">
        <f t="shared" si="19"/>
        <v>1.6121895979940144</v>
      </c>
      <c r="M308" s="2075"/>
    </row>
    <row r="309" spans="1:14" s="423" customFormat="1" ht="14.1" customHeight="1">
      <c r="A309" s="2046"/>
      <c r="B309" s="2156"/>
      <c r="C309" s="2014" t="s">
        <v>433</v>
      </c>
      <c r="D309" s="1391" t="s">
        <v>366</v>
      </c>
      <c r="E309" s="1423">
        <f>SUM(E310:E329)</f>
        <v>879721</v>
      </c>
      <c r="F309" s="1423">
        <f>SUM(F310:F329)</f>
        <v>1046380</v>
      </c>
      <c r="G309" s="1423"/>
      <c r="H309" s="1423">
        <f>SUM(H310:H329)</f>
        <v>1012007</v>
      </c>
      <c r="I309" s="1352">
        <f t="shared" si="18"/>
        <v>1.150372674973088</v>
      </c>
      <c r="J309" s="1425">
        <f>SUM(J310:J329)</f>
        <v>121000</v>
      </c>
      <c r="K309" s="1425">
        <f>SUM(K310:K329)</f>
        <v>1133007</v>
      </c>
      <c r="L309" s="1455">
        <f t="shared" si="19"/>
        <v>1.2879162825486716</v>
      </c>
      <c r="M309" s="2075"/>
    </row>
    <row r="310" spans="1:14" s="423" customFormat="1" ht="14.1" customHeight="1">
      <c r="A310" s="2046"/>
      <c r="B310" s="2156"/>
      <c r="C310" s="2014"/>
      <c r="D310" s="1398">
        <v>4140</v>
      </c>
      <c r="E310" s="1474">
        <v>7646</v>
      </c>
      <c r="F310" s="1474">
        <v>7646</v>
      </c>
      <c r="G310" s="1474"/>
      <c r="H310" s="1474">
        <v>15037</v>
      </c>
      <c r="I310" s="1360">
        <f t="shared" si="18"/>
        <v>1.9666492283546952</v>
      </c>
      <c r="J310" s="1475"/>
      <c r="K310" s="1475">
        <f t="shared" ref="K310:K331" si="21">J310+H310</f>
        <v>15037</v>
      </c>
      <c r="L310" s="1455">
        <f t="shared" si="19"/>
        <v>1.9666492283546952</v>
      </c>
      <c r="M310" s="2075"/>
    </row>
    <row r="311" spans="1:14" s="423" customFormat="1" ht="14.1" customHeight="1">
      <c r="A311" s="2046"/>
      <c r="B311" s="2156"/>
      <c r="C311" s="2014"/>
      <c r="D311" s="1398">
        <v>4190</v>
      </c>
      <c r="E311" s="1474">
        <v>23000</v>
      </c>
      <c r="F311" s="1474">
        <v>23000</v>
      </c>
      <c r="G311" s="1474"/>
      <c r="H311" s="1474">
        <v>0</v>
      </c>
      <c r="I311" s="1360">
        <f t="shared" si="18"/>
        <v>0</v>
      </c>
      <c r="J311" s="1475"/>
      <c r="K311" s="1475">
        <f t="shared" si="21"/>
        <v>0</v>
      </c>
      <c r="L311" s="1455">
        <f t="shared" si="19"/>
        <v>0</v>
      </c>
      <c r="M311" s="2075"/>
    </row>
    <row r="312" spans="1:14" s="423" customFormat="1" ht="14.1" customHeight="1">
      <c r="A312" s="2046"/>
      <c r="B312" s="2156"/>
      <c r="C312" s="2014"/>
      <c r="D312" s="1398">
        <v>4210</v>
      </c>
      <c r="E312" s="1474">
        <v>150995</v>
      </c>
      <c r="F312" s="1474">
        <v>174601</v>
      </c>
      <c r="G312" s="1474"/>
      <c r="H312" s="1474">
        <v>216112</v>
      </c>
      <c r="I312" s="1360">
        <f t="shared" si="18"/>
        <v>1.43125269048644</v>
      </c>
      <c r="J312" s="1475">
        <v>0</v>
      </c>
      <c r="K312" s="1475">
        <f t="shared" si="21"/>
        <v>216112</v>
      </c>
      <c r="L312" s="1455">
        <f t="shared" si="19"/>
        <v>1.43125269048644</v>
      </c>
      <c r="M312" s="2075"/>
    </row>
    <row r="313" spans="1:14" s="423" customFormat="1" ht="14.1" customHeight="1">
      <c r="A313" s="2046"/>
      <c r="B313" s="2156"/>
      <c r="C313" s="2014"/>
      <c r="D313" s="1398">
        <v>4220</v>
      </c>
      <c r="E313" s="1474">
        <v>4619</v>
      </c>
      <c r="F313" s="1474">
        <v>4619</v>
      </c>
      <c r="G313" s="1474"/>
      <c r="H313" s="1474">
        <v>5592</v>
      </c>
      <c r="I313" s="1360">
        <f t="shared" si="18"/>
        <v>1.2106516562026413</v>
      </c>
      <c r="J313" s="1475"/>
      <c r="K313" s="1475">
        <f t="shared" si="21"/>
        <v>5592</v>
      </c>
      <c r="L313" s="1455">
        <f t="shared" si="19"/>
        <v>1.2106516562026413</v>
      </c>
      <c r="M313" s="2075"/>
    </row>
    <row r="314" spans="1:14" s="423" customFormat="1" ht="14.1" customHeight="1">
      <c r="A314" s="2046"/>
      <c r="B314" s="2156"/>
      <c r="C314" s="2014"/>
      <c r="D314" s="1398">
        <v>4260</v>
      </c>
      <c r="E314" s="1474">
        <v>102486</v>
      </c>
      <c r="F314" s="1474">
        <v>102486</v>
      </c>
      <c r="G314" s="1474"/>
      <c r="H314" s="1474">
        <v>132039</v>
      </c>
      <c r="I314" s="1360">
        <f t="shared" si="18"/>
        <v>1.2883613371582461</v>
      </c>
      <c r="J314" s="1475"/>
      <c r="K314" s="1475">
        <f t="shared" si="21"/>
        <v>132039</v>
      </c>
      <c r="L314" s="1455">
        <f t="shared" si="19"/>
        <v>1.2883613371582461</v>
      </c>
      <c r="M314" s="2075"/>
    </row>
    <row r="315" spans="1:14" s="423" customFormat="1" ht="14.1" customHeight="1">
      <c r="A315" s="2046"/>
      <c r="B315" s="2156"/>
      <c r="C315" s="2014"/>
      <c r="D315" s="1398">
        <v>4270</v>
      </c>
      <c r="E315" s="1474">
        <v>111996</v>
      </c>
      <c r="F315" s="1474">
        <v>140496</v>
      </c>
      <c r="G315" s="1474"/>
      <c r="H315" s="1474">
        <v>45884</v>
      </c>
      <c r="I315" s="1360">
        <f t="shared" si="18"/>
        <v>0.4096932033286903</v>
      </c>
      <c r="J315" s="1475">
        <v>121000</v>
      </c>
      <c r="K315" s="1475">
        <f t="shared" si="21"/>
        <v>166884</v>
      </c>
      <c r="L315" s="1455">
        <f t="shared" si="19"/>
        <v>1.4900889317475625</v>
      </c>
      <c r="M315" s="2075"/>
    </row>
    <row r="316" spans="1:14" s="423" customFormat="1" ht="14.1" customHeight="1">
      <c r="A316" s="2046"/>
      <c r="B316" s="2156"/>
      <c r="C316" s="2014"/>
      <c r="D316" s="1398">
        <v>4280</v>
      </c>
      <c r="E316" s="1474">
        <v>5880</v>
      </c>
      <c r="F316" s="1474">
        <v>5880</v>
      </c>
      <c r="G316" s="1474"/>
      <c r="H316" s="1474">
        <v>4350</v>
      </c>
      <c r="I316" s="1360">
        <f t="shared" si="18"/>
        <v>0.73979591836734693</v>
      </c>
      <c r="J316" s="1475"/>
      <c r="K316" s="1475">
        <f t="shared" si="21"/>
        <v>4350</v>
      </c>
      <c r="L316" s="1455">
        <f t="shared" si="19"/>
        <v>0.73979591836734693</v>
      </c>
      <c r="M316" s="2075"/>
    </row>
    <row r="317" spans="1:14" s="423" customFormat="1" ht="14.1" customHeight="1">
      <c r="A317" s="2046"/>
      <c r="B317" s="2156"/>
      <c r="C317" s="2014"/>
      <c r="D317" s="1398">
        <v>4300</v>
      </c>
      <c r="E317" s="1474">
        <v>258388</v>
      </c>
      <c r="F317" s="1474">
        <v>369888</v>
      </c>
      <c r="G317" s="1474"/>
      <c r="H317" s="1474">
        <v>347875</v>
      </c>
      <c r="I317" s="1360">
        <f t="shared" si="18"/>
        <v>1.3463280028484295</v>
      </c>
      <c r="J317" s="1475">
        <v>0</v>
      </c>
      <c r="K317" s="1475">
        <f t="shared" si="21"/>
        <v>347875</v>
      </c>
      <c r="L317" s="1455">
        <f t="shared" si="19"/>
        <v>1.3463280028484295</v>
      </c>
      <c r="M317" s="2075"/>
    </row>
    <row r="318" spans="1:14" s="423" customFormat="1" ht="14.1" customHeight="1">
      <c r="A318" s="2046"/>
      <c r="B318" s="2156"/>
      <c r="C318" s="2014"/>
      <c r="D318" s="1398">
        <v>4360</v>
      </c>
      <c r="E318" s="1474">
        <v>14569</v>
      </c>
      <c r="F318" s="1474">
        <v>14569</v>
      </c>
      <c r="G318" s="1474"/>
      <c r="H318" s="1474">
        <v>19308</v>
      </c>
      <c r="I318" s="1360">
        <f t="shared" si="18"/>
        <v>1.3252797034799917</v>
      </c>
      <c r="J318" s="1475"/>
      <c r="K318" s="1475">
        <f t="shared" si="21"/>
        <v>19308</v>
      </c>
      <c r="L318" s="1455">
        <f t="shared" si="19"/>
        <v>1.3252797034799917</v>
      </c>
      <c r="M318" s="2075"/>
    </row>
    <row r="319" spans="1:14" s="423" customFormat="1" ht="14.1" customHeight="1">
      <c r="A319" s="2046"/>
      <c r="B319" s="2156"/>
      <c r="C319" s="2014"/>
      <c r="D319" s="1398">
        <v>4390</v>
      </c>
      <c r="E319" s="1474">
        <v>32538</v>
      </c>
      <c r="F319" s="1474">
        <v>32538</v>
      </c>
      <c r="G319" s="1474"/>
      <c r="H319" s="1474">
        <v>32132</v>
      </c>
      <c r="I319" s="1360">
        <f t="shared" si="18"/>
        <v>0.98752228163992872</v>
      </c>
      <c r="J319" s="1475"/>
      <c r="K319" s="1475">
        <f t="shared" si="21"/>
        <v>32132</v>
      </c>
      <c r="L319" s="1455">
        <f t="shared" si="19"/>
        <v>0.98752228163992872</v>
      </c>
      <c r="M319" s="2075"/>
    </row>
    <row r="320" spans="1:14" s="423" customFormat="1" ht="14.1" hidden="1" customHeight="1">
      <c r="A320" s="2046"/>
      <c r="B320" s="2156"/>
      <c r="C320" s="2014"/>
      <c r="D320" s="1398">
        <v>4400</v>
      </c>
      <c r="E320" s="1474">
        <v>0</v>
      </c>
      <c r="F320" s="1474"/>
      <c r="G320" s="1474"/>
      <c r="H320" s="1474">
        <f t="shared" ref="H320" si="22">E320+G320</f>
        <v>0</v>
      </c>
      <c r="I320" s="1360" t="e">
        <f t="shared" si="18"/>
        <v>#DIV/0!</v>
      </c>
      <c r="J320" s="1475"/>
      <c r="K320" s="1475">
        <f t="shared" si="21"/>
        <v>0</v>
      </c>
      <c r="L320" s="1455" t="e">
        <f t="shared" si="19"/>
        <v>#DIV/0!</v>
      </c>
      <c r="M320" s="2075"/>
    </row>
    <row r="321" spans="1:13" s="423" customFormat="1" ht="14.1" customHeight="1">
      <c r="A321" s="2046"/>
      <c r="B321" s="2156"/>
      <c r="C321" s="2014"/>
      <c r="D321" s="1398">
        <v>4410</v>
      </c>
      <c r="E321" s="1474">
        <v>11015</v>
      </c>
      <c r="F321" s="1474">
        <v>11015</v>
      </c>
      <c r="G321" s="1474"/>
      <c r="H321" s="1474">
        <v>12000</v>
      </c>
      <c r="I321" s="1360">
        <f t="shared" si="18"/>
        <v>1.0894235133908308</v>
      </c>
      <c r="J321" s="1475"/>
      <c r="K321" s="1475">
        <f t="shared" si="21"/>
        <v>12000</v>
      </c>
      <c r="L321" s="1455">
        <f t="shared" si="19"/>
        <v>1.0894235133908308</v>
      </c>
      <c r="M321" s="2075"/>
    </row>
    <row r="322" spans="1:13" s="423" customFormat="1" ht="14.1" customHeight="1">
      <c r="A322" s="2046"/>
      <c r="B322" s="2156"/>
      <c r="C322" s="2014"/>
      <c r="D322" s="1398">
        <v>4420</v>
      </c>
      <c r="E322" s="1474">
        <v>2000</v>
      </c>
      <c r="F322" s="1474">
        <v>2000</v>
      </c>
      <c r="G322" s="1474"/>
      <c r="H322" s="1474">
        <v>3000</v>
      </c>
      <c r="I322" s="1360">
        <f t="shared" si="18"/>
        <v>1.5</v>
      </c>
      <c r="J322" s="1475"/>
      <c r="K322" s="1475">
        <f t="shared" si="21"/>
        <v>3000</v>
      </c>
      <c r="L322" s="1455">
        <f t="shared" si="19"/>
        <v>1.5</v>
      </c>
      <c r="M322" s="2075"/>
    </row>
    <row r="323" spans="1:13" s="423" customFormat="1" ht="14.1" customHeight="1">
      <c r="A323" s="2046"/>
      <c r="B323" s="2156"/>
      <c r="C323" s="2014"/>
      <c r="D323" s="1398">
        <v>4430</v>
      </c>
      <c r="E323" s="1474">
        <v>8181</v>
      </c>
      <c r="F323" s="1474">
        <v>8181</v>
      </c>
      <c r="G323" s="1474"/>
      <c r="H323" s="1474">
        <v>18037</v>
      </c>
      <c r="I323" s="1360">
        <f t="shared" si="18"/>
        <v>2.2047426964918713</v>
      </c>
      <c r="J323" s="1475"/>
      <c r="K323" s="1475">
        <f t="shared" si="21"/>
        <v>18037</v>
      </c>
      <c r="L323" s="1455">
        <f t="shared" si="19"/>
        <v>2.2047426964918713</v>
      </c>
      <c r="M323" s="2075"/>
    </row>
    <row r="324" spans="1:13" s="423" customFormat="1" ht="14.1" customHeight="1">
      <c r="A324" s="2046"/>
      <c r="B324" s="2156"/>
      <c r="C324" s="2014"/>
      <c r="D324" s="1398">
        <v>4440</v>
      </c>
      <c r="E324" s="1474">
        <v>93437</v>
      </c>
      <c r="F324" s="1474">
        <v>93437</v>
      </c>
      <c r="G324" s="1474"/>
      <c r="H324" s="1474">
        <v>91741</v>
      </c>
      <c r="I324" s="1360">
        <f t="shared" si="18"/>
        <v>0.98184873230090863</v>
      </c>
      <c r="J324" s="1475"/>
      <c r="K324" s="1475">
        <f t="shared" si="21"/>
        <v>91741</v>
      </c>
      <c r="L324" s="1455">
        <f t="shared" si="19"/>
        <v>0.98184873230090863</v>
      </c>
      <c r="M324" s="2075"/>
    </row>
    <row r="325" spans="1:13" s="423" customFormat="1" ht="14.1" customHeight="1">
      <c r="A325" s="2046"/>
      <c r="B325" s="2156"/>
      <c r="C325" s="2165"/>
      <c r="D325" s="1398">
        <v>4480</v>
      </c>
      <c r="E325" s="1474">
        <v>18052</v>
      </c>
      <c r="F325" s="1474">
        <v>18052</v>
      </c>
      <c r="G325" s="1474"/>
      <c r="H325" s="1474">
        <v>22640</v>
      </c>
      <c r="I325" s="1360">
        <f t="shared" si="18"/>
        <v>1.2541546643031243</v>
      </c>
      <c r="J325" s="1475"/>
      <c r="K325" s="1475">
        <f t="shared" si="21"/>
        <v>22640</v>
      </c>
      <c r="L325" s="1455">
        <f t="shared" si="19"/>
        <v>1.2541546643031243</v>
      </c>
      <c r="M325" s="2075"/>
    </row>
    <row r="326" spans="1:13" s="423" customFormat="1" ht="14.1" customHeight="1">
      <c r="A326" s="2046"/>
      <c r="B326" s="2156"/>
      <c r="C326" s="2165"/>
      <c r="D326" s="1398">
        <v>4520</v>
      </c>
      <c r="E326" s="1474">
        <v>16419</v>
      </c>
      <c r="F326" s="1474">
        <v>16419</v>
      </c>
      <c r="G326" s="1474"/>
      <c r="H326" s="1474">
        <v>20830</v>
      </c>
      <c r="I326" s="1360">
        <f t="shared" si="18"/>
        <v>1.2686521712649979</v>
      </c>
      <c r="J326" s="1475"/>
      <c r="K326" s="1475">
        <f t="shared" si="21"/>
        <v>20830</v>
      </c>
      <c r="L326" s="1455">
        <f t="shared" si="19"/>
        <v>1.2686521712649979</v>
      </c>
      <c r="M326" s="2075"/>
    </row>
    <row r="327" spans="1:13" s="423" customFormat="1" ht="14.1" customHeight="1">
      <c r="A327" s="2046"/>
      <c r="B327" s="2156"/>
      <c r="C327" s="2165"/>
      <c r="D327" s="1398">
        <v>4530</v>
      </c>
      <c r="E327" s="1474">
        <v>2500</v>
      </c>
      <c r="F327" s="1474">
        <v>2500</v>
      </c>
      <c r="G327" s="1474"/>
      <c r="H327" s="1474">
        <v>2500</v>
      </c>
      <c r="I327" s="1360">
        <f t="shared" si="18"/>
        <v>1</v>
      </c>
      <c r="J327" s="1475"/>
      <c r="K327" s="1475">
        <f t="shared" si="21"/>
        <v>2500</v>
      </c>
      <c r="L327" s="1455">
        <f t="shared" si="19"/>
        <v>1</v>
      </c>
      <c r="M327" s="2075"/>
    </row>
    <row r="328" spans="1:13" s="423" customFormat="1" ht="14.1" customHeight="1">
      <c r="A328" s="2046"/>
      <c r="B328" s="2156"/>
      <c r="C328" s="2165"/>
      <c r="D328" s="1398">
        <v>4610</v>
      </c>
      <c r="E328" s="1474">
        <v>600</v>
      </c>
      <c r="F328" s="1474">
        <v>3653</v>
      </c>
      <c r="G328" s="1474"/>
      <c r="H328" s="1474">
        <v>1600</v>
      </c>
      <c r="I328" s="1360">
        <f t="shared" si="18"/>
        <v>2.6666666666666665</v>
      </c>
      <c r="J328" s="1475"/>
      <c r="K328" s="1475">
        <f t="shared" si="21"/>
        <v>1600</v>
      </c>
      <c r="L328" s="1455">
        <f t="shared" si="19"/>
        <v>2.6666666666666665</v>
      </c>
      <c r="M328" s="2075"/>
    </row>
    <row r="329" spans="1:13" s="423" customFormat="1" ht="12.75" customHeight="1">
      <c r="A329" s="2046"/>
      <c r="B329" s="2156"/>
      <c r="C329" s="2165"/>
      <c r="D329" s="1398">
        <v>4700</v>
      </c>
      <c r="E329" s="1474">
        <v>15400</v>
      </c>
      <c r="F329" s="1474">
        <v>15400</v>
      </c>
      <c r="G329" s="1474"/>
      <c r="H329" s="1474">
        <v>21330</v>
      </c>
      <c r="I329" s="1360">
        <f>H329/E329</f>
        <v>1.3850649350649351</v>
      </c>
      <c r="J329" s="1475"/>
      <c r="K329" s="1475">
        <f t="shared" si="21"/>
        <v>21330</v>
      </c>
      <c r="L329" s="1455">
        <f t="shared" si="19"/>
        <v>1.3850649350649351</v>
      </c>
      <c r="M329" s="2075"/>
    </row>
    <row r="330" spans="1:13" s="423" customFormat="1" ht="17.25" customHeight="1">
      <c r="A330" s="2046"/>
      <c r="B330" s="2156"/>
      <c r="C330" s="1422" t="s">
        <v>23</v>
      </c>
      <c r="D330" s="1396">
        <v>2360</v>
      </c>
      <c r="E330" s="1423">
        <v>800000</v>
      </c>
      <c r="F330" s="1423">
        <f>770000+30000</f>
        <v>800000</v>
      </c>
      <c r="G330" s="1423"/>
      <c r="H330" s="1423">
        <v>880000</v>
      </c>
      <c r="I330" s="1352">
        <f>H330/E330</f>
        <v>1.1000000000000001</v>
      </c>
      <c r="J330" s="1425">
        <v>70000</v>
      </c>
      <c r="K330" s="1425">
        <f t="shared" si="21"/>
        <v>950000</v>
      </c>
      <c r="L330" s="1455">
        <f t="shared" si="19"/>
        <v>1.1875</v>
      </c>
      <c r="M330" s="2075"/>
    </row>
    <row r="331" spans="1:13" s="423" customFormat="1" ht="14.1" customHeight="1">
      <c r="A331" s="2046"/>
      <c r="B331" s="2156"/>
      <c r="C331" s="1459" t="s">
        <v>24</v>
      </c>
      <c r="D331" s="1391">
        <v>3020</v>
      </c>
      <c r="E331" s="1423">
        <v>14448</v>
      </c>
      <c r="F331" s="1423">
        <v>14448</v>
      </c>
      <c r="G331" s="1423"/>
      <c r="H331" s="1423">
        <v>16287</v>
      </c>
      <c r="I331" s="1352">
        <f>H331/E331</f>
        <v>1.1272840531561461</v>
      </c>
      <c r="J331" s="1425"/>
      <c r="K331" s="1425">
        <f t="shared" si="21"/>
        <v>16287</v>
      </c>
      <c r="L331" s="1455">
        <f t="shared" si="19"/>
        <v>1.1272840531561461</v>
      </c>
      <c r="M331" s="2075"/>
    </row>
    <row r="332" spans="1:13" s="423" customFormat="1" ht="22.5">
      <c r="A332" s="2046"/>
      <c r="B332" s="2156"/>
      <c r="C332" s="1428" t="s">
        <v>441</v>
      </c>
      <c r="D332" s="1399"/>
      <c r="E332" s="1423"/>
      <c r="F332" s="1423"/>
      <c r="G332" s="1423"/>
      <c r="H332" s="1423"/>
      <c r="I332" s="1360"/>
      <c r="J332" s="1425"/>
      <c r="K332" s="1425"/>
      <c r="L332" s="1426"/>
      <c r="M332" s="2075"/>
    </row>
    <row r="333" spans="1:13" s="423" customFormat="1" ht="14.1" customHeight="1">
      <c r="A333" s="2046"/>
      <c r="B333" s="2156"/>
      <c r="C333" s="1422" t="s">
        <v>26</v>
      </c>
      <c r="D333" s="1396"/>
      <c r="E333" s="1423"/>
      <c r="F333" s="1423"/>
      <c r="G333" s="1423"/>
      <c r="H333" s="1423"/>
      <c r="I333" s="1360"/>
      <c r="J333" s="1425"/>
      <c r="K333" s="1425"/>
      <c r="L333" s="1426"/>
      <c r="M333" s="2075"/>
    </row>
    <row r="334" spans="1:13" s="423" customFormat="1" ht="14.1" customHeight="1">
      <c r="A334" s="2046"/>
      <c r="B334" s="2156"/>
      <c r="C334" s="1422" t="s">
        <v>27</v>
      </c>
      <c r="D334" s="1391"/>
      <c r="E334" s="1423"/>
      <c r="F334" s="1423"/>
      <c r="G334" s="1423"/>
      <c r="H334" s="1423"/>
      <c r="I334" s="1360"/>
      <c r="J334" s="1425"/>
      <c r="K334" s="1425"/>
      <c r="L334" s="1426"/>
      <c r="M334" s="2075"/>
    </row>
    <row r="335" spans="1:13" s="423" customFormat="1" ht="15.75" customHeight="1">
      <c r="A335" s="2046"/>
      <c r="B335" s="2156"/>
      <c r="C335" s="1308" t="s">
        <v>28</v>
      </c>
      <c r="D335" s="1391"/>
      <c r="E335" s="1313">
        <f>E336+E340+E341</f>
        <v>482236</v>
      </c>
      <c r="F335" s="1313">
        <f>F336+F338+F340+F341</f>
        <v>760378</v>
      </c>
      <c r="G335" s="1313">
        <f>G336+G340+G341</f>
        <v>0</v>
      </c>
      <c r="H335" s="1313">
        <f>SUM(H336:H338)</f>
        <v>530460</v>
      </c>
      <c r="I335" s="1360">
        <f>H335/E335</f>
        <v>1.1000008294693884</v>
      </c>
      <c r="J335" s="1310">
        <f>SUM(J336:J338)</f>
        <v>471740</v>
      </c>
      <c r="K335" s="1310">
        <f>SUM(K336:K338)</f>
        <v>1002200</v>
      </c>
      <c r="L335" s="1453">
        <f t="shared" ref="L335:L337" si="23">K335/E335</f>
        <v>2.0782355527169272</v>
      </c>
      <c r="M335" s="2075"/>
    </row>
    <row r="336" spans="1:13" s="423" customFormat="1" ht="13.5" customHeight="1">
      <c r="A336" s="2046"/>
      <c r="B336" s="2156"/>
      <c r="C336" s="2013" t="s">
        <v>29</v>
      </c>
      <c r="D336" s="1399">
        <v>6050</v>
      </c>
      <c r="E336" s="1474">
        <v>482236</v>
      </c>
      <c r="F336" s="1474">
        <v>482236</v>
      </c>
      <c r="G336" s="1474">
        <f>SUM(G337:G338)</f>
        <v>0</v>
      </c>
      <c r="H336" s="1474">
        <v>264260</v>
      </c>
      <c r="I336" s="1360">
        <f>H338/E336</f>
        <v>0.55201187800164231</v>
      </c>
      <c r="J336" s="1475">
        <v>446740</v>
      </c>
      <c r="K336" s="1475">
        <f>J336+H336</f>
        <v>711000</v>
      </c>
      <c r="L336" s="1455">
        <f t="shared" si="23"/>
        <v>1.4743818379382709</v>
      </c>
      <c r="M336" s="2075"/>
    </row>
    <row r="337" spans="1:13" s="423" customFormat="1" ht="13.5" hidden="1" customHeight="1">
      <c r="A337" s="2046"/>
      <c r="B337" s="2156"/>
      <c r="C337" s="2013"/>
      <c r="D337" s="1399"/>
      <c r="E337" s="1474"/>
      <c r="F337" s="1474"/>
      <c r="G337" s="1474"/>
      <c r="H337" s="1474"/>
      <c r="I337" s="1360"/>
      <c r="J337" s="1475"/>
      <c r="K337" s="1475"/>
      <c r="L337" s="1455" t="e">
        <f t="shared" si="23"/>
        <v>#DIV/0!</v>
      </c>
      <c r="M337" s="2075"/>
    </row>
    <row r="338" spans="1:13" s="423" customFormat="1" ht="14.1" customHeight="1">
      <c r="A338" s="2046"/>
      <c r="B338" s="2156"/>
      <c r="C338" s="2013"/>
      <c r="D338" s="1399">
        <v>6060</v>
      </c>
      <c r="E338" s="1474">
        <v>0</v>
      </c>
      <c r="F338" s="1474">
        <v>278142</v>
      </c>
      <c r="G338" s="1474"/>
      <c r="H338" s="1474">
        <v>266200</v>
      </c>
      <c r="I338" s="1360"/>
      <c r="J338" s="1475">
        <v>25000</v>
      </c>
      <c r="K338" s="1475">
        <f>J338+H338</f>
        <v>291200</v>
      </c>
      <c r="L338" s="1455"/>
      <c r="M338" s="2075"/>
    </row>
    <row r="339" spans="1:13" s="423" customFormat="1" ht="22.5">
      <c r="A339" s="2046"/>
      <c r="B339" s="2156"/>
      <c r="C339" s="1428" t="s">
        <v>36</v>
      </c>
      <c r="D339" s="1391"/>
      <c r="E339" s="1423"/>
      <c r="F339" s="1423"/>
      <c r="G339" s="1423"/>
      <c r="H339" s="1502"/>
      <c r="I339" s="1360"/>
      <c r="J339" s="1425"/>
      <c r="K339" s="1425"/>
      <c r="L339" s="1426"/>
      <c r="M339" s="2075"/>
    </row>
    <row r="340" spans="1:13" s="423" customFormat="1" ht="14.1" customHeight="1">
      <c r="A340" s="2046"/>
      <c r="B340" s="2156"/>
      <c r="C340" s="1422" t="s">
        <v>31</v>
      </c>
      <c r="D340" s="1396"/>
      <c r="E340" s="1423"/>
      <c r="F340" s="1423"/>
      <c r="G340" s="1423"/>
      <c r="H340" s="1423"/>
      <c r="I340" s="1360"/>
      <c r="J340" s="1425"/>
      <c r="K340" s="1425"/>
      <c r="L340" s="1426"/>
      <c r="M340" s="2075"/>
    </row>
    <row r="341" spans="1:13" s="423" customFormat="1" ht="14.1" customHeight="1" thickBot="1">
      <c r="A341" s="2047"/>
      <c r="B341" s="2157"/>
      <c r="C341" s="1039" t="s">
        <v>32</v>
      </c>
      <c r="D341" s="1618"/>
      <c r="E341" s="1634"/>
      <c r="F341" s="1634"/>
      <c r="G341" s="1634"/>
      <c r="H341" s="1634"/>
      <c r="I341" s="1685"/>
      <c r="J341" s="1637"/>
      <c r="K341" s="1637"/>
      <c r="L341" s="1638"/>
      <c r="M341" s="2076"/>
    </row>
    <row r="342" spans="1:13" s="423" customFormat="1" ht="14.1" hidden="1" customHeight="1">
      <c r="A342" s="475"/>
      <c r="B342" s="2159">
        <v>85278</v>
      </c>
      <c r="C342" s="1690" t="s">
        <v>454</v>
      </c>
      <c r="D342" s="1643"/>
      <c r="E342" s="1644">
        <f>E343+E352</f>
        <v>0</v>
      </c>
      <c r="F342" s="1644">
        <f>F343+F352</f>
        <v>0</v>
      </c>
      <c r="G342" s="1644"/>
      <c r="H342" s="1644">
        <f>H343+H352</f>
        <v>0</v>
      </c>
      <c r="I342" s="1221"/>
      <c r="J342" s="1645">
        <f>J343+J352</f>
        <v>0</v>
      </c>
      <c r="K342" s="1645">
        <f>K343+K352</f>
        <v>0</v>
      </c>
      <c r="L342" s="1646"/>
      <c r="M342" s="2172" t="s">
        <v>455</v>
      </c>
    </row>
    <row r="343" spans="1:13" s="423" customFormat="1" ht="14.1" hidden="1" customHeight="1">
      <c r="A343" s="475"/>
      <c r="B343" s="2151"/>
      <c r="C343" s="1418" t="s">
        <v>18</v>
      </c>
      <c r="D343" s="1315"/>
      <c r="E343" s="1313">
        <f>E344+E347+E348+E349+E350+E351</f>
        <v>0</v>
      </c>
      <c r="F343" s="1313">
        <f>F344+F347+F348+F349+F350+F351</f>
        <v>0</v>
      </c>
      <c r="G343" s="1313"/>
      <c r="H343" s="1313">
        <f>H344+H347+H348+H349+H350+H351</f>
        <v>0</v>
      </c>
      <c r="I343" s="1458"/>
      <c r="J343" s="1310">
        <f>J344+J347+J348+J349+J350+J351</f>
        <v>0</v>
      </c>
      <c r="K343" s="1310">
        <f>K344+K347+K348+K349+K350+K351</f>
        <v>0</v>
      </c>
      <c r="L343" s="1421"/>
      <c r="M343" s="2173"/>
    </row>
    <row r="344" spans="1:13" s="423" customFormat="1" ht="14.1" hidden="1" customHeight="1">
      <c r="A344" s="475"/>
      <c r="B344" s="2151"/>
      <c r="C344" s="1422" t="s">
        <v>19</v>
      </c>
      <c r="D344" s="1315"/>
      <c r="E344" s="1423">
        <f>E345+E346</f>
        <v>0</v>
      </c>
      <c r="F344" s="1423">
        <f>F345+F346</f>
        <v>0</v>
      </c>
      <c r="G344" s="1423"/>
      <c r="H344" s="1423">
        <f>H345+H346</f>
        <v>0</v>
      </c>
      <c r="I344" s="1352"/>
      <c r="J344" s="1425">
        <f>J345+J346</f>
        <v>0</v>
      </c>
      <c r="K344" s="1425">
        <f>K345+K346</f>
        <v>0</v>
      </c>
      <c r="L344" s="1426"/>
      <c r="M344" s="2173"/>
    </row>
    <row r="345" spans="1:13" s="423" customFormat="1" ht="14.1" hidden="1" customHeight="1">
      <c r="A345" s="475"/>
      <c r="B345" s="2151"/>
      <c r="C345" s="1459" t="s">
        <v>20</v>
      </c>
      <c r="D345" s="1391"/>
      <c r="E345" s="1423"/>
      <c r="F345" s="1423"/>
      <c r="G345" s="1423"/>
      <c r="H345" s="1423"/>
      <c r="I345" s="1352"/>
      <c r="J345" s="1425"/>
      <c r="K345" s="1425"/>
      <c r="L345" s="1426"/>
      <c r="M345" s="2173"/>
    </row>
    <row r="346" spans="1:13" s="423" customFormat="1" ht="24.75" hidden="1" customHeight="1">
      <c r="A346" s="475"/>
      <c r="B346" s="2151"/>
      <c r="C346" s="1503" t="s">
        <v>369</v>
      </c>
      <c r="D346" s="1391"/>
      <c r="E346" s="1423"/>
      <c r="F346" s="1423"/>
      <c r="G346" s="1423"/>
      <c r="H346" s="1423"/>
      <c r="I346" s="1352"/>
      <c r="J346" s="1425"/>
      <c r="K346" s="1425"/>
      <c r="L346" s="1426"/>
      <c r="M346" s="2173"/>
    </row>
    <row r="347" spans="1:13" s="423" customFormat="1" ht="14.1" hidden="1" customHeight="1">
      <c r="A347" s="475"/>
      <c r="B347" s="2151"/>
      <c r="C347" s="1459" t="s">
        <v>23</v>
      </c>
      <c r="D347" s="1391">
        <v>2710</v>
      </c>
      <c r="E347" s="1423"/>
      <c r="F347" s="1423"/>
      <c r="G347" s="1423"/>
      <c r="H347" s="1423">
        <f>E347+G347</f>
        <v>0</v>
      </c>
      <c r="I347" s="1360"/>
      <c r="J347" s="1425"/>
      <c r="K347" s="1425">
        <f>H347+J347</f>
        <v>0</v>
      </c>
      <c r="L347" s="1426"/>
      <c r="M347" s="2173"/>
    </row>
    <row r="348" spans="1:13" s="423" customFormat="1" ht="19.5" hidden="1" customHeight="1">
      <c r="A348" s="475"/>
      <c r="B348" s="2151"/>
      <c r="C348" s="1422" t="s">
        <v>24</v>
      </c>
      <c r="D348" s="1391"/>
      <c r="E348" s="1423"/>
      <c r="F348" s="1423"/>
      <c r="G348" s="1423"/>
      <c r="H348" s="1423"/>
      <c r="I348" s="1352"/>
      <c r="J348" s="1425"/>
      <c r="K348" s="1425"/>
      <c r="L348" s="1426"/>
      <c r="M348" s="2173"/>
    </row>
    <row r="349" spans="1:13" s="423" customFormat="1" ht="24.75" hidden="1" customHeight="1">
      <c r="A349" s="475"/>
      <c r="B349" s="2151"/>
      <c r="C349" s="1428" t="s">
        <v>35</v>
      </c>
      <c r="D349" s="1391"/>
      <c r="E349" s="1423"/>
      <c r="F349" s="1423"/>
      <c r="G349" s="1423"/>
      <c r="H349" s="1423"/>
      <c r="I349" s="1358"/>
      <c r="J349" s="1425"/>
      <c r="K349" s="1425"/>
      <c r="L349" s="1426"/>
      <c r="M349" s="2173"/>
    </row>
    <row r="350" spans="1:13" s="423" customFormat="1" ht="14.1" hidden="1" customHeight="1">
      <c r="A350" s="475"/>
      <c r="B350" s="2151"/>
      <c r="C350" s="1422" t="s">
        <v>26</v>
      </c>
      <c r="D350" s="1391"/>
      <c r="E350" s="1423"/>
      <c r="F350" s="1423"/>
      <c r="G350" s="1423"/>
      <c r="H350" s="1423"/>
      <c r="I350" s="1358"/>
      <c r="J350" s="1425"/>
      <c r="K350" s="1425"/>
      <c r="L350" s="1426"/>
      <c r="M350" s="2173"/>
    </row>
    <row r="351" spans="1:13" s="423" customFormat="1" ht="14.1" hidden="1" customHeight="1">
      <c r="A351" s="475"/>
      <c r="B351" s="2151"/>
      <c r="C351" s="1422" t="s">
        <v>27</v>
      </c>
      <c r="D351" s="1391"/>
      <c r="E351" s="1423"/>
      <c r="F351" s="1423"/>
      <c r="G351" s="1423"/>
      <c r="H351" s="1423"/>
      <c r="I351" s="1358"/>
      <c r="J351" s="1425"/>
      <c r="K351" s="1425"/>
      <c r="L351" s="1426"/>
      <c r="M351" s="2173"/>
    </row>
    <row r="352" spans="1:13" s="423" customFormat="1" ht="14.1" hidden="1" customHeight="1">
      <c r="A352" s="475"/>
      <c r="B352" s="2151"/>
      <c r="C352" s="1308" t="s">
        <v>28</v>
      </c>
      <c r="D352" s="1391"/>
      <c r="E352" s="1313">
        <f>E353+E355+E356</f>
        <v>0</v>
      </c>
      <c r="F352" s="1313">
        <f>F353+F355+F356</f>
        <v>0</v>
      </c>
      <c r="G352" s="1313"/>
      <c r="H352" s="1313">
        <f>H353+H355+H356</f>
        <v>0</v>
      </c>
      <c r="I352" s="1358"/>
      <c r="J352" s="1310">
        <f>J353+J355+J356</f>
        <v>0</v>
      </c>
      <c r="K352" s="1310">
        <f>K353+K355+K356</f>
        <v>0</v>
      </c>
      <c r="L352" s="1421"/>
      <c r="M352" s="2173"/>
    </row>
    <row r="353" spans="1:15" s="423" customFormat="1" ht="14.1" hidden="1" customHeight="1">
      <c r="A353" s="475"/>
      <c r="B353" s="2151"/>
      <c r="C353" s="1422" t="s">
        <v>29</v>
      </c>
      <c r="D353" s="1391"/>
      <c r="E353" s="1423"/>
      <c r="F353" s="1423"/>
      <c r="G353" s="1423"/>
      <c r="H353" s="1423">
        <v>0</v>
      </c>
      <c r="I353" s="1352"/>
      <c r="J353" s="1425"/>
      <c r="K353" s="1425">
        <v>0</v>
      </c>
      <c r="L353" s="1426"/>
      <c r="M353" s="2173"/>
    </row>
    <row r="354" spans="1:15" s="423" customFormat="1" ht="24.75" hidden="1" customHeight="1">
      <c r="A354" s="475"/>
      <c r="B354" s="2151"/>
      <c r="C354" s="1428" t="s">
        <v>89</v>
      </c>
      <c r="D354" s="1391"/>
      <c r="E354" s="1423"/>
      <c r="F354" s="1423"/>
      <c r="G354" s="1423"/>
      <c r="H354" s="1423"/>
      <c r="I354" s="1358"/>
      <c r="J354" s="1425"/>
      <c r="K354" s="1425"/>
      <c r="L354" s="1426"/>
      <c r="M354" s="2173"/>
    </row>
    <row r="355" spans="1:15" s="423" customFormat="1" ht="14.1" hidden="1" customHeight="1">
      <c r="A355" s="475"/>
      <c r="B355" s="2151"/>
      <c r="C355" s="1422" t="s">
        <v>31</v>
      </c>
      <c r="D355" s="1391"/>
      <c r="E355" s="1423"/>
      <c r="F355" s="1423"/>
      <c r="G355" s="1423"/>
      <c r="H355" s="1423"/>
      <c r="I355" s="1358"/>
      <c r="J355" s="1425"/>
      <c r="K355" s="1425"/>
      <c r="L355" s="1426"/>
      <c r="M355" s="2173"/>
    </row>
    <row r="356" spans="1:15" s="423" customFormat="1" ht="14.1" hidden="1" customHeight="1">
      <c r="A356" s="475"/>
      <c r="B356" s="2155"/>
      <c r="C356" s="253" t="s">
        <v>32</v>
      </c>
      <c r="D356" s="776"/>
      <c r="E356" s="777"/>
      <c r="F356" s="777"/>
      <c r="G356" s="777"/>
      <c r="H356" s="777"/>
      <c r="I356" s="1666"/>
      <c r="J356" s="779"/>
      <c r="K356" s="779"/>
      <c r="L356" s="780"/>
      <c r="M356" s="2174"/>
    </row>
    <row r="357" spans="1:15" s="423" customFormat="1" ht="14.1" customHeight="1">
      <c r="A357" s="2052"/>
      <c r="B357" s="2158">
        <v>85295</v>
      </c>
      <c r="C357" s="1661" t="s">
        <v>362</v>
      </c>
      <c r="D357" s="1662"/>
      <c r="E357" s="1663">
        <f>SUM(E358,E426)</f>
        <v>4020763</v>
      </c>
      <c r="F357" s="1663">
        <f>SUM(F358,F426)</f>
        <v>5898832</v>
      </c>
      <c r="G357" s="1663"/>
      <c r="H357" s="1663">
        <f>SUM(H358,H426)</f>
        <v>31191</v>
      </c>
      <c r="I357" s="1157">
        <f>H357/E357</f>
        <v>7.7574828459175535E-3</v>
      </c>
      <c r="J357" s="1664">
        <f>SUM(J358,J426)</f>
        <v>4360981</v>
      </c>
      <c r="K357" s="1664">
        <f>SUM(K358,K426)</f>
        <v>4392172</v>
      </c>
      <c r="L357" s="1665">
        <f>K357/E357</f>
        <v>1.0923727660645504</v>
      </c>
      <c r="M357" s="2074" t="s">
        <v>456</v>
      </c>
    </row>
    <row r="358" spans="1:15" s="423" customFormat="1" ht="14.1" customHeight="1">
      <c r="A358" s="2046"/>
      <c r="B358" s="2156"/>
      <c r="C358" s="1418" t="s">
        <v>18</v>
      </c>
      <c r="D358" s="1611"/>
      <c r="E358" s="1313">
        <f>E359+E366+E367+E368+E424+E425</f>
        <v>4020763</v>
      </c>
      <c r="F358" s="1313">
        <f>F359+F366+F367+F368+F424+F425</f>
        <v>5898832</v>
      </c>
      <c r="G358" s="1313"/>
      <c r="H358" s="1313">
        <f>H359+H366+H367+H368+H424+H425</f>
        <v>31191</v>
      </c>
      <c r="I358" s="1358">
        <f>H358/E358</f>
        <v>7.7574828459175535E-3</v>
      </c>
      <c r="J358" s="1310">
        <f>SUM(J359,J366,J367,J368,J424,J425)</f>
        <v>4360981</v>
      </c>
      <c r="K358" s="1310">
        <f>SUM(K359,K366,K367,K368,K424,K425)</f>
        <v>4392172</v>
      </c>
      <c r="L358" s="1453">
        <f t="shared" ref="L358" si="24">K358/E358</f>
        <v>1.0923727660645504</v>
      </c>
      <c r="M358" s="2075"/>
    </row>
    <row r="359" spans="1:15" s="423" customFormat="1" ht="14.1" customHeight="1">
      <c r="A359" s="2046"/>
      <c r="B359" s="2156"/>
      <c r="C359" s="1422" t="s">
        <v>19</v>
      </c>
      <c r="D359" s="1386"/>
      <c r="E359" s="1423">
        <f>SUM(E360:E361)</f>
        <v>0</v>
      </c>
      <c r="F359" s="1423">
        <f>SUM(F360:F361)</f>
        <v>845039</v>
      </c>
      <c r="G359" s="1423">
        <f t="shared" ref="G359:H359" si="25">SUM(G360:G361)</f>
        <v>0</v>
      </c>
      <c r="H359" s="1423">
        <f t="shared" si="25"/>
        <v>0</v>
      </c>
      <c r="I359" s="1358"/>
      <c r="J359" s="1425">
        <f>SUM(J360+J361)</f>
        <v>289000</v>
      </c>
      <c r="K359" s="1425">
        <f>SUM(K361)</f>
        <v>289000</v>
      </c>
      <c r="L359" s="1455"/>
      <c r="M359" s="2075"/>
    </row>
    <row r="360" spans="1:15" s="423" customFormat="1" ht="14.1" customHeight="1">
      <c r="A360" s="2046"/>
      <c r="B360" s="2156"/>
      <c r="C360" s="1422" t="s">
        <v>20</v>
      </c>
      <c r="D360" s="1391"/>
      <c r="E360" s="1423"/>
      <c r="F360" s="1423"/>
      <c r="G360" s="1423"/>
      <c r="H360" s="1423"/>
      <c r="I360" s="1358"/>
      <c r="J360" s="1425"/>
      <c r="K360" s="1425"/>
      <c r="L360" s="1426"/>
      <c r="M360" s="2075"/>
    </row>
    <row r="361" spans="1:15" s="423" customFormat="1" ht="10.5" customHeight="1">
      <c r="A361" s="2046"/>
      <c r="B361" s="2156"/>
      <c r="C361" s="2014" t="s">
        <v>433</v>
      </c>
      <c r="D361" s="1391" t="s">
        <v>366</v>
      </c>
      <c r="E361" s="1423">
        <f>SUM(E362:E363)</f>
        <v>0</v>
      </c>
      <c r="F361" s="1423">
        <f t="shared" ref="F361:H361" si="26">SUM(F362:F363)</f>
        <v>845039</v>
      </c>
      <c r="G361" s="1423">
        <f t="shared" si="26"/>
        <v>0</v>
      </c>
      <c r="H361" s="1423">
        <f t="shared" si="26"/>
        <v>0</v>
      </c>
      <c r="I361" s="1352"/>
      <c r="J361" s="1425">
        <f>SUM(J362:J365)</f>
        <v>289000</v>
      </c>
      <c r="K361" s="1425">
        <f>SUM(K362:K365)</f>
        <v>289000</v>
      </c>
      <c r="L361" s="1455"/>
      <c r="M361" s="2075"/>
    </row>
    <row r="362" spans="1:15" s="423" customFormat="1" ht="14.25" customHeight="1">
      <c r="A362" s="2046"/>
      <c r="B362" s="2156"/>
      <c r="C362" s="2014"/>
      <c r="D362" s="1399">
        <v>4210</v>
      </c>
      <c r="E362" s="1474"/>
      <c r="F362" s="1474">
        <v>545039</v>
      </c>
      <c r="G362" s="1474"/>
      <c r="H362" s="1474">
        <v>0</v>
      </c>
      <c r="I362" s="1352"/>
      <c r="J362" s="1475">
        <v>0</v>
      </c>
      <c r="K362" s="1475">
        <f>J362+H362</f>
        <v>0</v>
      </c>
      <c r="L362" s="1488"/>
      <c r="M362" s="2075"/>
    </row>
    <row r="363" spans="1:15" s="423" customFormat="1" ht="15" customHeight="1">
      <c r="A363" s="2046"/>
      <c r="B363" s="2156"/>
      <c r="C363" s="2014"/>
      <c r="D363" s="1399">
        <v>4300</v>
      </c>
      <c r="E363" s="1474"/>
      <c r="F363" s="1474">
        <v>300000</v>
      </c>
      <c r="G363" s="1474"/>
      <c r="H363" s="1474">
        <v>0</v>
      </c>
      <c r="I363" s="1352"/>
      <c r="J363" s="1475">
        <v>0</v>
      </c>
      <c r="K363" s="1475">
        <f>J363+H363</f>
        <v>0</v>
      </c>
      <c r="L363" s="1488"/>
      <c r="M363" s="2075"/>
      <c r="N363" s="774"/>
      <c r="O363" s="774"/>
    </row>
    <row r="364" spans="1:15" s="423" customFormat="1" ht="13.5" customHeight="1">
      <c r="A364" s="2046"/>
      <c r="B364" s="2156"/>
      <c r="C364" s="2014"/>
      <c r="D364" s="1399">
        <v>4350</v>
      </c>
      <c r="E364" s="1474"/>
      <c r="F364" s="1474">
        <v>0</v>
      </c>
      <c r="G364" s="1474"/>
      <c r="H364" s="1474">
        <v>0</v>
      </c>
      <c r="I364" s="1352"/>
      <c r="J364" s="1475">
        <v>200000</v>
      </c>
      <c r="K364" s="1475">
        <f>J364+H364</f>
        <v>200000</v>
      </c>
      <c r="L364" s="1488"/>
      <c r="M364" s="2075"/>
      <c r="N364" s="774"/>
      <c r="O364" s="774"/>
    </row>
    <row r="365" spans="1:15" s="423" customFormat="1" ht="11.25" customHeight="1">
      <c r="A365" s="2046"/>
      <c r="B365" s="2156"/>
      <c r="C365" s="2014"/>
      <c r="D365" s="1399">
        <v>4370</v>
      </c>
      <c r="E365" s="1474"/>
      <c r="F365" s="1474">
        <v>0</v>
      </c>
      <c r="G365" s="1474"/>
      <c r="H365" s="1474">
        <v>0</v>
      </c>
      <c r="I365" s="1352"/>
      <c r="J365" s="1475">
        <v>89000</v>
      </c>
      <c r="K365" s="1475">
        <f>J365+H365</f>
        <v>89000</v>
      </c>
      <c r="L365" s="1488"/>
      <c r="M365" s="2075"/>
      <c r="N365" s="774"/>
      <c r="O365" s="774"/>
    </row>
    <row r="366" spans="1:15" s="423" customFormat="1" ht="14.1" customHeight="1">
      <c r="A366" s="2046"/>
      <c r="B366" s="2156"/>
      <c r="C366" s="1422" t="s">
        <v>23</v>
      </c>
      <c r="D366" s="1396">
        <v>2340</v>
      </c>
      <c r="E366" s="1423"/>
      <c r="F366" s="1423">
        <v>0</v>
      </c>
      <c r="G366" s="1423"/>
      <c r="H366" s="1423">
        <v>0</v>
      </c>
      <c r="I366" s="1352"/>
      <c r="J366" s="1425">
        <v>200000</v>
      </c>
      <c r="K366" s="1475">
        <f>J366+H366</f>
        <v>200000</v>
      </c>
      <c r="L366" s="1488"/>
      <c r="M366" s="2075"/>
      <c r="N366" s="774"/>
      <c r="O366" s="774"/>
    </row>
    <row r="367" spans="1:15" s="423" customFormat="1" ht="14.1" customHeight="1">
      <c r="A367" s="2046"/>
      <c r="B367" s="2156"/>
      <c r="C367" s="1422" t="s">
        <v>24</v>
      </c>
      <c r="D367" s="1391"/>
      <c r="E367" s="1423"/>
      <c r="F367" s="1423"/>
      <c r="G367" s="1423"/>
      <c r="H367" s="1423"/>
      <c r="I367" s="1352"/>
      <c r="J367" s="1425"/>
      <c r="K367" s="1425"/>
      <c r="L367" s="1426"/>
      <c r="M367" s="2075"/>
      <c r="N367" s="774"/>
      <c r="O367" s="774"/>
    </row>
    <row r="368" spans="1:15" s="423" customFormat="1" ht="11.25" customHeight="1">
      <c r="A368" s="2046"/>
      <c r="B368" s="2156"/>
      <c r="C368" s="2014" t="s">
        <v>35</v>
      </c>
      <c r="D368" s="1422" t="s">
        <v>366</v>
      </c>
      <c r="E368" s="1423">
        <f>SUM(E369:E423)</f>
        <v>4020763</v>
      </c>
      <c r="F368" s="1423">
        <f>SUM(F369:F423)</f>
        <v>5053793</v>
      </c>
      <c r="G368" s="1423">
        <f>SUM(G369:G421)</f>
        <v>0</v>
      </c>
      <c r="H368" s="1423">
        <f>SUM(H369:H423)</f>
        <v>31191</v>
      </c>
      <c r="I368" s="1352">
        <f>H368/E368</f>
        <v>7.7574828459175535E-3</v>
      </c>
      <c r="J368" s="1425">
        <f>SUM(J371:J423)</f>
        <v>3871981</v>
      </c>
      <c r="K368" s="1425">
        <f t="shared" ref="K368:K423" si="27">J368+H368</f>
        <v>3903172</v>
      </c>
      <c r="L368" s="1455">
        <f t="shared" ref="L368:L423" si="28">K368/E368</f>
        <v>0.97075405837150808</v>
      </c>
      <c r="M368" s="2075"/>
      <c r="N368" s="774"/>
      <c r="O368" s="774"/>
    </row>
    <row r="369" spans="1:15" s="423" customFormat="1" ht="19.5" hidden="1" customHeight="1">
      <c r="A369" s="2046"/>
      <c r="B369" s="2156"/>
      <c r="C369" s="2014"/>
      <c r="D369" s="1399">
        <v>2007</v>
      </c>
      <c r="E369" s="1474"/>
      <c r="F369" s="1474"/>
      <c r="G369" s="1474"/>
      <c r="H369" s="1474">
        <f t="shared" ref="H369:H421" si="29">E369+G369</f>
        <v>0</v>
      </c>
      <c r="I369" s="1360"/>
      <c r="J369" s="1475"/>
      <c r="K369" s="1425">
        <f t="shared" si="27"/>
        <v>0</v>
      </c>
      <c r="L369" s="1455" t="e">
        <f t="shared" si="28"/>
        <v>#DIV/0!</v>
      </c>
      <c r="M369" s="2075"/>
      <c r="N369" s="774"/>
      <c r="O369" s="774"/>
    </row>
    <row r="370" spans="1:15" s="423" customFormat="1" ht="19.5" hidden="1" customHeight="1">
      <c r="A370" s="2046"/>
      <c r="B370" s="2156"/>
      <c r="C370" s="2014"/>
      <c r="D370" s="1399">
        <v>2009</v>
      </c>
      <c r="E370" s="1474"/>
      <c r="F370" s="1474"/>
      <c r="G370" s="1474"/>
      <c r="H370" s="1474">
        <f t="shared" si="29"/>
        <v>0</v>
      </c>
      <c r="I370" s="1360"/>
      <c r="J370" s="1475"/>
      <c r="K370" s="1425">
        <f t="shared" si="27"/>
        <v>0</v>
      </c>
      <c r="L370" s="1455" t="e">
        <f t="shared" si="28"/>
        <v>#DIV/0!</v>
      </c>
      <c r="M370" s="2075"/>
      <c r="N370" s="774"/>
      <c r="O370" s="774"/>
    </row>
    <row r="371" spans="1:15" s="423" customFormat="1" ht="13.5" customHeight="1">
      <c r="A371" s="2046"/>
      <c r="B371" s="2156"/>
      <c r="C371" s="2014"/>
      <c r="D371" s="1399">
        <v>2057</v>
      </c>
      <c r="E371" s="1474">
        <v>1681242</v>
      </c>
      <c r="F371" s="1474">
        <v>2572330</v>
      </c>
      <c r="G371" s="1474"/>
      <c r="H371" s="1474">
        <v>0</v>
      </c>
      <c r="I371" s="1360">
        <f>H371/E371</f>
        <v>0</v>
      </c>
      <c r="J371" s="1475">
        <v>2391539</v>
      </c>
      <c r="K371" s="1475">
        <f t="shared" si="27"/>
        <v>2391539</v>
      </c>
      <c r="L371" s="1455">
        <f t="shared" si="28"/>
        <v>1.4224834973192437</v>
      </c>
      <c r="M371" s="2075"/>
      <c r="N371" s="774"/>
      <c r="O371" s="774"/>
    </row>
    <row r="372" spans="1:15" s="423" customFormat="1" ht="10.5" customHeight="1">
      <c r="A372" s="2046"/>
      <c r="B372" s="2156"/>
      <c r="C372" s="2014"/>
      <c r="D372" s="1399">
        <v>2059</v>
      </c>
      <c r="E372" s="1474">
        <v>313588</v>
      </c>
      <c r="F372" s="1474">
        <v>216917</v>
      </c>
      <c r="G372" s="1474"/>
      <c r="H372" s="1474">
        <v>0</v>
      </c>
      <c r="I372" s="1360">
        <f>H372/E372</f>
        <v>0</v>
      </c>
      <c r="J372" s="1475">
        <v>414979</v>
      </c>
      <c r="K372" s="1475">
        <f t="shared" si="27"/>
        <v>414979</v>
      </c>
      <c r="L372" s="1455">
        <f t="shared" si="28"/>
        <v>1.3233255099047156</v>
      </c>
      <c r="M372" s="2075"/>
      <c r="N372" s="774"/>
      <c r="O372" s="774"/>
    </row>
    <row r="373" spans="1:15" s="423" customFormat="1" ht="12.75" hidden="1" customHeight="1">
      <c r="A373" s="2046"/>
      <c r="B373" s="2156"/>
      <c r="C373" s="2014"/>
      <c r="D373" s="1399">
        <v>2917</v>
      </c>
      <c r="E373" s="1474">
        <v>0</v>
      </c>
      <c r="F373" s="1474">
        <v>0</v>
      </c>
      <c r="G373" s="1474"/>
      <c r="H373" s="1474">
        <v>0</v>
      </c>
      <c r="I373" s="1360" t="e">
        <f t="shared" ref="I373:I374" si="30">H373/E373</f>
        <v>#DIV/0!</v>
      </c>
      <c r="J373" s="1475"/>
      <c r="K373" s="1475">
        <f t="shared" si="27"/>
        <v>0</v>
      </c>
      <c r="L373" s="1455" t="e">
        <f t="shared" si="28"/>
        <v>#DIV/0!</v>
      </c>
      <c r="M373" s="2075"/>
      <c r="N373" s="774"/>
      <c r="O373" s="774"/>
    </row>
    <row r="374" spans="1:15" s="423" customFormat="1" ht="10.5" hidden="1" customHeight="1">
      <c r="A374" s="2046"/>
      <c r="B374" s="2156"/>
      <c r="C374" s="2014"/>
      <c r="D374" s="1399">
        <v>2919</v>
      </c>
      <c r="E374" s="1474">
        <v>0</v>
      </c>
      <c r="F374" s="1474">
        <v>0</v>
      </c>
      <c r="G374" s="1474"/>
      <c r="H374" s="1474">
        <f t="shared" si="29"/>
        <v>0</v>
      </c>
      <c r="I374" s="1360" t="e">
        <f t="shared" si="30"/>
        <v>#DIV/0!</v>
      </c>
      <c r="J374" s="1475"/>
      <c r="K374" s="1475">
        <f t="shared" si="27"/>
        <v>0</v>
      </c>
      <c r="L374" s="1455" t="e">
        <f t="shared" si="28"/>
        <v>#DIV/0!</v>
      </c>
      <c r="M374" s="2075"/>
      <c r="N374" s="774"/>
      <c r="O374" s="774"/>
    </row>
    <row r="375" spans="1:15" s="423" customFormat="1" ht="11.25" hidden="1" customHeight="1">
      <c r="A375" s="2046"/>
      <c r="B375" s="2156"/>
      <c r="C375" s="2014"/>
      <c r="D375" s="1399">
        <v>2957</v>
      </c>
      <c r="E375" s="1474">
        <v>0</v>
      </c>
      <c r="F375" s="1474">
        <v>34651</v>
      </c>
      <c r="G375" s="1474"/>
      <c r="H375" s="1474">
        <f t="shared" si="29"/>
        <v>0</v>
      </c>
      <c r="I375" s="1360"/>
      <c r="J375" s="1475"/>
      <c r="K375" s="1475">
        <f t="shared" si="27"/>
        <v>0</v>
      </c>
      <c r="L375" s="1455"/>
      <c r="M375" s="2075"/>
      <c r="N375" s="774"/>
      <c r="O375" s="774"/>
    </row>
    <row r="376" spans="1:15" s="423" customFormat="1" ht="11.25" hidden="1" customHeight="1">
      <c r="A376" s="2046"/>
      <c r="B376" s="2156"/>
      <c r="C376" s="2014"/>
      <c r="D376" s="1399">
        <v>2959</v>
      </c>
      <c r="E376" s="1474">
        <v>0</v>
      </c>
      <c r="F376" s="1474">
        <v>5230</v>
      </c>
      <c r="G376" s="1474"/>
      <c r="H376" s="1474">
        <f t="shared" si="29"/>
        <v>0</v>
      </c>
      <c r="I376" s="1360"/>
      <c r="J376" s="1475"/>
      <c r="K376" s="1475">
        <f t="shared" si="27"/>
        <v>0</v>
      </c>
      <c r="L376" s="1455"/>
      <c r="M376" s="2075"/>
      <c r="N376" s="774"/>
      <c r="O376" s="774"/>
    </row>
    <row r="377" spans="1:15" s="423" customFormat="1" ht="13.5" customHeight="1">
      <c r="A377" s="2046"/>
      <c r="B377" s="2156"/>
      <c r="C377" s="2014"/>
      <c r="D377" s="1398">
        <v>4017</v>
      </c>
      <c r="E377" s="1474">
        <v>504613</v>
      </c>
      <c r="F377" s="1474">
        <v>567160</v>
      </c>
      <c r="G377" s="1474"/>
      <c r="H377" s="1474">
        <v>0</v>
      </c>
      <c r="I377" s="1360">
        <f>H377/E377</f>
        <v>0</v>
      </c>
      <c r="J377" s="1475">
        <v>308258</v>
      </c>
      <c r="K377" s="1475">
        <f t="shared" si="27"/>
        <v>308258</v>
      </c>
      <c r="L377" s="1455">
        <f t="shared" si="28"/>
        <v>0.61088002092692817</v>
      </c>
      <c r="M377" s="2075"/>
      <c r="N377" s="774"/>
      <c r="O377" s="774"/>
    </row>
    <row r="378" spans="1:15" s="423" customFormat="1" ht="11.25" hidden="1" customHeight="1">
      <c r="A378" s="2046"/>
      <c r="B378" s="2156"/>
      <c r="C378" s="2014"/>
      <c r="D378" s="1398">
        <v>4018</v>
      </c>
      <c r="E378" s="1474"/>
      <c r="F378" s="1474">
        <v>29644</v>
      </c>
      <c r="G378" s="1474"/>
      <c r="H378" s="1474">
        <f t="shared" si="29"/>
        <v>0</v>
      </c>
      <c r="I378" s="1360" t="e">
        <f>H378/E378</f>
        <v>#DIV/0!</v>
      </c>
      <c r="J378" s="1475"/>
      <c r="K378" s="1475">
        <f t="shared" si="27"/>
        <v>0</v>
      </c>
      <c r="L378" s="1455"/>
      <c r="M378" s="2075"/>
      <c r="N378" s="774"/>
      <c r="O378" s="774"/>
    </row>
    <row r="379" spans="1:15" s="423" customFormat="1" ht="11.25" customHeight="1">
      <c r="A379" s="2046"/>
      <c r="B379" s="2156"/>
      <c r="C379" s="2014"/>
      <c r="D379" s="1398">
        <v>4019</v>
      </c>
      <c r="E379" s="1474">
        <v>136153</v>
      </c>
      <c r="F379" s="1474">
        <v>155143</v>
      </c>
      <c r="G379" s="1474"/>
      <c r="H379" s="1474">
        <v>0</v>
      </c>
      <c r="I379" s="1360">
        <f>H379/E379</f>
        <v>0</v>
      </c>
      <c r="J379" s="1475">
        <v>57497</v>
      </c>
      <c r="K379" s="1475">
        <f t="shared" si="27"/>
        <v>57497</v>
      </c>
      <c r="L379" s="1455">
        <f t="shared" si="28"/>
        <v>0.42229697472696159</v>
      </c>
      <c r="M379" s="2075"/>
      <c r="N379" s="774"/>
      <c r="O379" s="774"/>
    </row>
    <row r="380" spans="1:15" s="423" customFormat="1" ht="11.25" customHeight="1">
      <c r="A380" s="2046"/>
      <c r="B380" s="2156"/>
      <c r="C380" s="2014"/>
      <c r="D380" s="1398">
        <v>4047</v>
      </c>
      <c r="E380" s="1474">
        <v>66326</v>
      </c>
      <c r="F380" s="1474">
        <v>58660</v>
      </c>
      <c r="G380" s="1474"/>
      <c r="H380" s="1474">
        <v>25520</v>
      </c>
      <c r="I380" s="1360">
        <f>H380/E380</f>
        <v>0.38476615505231732</v>
      </c>
      <c r="J380" s="1475">
        <v>19202</v>
      </c>
      <c r="K380" s="1475">
        <f t="shared" si="27"/>
        <v>44722</v>
      </c>
      <c r="L380" s="1455">
        <f t="shared" si="28"/>
        <v>0.67427554805053824</v>
      </c>
      <c r="M380" s="2075"/>
      <c r="N380" s="774"/>
      <c r="O380" s="774"/>
    </row>
    <row r="381" spans="1:15" s="423" customFormat="1" ht="12.75" hidden="1" customHeight="1">
      <c r="A381" s="2046"/>
      <c r="B381" s="2156"/>
      <c r="C381" s="2014"/>
      <c r="D381" s="1398">
        <v>4048</v>
      </c>
      <c r="E381" s="1474"/>
      <c r="F381" s="1474"/>
      <c r="G381" s="1474"/>
      <c r="H381" s="1474">
        <f t="shared" si="29"/>
        <v>0</v>
      </c>
      <c r="I381" s="1360"/>
      <c r="J381" s="1475"/>
      <c r="K381" s="1475">
        <f t="shared" si="27"/>
        <v>0</v>
      </c>
      <c r="L381" s="1455" t="e">
        <f t="shared" si="28"/>
        <v>#DIV/0!</v>
      </c>
      <c r="M381" s="2075"/>
      <c r="N381" s="774"/>
      <c r="O381" s="774"/>
    </row>
    <row r="382" spans="1:15" s="423" customFormat="1" ht="11.25" customHeight="1">
      <c r="A382" s="2046"/>
      <c r="B382" s="2156"/>
      <c r="C382" s="2014"/>
      <c r="D382" s="1398">
        <v>4049</v>
      </c>
      <c r="E382" s="1474">
        <v>3541</v>
      </c>
      <c r="F382" s="1474">
        <v>3514</v>
      </c>
      <c r="G382" s="1474"/>
      <c r="H382" s="1474">
        <v>0</v>
      </c>
      <c r="I382" s="1360">
        <f t="shared" ref="I382:I423" si="31">H382/E382</f>
        <v>0</v>
      </c>
      <c r="J382" s="1475">
        <v>3582</v>
      </c>
      <c r="K382" s="1475">
        <f t="shared" si="27"/>
        <v>3582</v>
      </c>
      <c r="L382" s="1455">
        <f t="shared" si="28"/>
        <v>1.0115786500988422</v>
      </c>
      <c r="M382" s="2075"/>
      <c r="N382" s="774"/>
      <c r="O382" s="774"/>
    </row>
    <row r="383" spans="1:15" s="423" customFormat="1" ht="10.5" customHeight="1">
      <c r="A383" s="2046"/>
      <c r="B383" s="2156"/>
      <c r="C383" s="2014"/>
      <c r="D383" s="1398">
        <v>4117</v>
      </c>
      <c r="E383" s="1474">
        <v>97860</v>
      </c>
      <c r="F383" s="1474">
        <v>108417</v>
      </c>
      <c r="G383" s="1474"/>
      <c r="H383" s="1474">
        <v>4408</v>
      </c>
      <c r="I383" s="1360">
        <f t="shared" si="31"/>
        <v>4.5043940322910279E-2</v>
      </c>
      <c r="J383" s="1475">
        <v>56553</v>
      </c>
      <c r="K383" s="1475">
        <f t="shared" si="27"/>
        <v>60961</v>
      </c>
      <c r="L383" s="1455">
        <f t="shared" si="28"/>
        <v>0.62294093603106482</v>
      </c>
      <c r="M383" s="2075"/>
      <c r="N383" s="774"/>
      <c r="O383" s="774"/>
    </row>
    <row r="384" spans="1:15" s="423" customFormat="1" ht="11.25" hidden="1" customHeight="1">
      <c r="A384" s="2046"/>
      <c r="B384" s="2156"/>
      <c r="C384" s="2014"/>
      <c r="D384" s="1398">
        <v>4118</v>
      </c>
      <c r="E384" s="1474">
        <v>0</v>
      </c>
      <c r="F384" s="1474">
        <v>5040</v>
      </c>
      <c r="G384" s="1474"/>
      <c r="H384" s="1474">
        <f t="shared" si="29"/>
        <v>0</v>
      </c>
      <c r="I384" s="1360" t="e">
        <f t="shared" si="31"/>
        <v>#DIV/0!</v>
      </c>
      <c r="J384" s="1475"/>
      <c r="K384" s="1475">
        <f t="shared" si="27"/>
        <v>0</v>
      </c>
      <c r="L384" s="1455"/>
      <c r="M384" s="2075"/>
      <c r="N384" s="774"/>
      <c r="O384" s="774"/>
    </row>
    <row r="385" spans="1:15" s="423" customFormat="1" ht="11.25" customHeight="1">
      <c r="A385" s="2046"/>
      <c r="B385" s="2156"/>
      <c r="C385" s="2014"/>
      <c r="D385" s="1398">
        <v>4119</v>
      </c>
      <c r="E385" s="1474">
        <v>22957</v>
      </c>
      <c r="F385" s="1474">
        <v>26165</v>
      </c>
      <c r="G385" s="1474"/>
      <c r="H385" s="1474">
        <v>0</v>
      </c>
      <c r="I385" s="1360">
        <f t="shared" si="31"/>
        <v>0</v>
      </c>
      <c r="J385" s="1475">
        <v>10548</v>
      </c>
      <c r="K385" s="1475">
        <f t="shared" si="27"/>
        <v>10548</v>
      </c>
      <c r="L385" s="1455">
        <f t="shared" si="28"/>
        <v>0.45946770048351265</v>
      </c>
      <c r="M385" s="2075"/>
      <c r="N385" s="774"/>
      <c r="O385" s="774"/>
    </row>
    <row r="386" spans="1:15" s="423" customFormat="1" ht="10.5" customHeight="1">
      <c r="A386" s="2046"/>
      <c r="B386" s="2156"/>
      <c r="C386" s="2014"/>
      <c r="D386" s="1398">
        <v>4127</v>
      </c>
      <c r="E386" s="1474">
        <v>14000</v>
      </c>
      <c r="F386" s="1474">
        <v>15521</v>
      </c>
      <c r="G386" s="1474"/>
      <c r="H386" s="1474">
        <v>625</v>
      </c>
      <c r="I386" s="1360">
        <f t="shared" si="31"/>
        <v>4.4642857142857144E-2</v>
      </c>
      <c r="J386" s="1475">
        <v>8024</v>
      </c>
      <c r="K386" s="1475">
        <f t="shared" si="27"/>
        <v>8649</v>
      </c>
      <c r="L386" s="1455">
        <f t="shared" si="28"/>
        <v>0.61778571428571427</v>
      </c>
      <c r="M386" s="2075"/>
      <c r="N386" s="774"/>
      <c r="O386" s="774"/>
    </row>
    <row r="387" spans="1:15" s="423" customFormat="1" ht="11.25" hidden="1" customHeight="1">
      <c r="A387" s="2046"/>
      <c r="B387" s="2156"/>
      <c r="C387" s="2014"/>
      <c r="D387" s="1398">
        <v>4128</v>
      </c>
      <c r="E387" s="1474">
        <v>0</v>
      </c>
      <c r="F387" s="1474">
        <v>727</v>
      </c>
      <c r="G387" s="1474"/>
      <c r="H387" s="1474">
        <f t="shared" si="29"/>
        <v>0</v>
      </c>
      <c r="I387" s="1360" t="e">
        <f t="shared" si="31"/>
        <v>#DIV/0!</v>
      </c>
      <c r="J387" s="1475"/>
      <c r="K387" s="1475">
        <f t="shared" si="27"/>
        <v>0</v>
      </c>
      <c r="L387" s="1455"/>
      <c r="M387" s="2075"/>
      <c r="N387" s="774"/>
      <c r="O387" s="774"/>
    </row>
    <row r="388" spans="1:15" s="423" customFormat="1" ht="11.25" customHeight="1">
      <c r="A388" s="2046"/>
      <c r="B388" s="2156"/>
      <c r="C388" s="2014"/>
      <c r="D388" s="1398">
        <v>4129</v>
      </c>
      <c r="E388" s="1474">
        <v>3423</v>
      </c>
      <c r="F388" s="1474">
        <v>3885</v>
      </c>
      <c r="G388" s="1474"/>
      <c r="H388" s="1474">
        <v>0</v>
      </c>
      <c r="I388" s="1360">
        <f t="shared" si="31"/>
        <v>0</v>
      </c>
      <c r="J388" s="1475">
        <v>1497</v>
      </c>
      <c r="K388" s="1475">
        <f t="shared" si="27"/>
        <v>1497</v>
      </c>
      <c r="L388" s="1455">
        <f t="shared" si="28"/>
        <v>0.43733567046450483</v>
      </c>
      <c r="M388" s="2075"/>
      <c r="N388" s="774"/>
      <c r="O388" s="774"/>
    </row>
    <row r="389" spans="1:15" s="423" customFormat="1" ht="11.25" customHeight="1">
      <c r="A389" s="2046"/>
      <c r="B389" s="2156"/>
      <c r="C389" s="2014"/>
      <c r="D389" s="1398">
        <v>4177</v>
      </c>
      <c r="E389" s="1474">
        <v>253994</v>
      </c>
      <c r="F389" s="1474">
        <v>250105</v>
      </c>
      <c r="G389" s="1474"/>
      <c r="H389" s="1474">
        <v>0</v>
      </c>
      <c r="I389" s="1360">
        <f t="shared" si="31"/>
        <v>0</v>
      </c>
      <c r="J389" s="1475">
        <v>153390</v>
      </c>
      <c r="K389" s="1475">
        <f t="shared" si="27"/>
        <v>153390</v>
      </c>
      <c r="L389" s="1455">
        <f t="shared" si="28"/>
        <v>0.60391190343078971</v>
      </c>
      <c r="M389" s="2075"/>
      <c r="N389" s="774"/>
      <c r="O389" s="774"/>
    </row>
    <row r="390" spans="1:15" s="423" customFormat="1" ht="11.25" customHeight="1">
      <c r="A390" s="2046"/>
      <c r="B390" s="2156"/>
      <c r="C390" s="2014"/>
      <c r="D390" s="1398">
        <v>4179</v>
      </c>
      <c r="E390" s="1474">
        <v>42349</v>
      </c>
      <c r="F390" s="1474">
        <v>41622</v>
      </c>
      <c r="G390" s="1474"/>
      <c r="H390" s="1474">
        <v>0</v>
      </c>
      <c r="I390" s="1360">
        <f t="shared" si="31"/>
        <v>0</v>
      </c>
      <c r="J390" s="1475">
        <v>28610</v>
      </c>
      <c r="K390" s="1475">
        <f t="shared" si="27"/>
        <v>28610</v>
      </c>
      <c r="L390" s="1455">
        <f t="shared" si="28"/>
        <v>0.67557675505915138</v>
      </c>
      <c r="M390" s="2075"/>
      <c r="N390" s="774"/>
      <c r="O390" s="774"/>
    </row>
    <row r="391" spans="1:15" s="423" customFormat="1" ht="11.25" hidden="1" customHeight="1">
      <c r="A391" s="2046"/>
      <c r="B391" s="2156"/>
      <c r="C391" s="2014"/>
      <c r="D391" s="1398"/>
      <c r="E391" s="1474"/>
      <c r="F391" s="1474"/>
      <c r="G391" s="1474"/>
      <c r="H391" s="1474"/>
      <c r="I391" s="1360"/>
      <c r="J391" s="1475"/>
      <c r="K391" s="1475">
        <f t="shared" si="27"/>
        <v>0</v>
      </c>
      <c r="L391" s="1455" t="e">
        <f t="shared" si="28"/>
        <v>#DIV/0!</v>
      </c>
      <c r="M391" s="2075"/>
      <c r="N391" s="774"/>
      <c r="O391" s="774"/>
    </row>
    <row r="392" spans="1:15" s="423" customFormat="1" ht="11.25" customHeight="1">
      <c r="A392" s="2046"/>
      <c r="B392" s="2156"/>
      <c r="C392" s="2014"/>
      <c r="D392" s="1398">
        <v>4217</v>
      </c>
      <c r="E392" s="1474">
        <v>20971</v>
      </c>
      <c r="F392" s="1474">
        <v>13990</v>
      </c>
      <c r="G392" s="1474"/>
      <c r="H392" s="1474">
        <v>0</v>
      </c>
      <c r="I392" s="1360">
        <f t="shared" si="31"/>
        <v>0</v>
      </c>
      <c r="J392" s="1475"/>
      <c r="K392" s="1475">
        <f t="shared" si="27"/>
        <v>0</v>
      </c>
      <c r="L392" s="1455">
        <f t="shared" si="28"/>
        <v>0</v>
      </c>
      <c r="M392" s="2075"/>
      <c r="N392" s="774"/>
      <c r="O392" s="774"/>
    </row>
    <row r="393" spans="1:15" s="423" customFormat="1" ht="11.25" hidden="1" customHeight="1">
      <c r="A393" s="2046"/>
      <c r="B393" s="2156"/>
      <c r="C393" s="2014"/>
      <c r="D393" s="1398">
        <v>4218</v>
      </c>
      <c r="E393" s="1474"/>
      <c r="F393" s="1474"/>
      <c r="G393" s="1474"/>
      <c r="H393" s="1474">
        <f t="shared" si="29"/>
        <v>0</v>
      </c>
      <c r="I393" s="1360" t="e">
        <f t="shared" si="31"/>
        <v>#DIV/0!</v>
      </c>
      <c r="J393" s="1475"/>
      <c r="K393" s="1475">
        <f t="shared" si="27"/>
        <v>0</v>
      </c>
      <c r="L393" s="1455" t="e">
        <f t="shared" si="28"/>
        <v>#DIV/0!</v>
      </c>
      <c r="M393" s="2075"/>
      <c r="N393" s="774"/>
      <c r="O393" s="774"/>
    </row>
    <row r="394" spans="1:15" s="423" customFormat="1" ht="11.25" customHeight="1">
      <c r="A394" s="2046"/>
      <c r="B394" s="2156"/>
      <c r="C394" s="2014"/>
      <c r="D394" s="1398">
        <v>4219</v>
      </c>
      <c r="E394" s="1474">
        <v>2830</v>
      </c>
      <c r="F394" s="1474">
        <v>1528</v>
      </c>
      <c r="G394" s="1474"/>
      <c r="H394" s="1474">
        <v>0</v>
      </c>
      <c r="I394" s="1360">
        <f t="shared" si="31"/>
        <v>0</v>
      </c>
      <c r="J394" s="1475"/>
      <c r="K394" s="1475">
        <f t="shared" si="27"/>
        <v>0</v>
      </c>
      <c r="L394" s="1455">
        <f t="shared" si="28"/>
        <v>0</v>
      </c>
      <c r="M394" s="2075"/>
      <c r="N394" s="774"/>
      <c r="O394" s="774"/>
    </row>
    <row r="395" spans="1:15" s="423" customFormat="1" ht="11.25" hidden="1" customHeight="1">
      <c r="A395" s="2046"/>
      <c r="B395" s="2156"/>
      <c r="C395" s="2014"/>
      <c r="D395" s="1398">
        <v>4227</v>
      </c>
      <c r="E395" s="1474"/>
      <c r="F395" s="1474"/>
      <c r="G395" s="1474"/>
      <c r="H395" s="1474">
        <f t="shared" si="29"/>
        <v>0</v>
      </c>
      <c r="I395" s="1360" t="e">
        <f t="shared" si="31"/>
        <v>#DIV/0!</v>
      </c>
      <c r="J395" s="1475"/>
      <c r="K395" s="1475">
        <f t="shared" si="27"/>
        <v>0</v>
      </c>
      <c r="L395" s="1455" t="e">
        <f t="shared" si="28"/>
        <v>#DIV/0!</v>
      </c>
      <c r="M395" s="2075"/>
      <c r="N395" s="774"/>
      <c r="O395" s="774"/>
    </row>
    <row r="396" spans="1:15" s="423" customFormat="1" ht="11.25" hidden="1" customHeight="1">
      <c r="A396" s="2046"/>
      <c r="B396" s="2156"/>
      <c r="C396" s="2014"/>
      <c r="D396" s="1398">
        <v>4229</v>
      </c>
      <c r="E396" s="1474"/>
      <c r="F396" s="1474"/>
      <c r="G396" s="1474"/>
      <c r="H396" s="1474">
        <f t="shared" si="29"/>
        <v>0</v>
      </c>
      <c r="I396" s="1360" t="e">
        <f t="shared" si="31"/>
        <v>#DIV/0!</v>
      </c>
      <c r="J396" s="1475"/>
      <c r="K396" s="1475">
        <f t="shared" si="27"/>
        <v>0</v>
      </c>
      <c r="L396" s="1455" t="e">
        <f t="shared" si="28"/>
        <v>#DIV/0!</v>
      </c>
      <c r="M396" s="2075"/>
      <c r="N396" s="774"/>
      <c r="O396" s="774"/>
    </row>
    <row r="397" spans="1:15" s="423" customFormat="1" ht="11.25" hidden="1" customHeight="1">
      <c r="A397" s="2046"/>
      <c r="B397" s="2156"/>
      <c r="C397" s="2014"/>
      <c r="D397" s="1398">
        <v>4267</v>
      </c>
      <c r="E397" s="1474"/>
      <c r="F397" s="1474"/>
      <c r="G397" s="1474"/>
      <c r="H397" s="1474">
        <f t="shared" si="29"/>
        <v>0</v>
      </c>
      <c r="I397" s="1360" t="e">
        <f t="shared" si="31"/>
        <v>#DIV/0!</v>
      </c>
      <c r="J397" s="1475"/>
      <c r="K397" s="1475">
        <f t="shared" si="27"/>
        <v>0</v>
      </c>
      <c r="L397" s="1455" t="e">
        <f t="shared" si="28"/>
        <v>#DIV/0!</v>
      </c>
      <c r="M397" s="2075"/>
      <c r="N397" s="774"/>
      <c r="O397" s="774"/>
    </row>
    <row r="398" spans="1:15" s="423" customFormat="1" ht="11.25" hidden="1" customHeight="1">
      <c r="A398" s="2046"/>
      <c r="B398" s="2156"/>
      <c r="C398" s="2014"/>
      <c r="D398" s="1398">
        <v>4269</v>
      </c>
      <c r="E398" s="1474"/>
      <c r="F398" s="1474"/>
      <c r="G398" s="1474"/>
      <c r="H398" s="1474">
        <f t="shared" si="29"/>
        <v>0</v>
      </c>
      <c r="I398" s="1360" t="e">
        <f t="shared" si="31"/>
        <v>#DIV/0!</v>
      </c>
      <c r="J398" s="1475"/>
      <c r="K398" s="1475">
        <f t="shared" si="27"/>
        <v>0</v>
      </c>
      <c r="L398" s="1455" t="e">
        <f t="shared" si="28"/>
        <v>#DIV/0!</v>
      </c>
      <c r="M398" s="2075"/>
      <c r="N398" s="774"/>
      <c r="O398" s="774"/>
    </row>
    <row r="399" spans="1:15" s="423" customFormat="1" ht="11.25" hidden="1" customHeight="1">
      <c r="A399" s="2046"/>
      <c r="B399" s="2156"/>
      <c r="C399" s="2014"/>
      <c r="D399" s="1398">
        <v>4287</v>
      </c>
      <c r="E399" s="1474"/>
      <c r="F399" s="1474"/>
      <c r="G399" s="1474"/>
      <c r="H399" s="1474">
        <f t="shared" si="29"/>
        <v>0</v>
      </c>
      <c r="I399" s="1360" t="e">
        <f t="shared" si="31"/>
        <v>#DIV/0!</v>
      </c>
      <c r="J399" s="1475"/>
      <c r="K399" s="1475">
        <f t="shared" si="27"/>
        <v>0</v>
      </c>
      <c r="L399" s="1455" t="e">
        <f t="shared" si="28"/>
        <v>#DIV/0!</v>
      </c>
      <c r="M399" s="2075"/>
      <c r="N399" s="774"/>
      <c r="O399" s="774"/>
    </row>
    <row r="400" spans="1:15" s="423" customFormat="1" ht="11.25" hidden="1" customHeight="1">
      <c r="A400" s="2046"/>
      <c r="B400" s="2156"/>
      <c r="C400" s="2014"/>
      <c r="D400" s="1398">
        <v>4289</v>
      </c>
      <c r="E400" s="1474"/>
      <c r="F400" s="1474"/>
      <c r="G400" s="1474"/>
      <c r="H400" s="1474">
        <f t="shared" si="29"/>
        <v>0</v>
      </c>
      <c r="I400" s="1360" t="e">
        <f t="shared" si="31"/>
        <v>#DIV/0!</v>
      </c>
      <c r="J400" s="1475"/>
      <c r="K400" s="1475">
        <f t="shared" si="27"/>
        <v>0</v>
      </c>
      <c r="L400" s="1455" t="e">
        <f t="shared" si="28"/>
        <v>#DIV/0!</v>
      </c>
      <c r="M400" s="2075"/>
      <c r="N400" s="774"/>
      <c r="O400" s="774"/>
    </row>
    <row r="401" spans="1:15" s="423" customFormat="1" ht="11.25" hidden="1" customHeight="1">
      <c r="A401" s="2046"/>
      <c r="B401" s="2156"/>
      <c r="C401" s="2014"/>
      <c r="D401" s="1398"/>
      <c r="E401" s="1474"/>
      <c r="F401" s="1474"/>
      <c r="G401" s="1474"/>
      <c r="H401" s="1474">
        <v>0</v>
      </c>
      <c r="I401" s="1360"/>
      <c r="J401" s="1475"/>
      <c r="K401" s="1475">
        <f t="shared" si="27"/>
        <v>0</v>
      </c>
      <c r="L401" s="1455" t="e">
        <f t="shared" si="28"/>
        <v>#DIV/0!</v>
      </c>
      <c r="M401" s="2075"/>
      <c r="N401" s="774"/>
      <c r="O401" s="774"/>
    </row>
    <row r="402" spans="1:15" s="423" customFormat="1" ht="11.25" customHeight="1">
      <c r="A402" s="2046"/>
      <c r="B402" s="2156"/>
      <c r="C402" s="2175"/>
      <c r="D402" s="1398">
        <v>4307</v>
      </c>
      <c r="E402" s="1474">
        <v>739483</v>
      </c>
      <c r="F402" s="1474">
        <v>813943</v>
      </c>
      <c r="G402" s="1474"/>
      <c r="H402" s="1474">
        <v>0</v>
      </c>
      <c r="I402" s="1360">
        <f t="shared" si="31"/>
        <v>0</v>
      </c>
      <c r="J402" s="1475">
        <v>336001</v>
      </c>
      <c r="K402" s="1475">
        <f t="shared" si="27"/>
        <v>336001</v>
      </c>
      <c r="L402" s="1455">
        <f t="shared" si="28"/>
        <v>0.45437285238470659</v>
      </c>
      <c r="M402" s="2075"/>
      <c r="N402" s="774"/>
      <c r="O402" s="774"/>
    </row>
    <row r="403" spans="1:15" s="423" customFormat="1" ht="11.25" hidden="1" customHeight="1">
      <c r="A403" s="2046"/>
      <c r="B403" s="2156"/>
      <c r="C403" s="1504"/>
      <c r="D403" s="1398">
        <v>4308</v>
      </c>
      <c r="E403" s="1474"/>
      <c r="F403" s="1474"/>
      <c r="G403" s="1474"/>
      <c r="H403" s="1474">
        <f t="shared" si="29"/>
        <v>0</v>
      </c>
      <c r="I403" s="1360" t="e">
        <f t="shared" si="31"/>
        <v>#DIV/0!</v>
      </c>
      <c r="J403" s="1475"/>
      <c r="K403" s="1475">
        <f t="shared" si="27"/>
        <v>0</v>
      </c>
      <c r="L403" s="1455" t="e">
        <f t="shared" si="28"/>
        <v>#DIV/0!</v>
      </c>
      <c r="M403" s="2075"/>
      <c r="N403" s="774"/>
      <c r="O403" s="774"/>
    </row>
    <row r="404" spans="1:15" s="423" customFormat="1" ht="11.25" customHeight="1">
      <c r="A404" s="2046"/>
      <c r="B404" s="2156"/>
      <c r="C404" s="2176"/>
      <c r="D404" s="1398">
        <v>4309</v>
      </c>
      <c r="E404" s="1474">
        <v>99484</v>
      </c>
      <c r="F404" s="1474">
        <v>100905</v>
      </c>
      <c r="G404" s="1474"/>
      <c r="H404" s="1474">
        <v>0</v>
      </c>
      <c r="I404" s="1360">
        <f t="shared" si="31"/>
        <v>0</v>
      </c>
      <c r="J404" s="1475">
        <v>62671</v>
      </c>
      <c r="K404" s="1475">
        <f t="shared" si="27"/>
        <v>62671</v>
      </c>
      <c r="L404" s="1455">
        <f t="shared" si="28"/>
        <v>0.62996059667886295</v>
      </c>
      <c r="M404" s="2075"/>
      <c r="N404" s="774"/>
      <c r="O404" s="774"/>
    </row>
    <row r="405" spans="1:15" s="423" customFormat="1" ht="11.25" customHeight="1">
      <c r="A405" s="2046"/>
      <c r="B405" s="2156"/>
      <c r="C405" s="2165"/>
      <c r="D405" s="1398">
        <v>4367</v>
      </c>
      <c r="E405" s="1474">
        <v>280</v>
      </c>
      <c r="F405" s="1474">
        <v>280</v>
      </c>
      <c r="G405" s="1474"/>
      <c r="H405" s="1474">
        <v>0</v>
      </c>
      <c r="I405" s="1360">
        <f t="shared" si="31"/>
        <v>0</v>
      </c>
      <c r="J405" s="1475"/>
      <c r="K405" s="1475">
        <f t="shared" si="27"/>
        <v>0</v>
      </c>
      <c r="L405" s="1455">
        <f t="shared" si="28"/>
        <v>0</v>
      </c>
      <c r="M405" s="2075"/>
      <c r="N405" s="774"/>
      <c r="O405" s="774"/>
    </row>
    <row r="406" spans="1:15" s="423" customFormat="1" ht="11.25" hidden="1" customHeight="1">
      <c r="A406" s="2046"/>
      <c r="B406" s="2156"/>
      <c r="C406" s="2165"/>
      <c r="D406" s="1398">
        <v>4369</v>
      </c>
      <c r="E406" s="1474">
        <v>0</v>
      </c>
      <c r="F406" s="1474">
        <v>0</v>
      </c>
      <c r="G406" s="1474"/>
      <c r="H406" s="1474">
        <v>0</v>
      </c>
      <c r="I406" s="1360" t="e">
        <f t="shared" si="31"/>
        <v>#DIV/0!</v>
      </c>
      <c r="J406" s="1475"/>
      <c r="K406" s="1475">
        <f t="shared" si="27"/>
        <v>0</v>
      </c>
      <c r="L406" s="1455" t="e">
        <f t="shared" si="28"/>
        <v>#DIV/0!</v>
      </c>
      <c r="M406" s="2075"/>
      <c r="N406" s="774"/>
      <c r="O406" s="774"/>
    </row>
    <row r="407" spans="1:15" s="423" customFormat="1" ht="11.25" hidden="1" customHeight="1">
      <c r="A407" s="2046"/>
      <c r="B407" s="2156"/>
      <c r="C407" s="2165"/>
      <c r="D407" s="1398">
        <v>4397</v>
      </c>
      <c r="E407" s="1474"/>
      <c r="F407" s="1474"/>
      <c r="G407" s="1474"/>
      <c r="H407" s="1474">
        <f t="shared" si="29"/>
        <v>0</v>
      </c>
      <c r="I407" s="1360" t="e">
        <f t="shared" si="31"/>
        <v>#DIV/0!</v>
      </c>
      <c r="J407" s="1475"/>
      <c r="K407" s="1475">
        <f t="shared" si="27"/>
        <v>0</v>
      </c>
      <c r="L407" s="1455" t="e">
        <f t="shared" si="28"/>
        <v>#DIV/0!</v>
      </c>
      <c r="M407" s="2075"/>
      <c r="N407" s="774"/>
      <c r="O407" s="774"/>
    </row>
    <row r="408" spans="1:15" s="423" customFormat="1" ht="11.25" hidden="1" customHeight="1">
      <c r="A408" s="2046"/>
      <c r="B408" s="2156"/>
      <c r="C408" s="2165"/>
      <c r="D408" s="1398">
        <v>4399</v>
      </c>
      <c r="E408" s="1474"/>
      <c r="F408" s="1474"/>
      <c r="G408" s="1474"/>
      <c r="H408" s="1474">
        <f t="shared" si="29"/>
        <v>0</v>
      </c>
      <c r="I408" s="1360" t="e">
        <f t="shared" si="31"/>
        <v>#DIV/0!</v>
      </c>
      <c r="J408" s="1475"/>
      <c r="K408" s="1475">
        <f t="shared" si="27"/>
        <v>0</v>
      </c>
      <c r="L408" s="1455" t="e">
        <f t="shared" si="28"/>
        <v>#DIV/0!</v>
      </c>
      <c r="M408" s="2075"/>
      <c r="N408" s="774"/>
      <c r="O408" s="774"/>
    </row>
    <row r="409" spans="1:15" s="423" customFormat="1" ht="11.25" customHeight="1">
      <c r="A409" s="2046"/>
      <c r="B409" s="2156"/>
      <c r="C409" s="2165"/>
      <c r="D409" s="1398">
        <v>4417</v>
      </c>
      <c r="E409" s="1474">
        <v>1508</v>
      </c>
      <c r="F409" s="1474">
        <v>2906</v>
      </c>
      <c r="G409" s="1474"/>
      <c r="H409" s="1474">
        <v>0</v>
      </c>
      <c r="I409" s="1360">
        <f t="shared" si="31"/>
        <v>0</v>
      </c>
      <c r="J409" s="1475">
        <v>6742</v>
      </c>
      <c r="K409" s="1475">
        <f t="shared" si="27"/>
        <v>6742</v>
      </c>
      <c r="L409" s="1455">
        <f t="shared" si="28"/>
        <v>4.4708222811671083</v>
      </c>
      <c r="M409" s="2075"/>
      <c r="N409" s="774"/>
      <c r="O409" s="774"/>
    </row>
    <row r="410" spans="1:15" s="423" customFormat="1" ht="10.5" customHeight="1">
      <c r="A410" s="2046"/>
      <c r="B410" s="2156"/>
      <c r="C410" s="2165"/>
      <c r="D410" s="1398">
        <v>4419</v>
      </c>
      <c r="E410" s="1474">
        <v>0</v>
      </c>
      <c r="F410" s="1474">
        <v>262</v>
      </c>
      <c r="G410" s="1474"/>
      <c r="H410" s="1474">
        <f t="shared" si="29"/>
        <v>0</v>
      </c>
      <c r="I410" s="1360" t="e">
        <f t="shared" si="31"/>
        <v>#DIV/0!</v>
      </c>
      <c r="J410" s="1475">
        <v>1258</v>
      </c>
      <c r="K410" s="1475">
        <f t="shared" si="27"/>
        <v>1258</v>
      </c>
      <c r="L410" s="1455"/>
      <c r="M410" s="2075"/>
      <c r="N410" s="774"/>
      <c r="O410" s="774"/>
    </row>
    <row r="411" spans="1:15" s="423" customFormat="1" ht="11.25" hidden="1" customHeight="1">
      <c r="A411" s="2046"/>
      <c r="B411" s="2156"/>
      <c r="C411" s="2165"/>
      <c r="D411" s="1398">
        <v>4428</v>
      </c>
      <c r="E411" s="1474">
        <v>0</v>
      </c>
      <c r="F411" s="1474">
        <v>7698</v>
      </c>
      <c r="G411" s="1474"/>
      <c r="H411" s="1474">
        <f t="shared" si="29"/>
        <v>0</v>
      </c>
      <c r="I411" s="1360" t="e">
        <f t="shared" si="31"/>
        <v>#DIV/0!</v>
      </c>
      <c r="J411" s="1475"/>
      <c r="K411" s="1475">
        <f t="shared" si="27"/>
        <v>0</v>
      </c>
      <c r="L411" s="1455"/>
      <c r="M411" s="2075"/>
      <c r="N411" s="774"/>
      <c r="O411" s="774"/>
    </row>
    <row r="412" spans="1:15" s="423" customFormat="1" ht="11.25" hidden="1" customHeight="1">
      <c r="A412" s="2046"/>
      <c r="B412" s="2156"/>
      <c r="C412" s="2165"/>
      <c r="D412" s="1398">
        <v>4429</v>
      </c>
      <c r="E412" s="1474">
        <v>0</v>
      </c>
      <c r="F412" s="1474">
        <v>1359</v>
      </c>
      <c r="G412" s="1474"/>
      <c r="H412" s="1474">
        <f t="shared" si="29"/>
        <v>0</v>
      </c>
      <c r="I412" s="1360" t="e">
        <f t="shared" si="31"/>
        <v>#DIV/0!</v>
      </c>
      <c r="J412" s="1475"/>
      <c r="K412" s="1475">
        <f t="shared" si="27"/>
        <v>0</v>
      </c>
      <c r="L412" s="1455"/>
      <c r="M412" s="2075"/>
      <c r="N412" s="774"/>
      <c r="O412" s="774"/>
    </row>
    <row r="413" spans="1:15" s="423" customFormat="1" ht="11.25" customHeight="1">
      <c r="A413" s="2046"/>
      <c r="B413" s="2156"/>
      <c r="C413" s="2165"/>
      <c r="D413" s="1398">
        <v>4447</v>
      </c>
      <c r="E413" s="1474">
        <v>5335</v>
      </c>
      <c r="F413" s="1474">
        <v>5329</v>
      </c>
      <c r="G413" s="1474"/>
      <c r="H413" s="1474">
        <v>0</v>
      </c>
      <c r="I413" s="1360">
        <f t="shared" si="31"/>
        <v>0</v>
      </c>
      <c r="J413" s="1475">
        <v>6456</v>
      </c>
      <c r="K413" s="1475">
        <f t="shared" si="27"/>
        <v>6456</v>
      </c>
      <c r="L413" s="1455">
        <f t="shared" si="28"/>
        <v>1.2101218369259605</v>
      </c>
      <c r="M413" s="2075"/>
    </row>
    <row r="414" spans="1:15" s="423" customFormat="1" ht="11.25" customHeight="1">
      <c r="A414" s="2046"/>
      <c r="B414" s="2156"/>
      <c r="C414" s="2165"/>
      <c r="D414" s="1398">
        <v>4449</v>
      </c>
      <c r="E414" s="1474">
        <v>995</v>
      </c>
      <c r="F414" s="1474">
        <v>994</v>
      </c>
      <c r="G414" s="1474"/>
      <c r="H414" s="1474">
        <v>0</v>
      </c>
      <c r="I414" s="1360">
        <f t="shared" si="31"/>
        <v>0</v>
      </c>
      <c r="J414" s="1475">
        <v>1204</v>
      </c>
      <c r="K414" s="1475">
        <f t="shared" si="27"/>
        <v>1204</v>
      </c>
      <c r="L414" s="1455">
        <f t="shared" si="28"/>
        <v>1.2100502512562814</v>
      </c>
      <c r="M414" s="2075"/>
    </row>
    <row r="415" spans="1:15" s="423" customFormat="1" ht="11.25" hidden="1" customHeight="1">
      <c r="A415" s="2046"/>
      <c r="B415" s="2156"/>
      <c r="C415" s="2165"/>
      <c r="D415" s="1398">
        <v>4487</v>
      </c>
      <c r="E415" s="1474"/>
      <c r="F415" s="1474"/>
      <c r="G415" s="1474"/>
      <c r="H415" s="1474">
        <f t="shared" si="29"/>
        <v>0</v>
      </c>
      <c r="I415" s="1360" t="e">
        <f t="shared" si="31"/>
        <v>#DIV/0!</v>
      </c>
      <c r="J415" s="1475"/>
      <c r="K415" s="1475">
        <f t="shared" si="27"/>
        <v>0</v>
      </c>
      <c r="L415" s="1455" t="e">
        <f t="shared" si="28"/>
        <v>#DIV/0!</v>
      </c>
      <c r="M415" s="2075"/>
    </row>
    <row r="416" spans="1:15" s="423" customFormat="1" ht="11.25" hidden="1" customHeight="1">
      <c r="A416" s="2046"/>
      <c r="B416" s="2156"/>
      <c r="C416" s="2165"/>
      <c r="D416" s="1398">
        <v>4489</v>
      </c>
      <c r="E416" s="1474"/>
      <c r="F416" s="1474"/>
      <c r="G416" s="1474"/>
      <c r="H416" s="1474">
        <f t="shared" si="29"/>
        <v>0</v>
      </c>
      <c r="I416" s="1360" t="e">
        <f t="shared" si="31"/>
        <v>#DIV/0!</v>
      </c>
      <c r="J416" s="1475"/>
      <c r="K416" s="1475">
        <f t="shared" si="27"/>
        <v>0</v>
      </c>
      <c r="L416" s="1455" t="e">
        <f t="shared" si="28"/>
        <v>#DIV/0!</v>
      </c>
      <c r="M416" s="2075"/>
    </row>
    <row r="417" spans="1:13" s="423" customFormat="1" ht="11.25" hidden="1" customHeight="1">
      <c r="A417" s="2046"/>
      <c r="B417" s="2156"/>
      <c r="C417" s="2165"/>
      <c r="D417" s="1398">
        <v>4527</v>
      </c>
      <c r="E417" s="1474"/>
      <c r="F417" s="1474"/>
      <c r="G417" s="1474"/>
      <c r="H417" s="1474">
        <f t="shared" si="29"/>
        <v>0</v>
      </c>
      <c r="I417" s="1360" t="e">
        <f t="shared" si="31"/>
        <v>#DIV/0!</v>
      </c>
      <c r="J417" s="1475"/>
      <c r="K417" s="1475">
        <f t="shared" si="27"/>
        <v>0</v>
      </c>
      <c r="L417" s="1455" t="e">
        <f t="shared" si="28"/>
        <v>#DIV/0!</v>
      </c>
      <c r="M417" s="2075"/>
    </row>
    <row r="418" spans="1:13" s="423" customFormat="1" ht="11.25" hidden="1" customHeight="1">
      <c r="A418" s="2046"/>
      <c r="B418" s="2156"/>
      <c r="C418" s="2165"/>
      <c r="D418" s="1398">
        <v>4529</v>
      </c>
      <c r="E418" s="1474"/>
      <c r="F418" s="1474"/>
      <c r="G418" s="1474"/>
      <c r="H418" s="1474">
        <f t="shared" si="29"/>
        <v>0</v>
      </c>
      <c r="I418" s="1360" t="e">
        <f t="shared" si="31"/>
        <v>#DIV/0!</v>
      </c>
      <c r="J418" s="1475"/>
      <c r="K418" s="1475">
        <f t="shared" si="27"/>
        <v>0</v>
      </c>
      <c r="L418" s="1455" t="e">
        <f t="shared" si="28"/>
        <v>#DIV/0!</v>
      </c>
      <c r="M418" s="2075"/>
    </row>
    <row r="419" spans="1:13" s="423" customFormat="1" ht="11.25" hidden="1" customHeight="1">
      <c r="A419" s="2046"/>
      <c r="B419" s="2156"/>
      <c r="C419" s="2165"/>
      <c r="D419" s="1398">
        <v>4569</v>
      </c>
      <c r="E419" s="1474">
        <v>0</v>
      </c>
      <c r="F419" s="1474">
        <v>0</v>
      </c>
      <c r="G419" s="1474"/>
      <c r="H419" s="1474">
        <v>0</v>
      </c>
      <c r="I419" s="1360" t="e">
        <f t="shared" si="31"/>
        <v>#DIV/0!</v>
      </c>
      <c r="J419" s="1475"/>
      <c r="K419" s="1475">
        <f t="shared" si="27"/>
        <v>0</v>
      </c>
      <c r="L419" s="1455" t="e">
        <f t="shared" si="28"/>
        <v>#DIV/0!</v>
      </c>
      <c r="M419" s="2075"/>
    </row>
    <row r="420" spans="1:13" s="423" customFormat="1" ht="11.25" hidden="1" customHeight="1">
      <c r="A420" s="2046"/>
      <c r="B420" s="2156"/>
      <c r="C420" s="2165"/>
      <c r="D420" s="1398">
        <v>4707</v>
      </c>
      <c r="E420" s="1474"/>
      <c r="F420" s="1474"/>
      <c r="G420" s="1474"/>
      <c r="H420" s="1474">
        <f t="shared" si="29"/>
        <v>0</v>
      </c>
      <c r="I420" s="1360" t="e">
        <f t="shared" si="31"/>
        <v>#DIV/0!</v>
      </c>
      <c r="J420" s="1475"/>
      <c r="K420" s="1475">
        <f t="shared" si="27"/>
        <v>0</v>
      </c>
      <c r="L420" s="1455" t="e">
        <f t="shared" si="28"/>
        <v>#DIV/0!</v>
      </c>
      <c r="M420" s="2075"/>
    </row>
    <row r="421" spans="1:13" s="423" customFormat="1" ht="11.25" hidden="1" customHeight="1">
      <c r="A421" s="2046"/>
      <c r="B421" s="2156"/>
      <c r="C421" s="2165"/>
      <c r="D421" s="1398">
        <v>4709</v>
      </c>
      <c r="E421" s="1474"/>
      <c r="F421" s="1474"/>
      <c r="G421" s="1474"/>
      <c r="H421" s="1474">
        <f t="shared" si="29"/>
        <v>0</v>
      </c>
      <c r="I421" s="1360" t="e">
        <f t="shared" si="31"/>
        <v>#DIV/0!</v>
      </c>
      <c r="J421" s="1475"/>
      <c r="K421" s="1475">
        <f t="shared" si="27"/>
        <v>0</v>
      </c>
      <c r="L421" s="1455" t="e">
        <f t="shared" si="28"/>
        <v>#DIV/0!</v>
      </c>
      <c r="M421" s="2075"/>
    </row>
    <row r="422" spans="1:13" s="423" customFormat="1" ht="11.25" customHeight="1">
      <c r="A422" s="2046"/>
      <c r="B422" s="2156"/>
      <c r="C422" s="2165"/>
      <c r="D422" s="1398">
        <v>4717</v>
      </c>
      <c r="E422" s="1474">
        <v>8270</v>
      </c>
      <c r="F422" s="1474">
        <v>8258</v>
      </c>
      <c r="G422" s="1474"/>
      <c r="H422" s="1474">
        <v>638</v>
      </c>
      <c r="I422" s="1360">
        <f t="shared" si="31"/>
        <v>7.7146311970979445E-2</v>
      </c>
      <c r="J422" s="1475">
        <v>3346</v>
      </c>
      <c r="K422" s="1475">
        <f t="shared" si="27"/>
        <v>3984</v>
      </c>
      <c r="L422" s="1455">
        <f t="shared" si="28"/>
        <v>0.48174123337363967</v>
      </c>
      <c r="M422" s="2075"/>
    </row>
    <row r="423" spans="1:13" s="423" customFormat="1" ht="11.25" customHeight="1">
      <c r="A423" s="2046"/>
      <c r="B423" s="2156"/>
      <c r="C423" s="2165"/>
      <c r="D423" s="1398">
        <v>4719</v>
      </c>
      <c r="E423" s="1474">
        <v>1561</v>
      </c>
      <c r="F423" s="1474">
        <v>1610</v>
      </c>
      <c r="G423" s="1474"/>
      <c r="H423" s="1474">
        <v>0</v>
      </c>
      <c r="I423" s="1360">
        <f t="shared" si="31"/>
        <v>0</v>
      </c>
      <c r="J423" s="1475">
        <v>624</v>
      </c>
      <c r="K423" s="1475">
        <f t="shared" si="27"/>
        <v>624</v>
      </c>
      <c r="L423" s="1455">
        <f t="shared" si="28"/>
        <v>0.39974375400384371</v>
      </c>
      <c r="M423" s="2075"/>
    </row>
    <row r="424" spans="1:13" s="423" customFormat="1" ht="14.1" customHeight="1">
      <c r="A424" s="2046"/>
      <c r="B424" s="2156"/>
      <c r="C424" s="1422" t="s">
        <v>26</v>
      </c>
      <c r="D424" s="1398"/>
      <c r="E424" s="1423"/>
      <c r="F424" s="1423"/>
      <c r="G424" s="1423"/>
      <c r="H424" s="1423"/>
      <c r="I424" s="1352"/>
      <c r="J424" s="1425"/>
      <c r="K424" s="1425"/>
      <c r="L424" s="1426"/>
      <c r="M424" s="2075"/>
    </row>
    <row r="425" spans="1:13" s="423" customFormat="1" ht="14.1" customHeight="1">
      <c r="A425" s="2046"/>
      <c r="B425" s="2156"/>
      <c r="C425" s="1422" t="s">
        <v>27</v>
      </c>
      <c r="D425" s="1391"/>
      <c r="E425" s="1423"/>
      <c r="F425" s="1423"/>
      <c r="G425" s="1423"/>
      <c r="H425" s="1423"/>
      <c r="I425" s="1352"/>
      <c r="J425" s="1425"/>
      <c r="K425" s="1425"/>
      <c r="L425" s="1426"/>
      <c r="M425" s="2075"/>
    </row>
    <row r="426" spans="1:13" s="423" customFormat="1" ht="13.5" customHeight="1">
      <c r="A426" s="2046"/>
      <c r="B426" s="2156"/>
      <c r="C426" s="1308" t="s">
        <v>28</v>
      </c>
      <c r="D426" s="1391"/>
      <c r="E426" s="1313">
        <f>SUM(E427,E437,E438)</f>
        <v>0</v>
      </c>
      <c r="F426" s="1313">
        <f>SUM(F427,F437,F438)</f>
        <v>0</v>
      </c>
      <c r="G426" s="1313"/>
      <c r="H426" s="1313">
        <f>SUM(H427,H437,H438)</f>
        <v>0</v>
      </c>
      <c r="I426" s="1352"/>
      <c r="J426" s="1310"/>
      <c r="K426" s="1310">
        <f>SUM(K427,K437,K438)</f>
        <v>0</v>
      </c>
      <c r="L426" s="1421"/>
      <c r="M426" s="2075"/>
    </row>
    <row r="427" spans="1:13" s="423" customFormat="1" ht="12.75" hidden="1" customHeight="1">
      <c r="A427" s="2046"/>
      <c r="B427" s="2156"/>
      <c r="C427" s="2013" t="s">
        <v>29</v>
      </c>
      <c r="D427" s="1391"/>
      <c r="E427" s="1423"/>
      <c r="F427" s="1423"/>
      <c r="G427" s="1423"/>
      <c r="H427" s="1423"/>
      <c r="I427" s="1352"/>
      <c r="J427" s="1425"/>
      <c r="K427" s="1425"/>
      <c r="L427" s="1426"/>
      <c r="M427" s="2075"/>
    </row>
    <row r="428" spans="1:13" s="423" customFormat="1" ht="14.1" hidden="1" customHeight="1">
      <c r="A428" s="2046"/>
      <c r="B428" s="2156"/>
      <c r="C428" s="2013"/>
      <c r="D428" s="1399">
        <v>6207</v>
      </c>
      <c r="E428" s="1474"/>
      <c r="F428" s="1474"/>
      <c r="G428" s="1474"/>
      <c r="H428" s="1474">
        <f>E428+G428</f>
        <v>0</v>
      </c>
      <c r="I428" s="1360"/>
      <c r="J428" s="1475"/>
      <c r="K428" s="1475">
        <f>H428+J428</f>
        <v>0</v>
      </c>
      <c r="L428" s="1488"/>
      <c r="M428" s="2075"/>
    </row>
    <row r="429" spans="1:13" s="423" customFormat="1" ht="14.1" hidden="1" customHeight="1">
      <c r="A429" s="2046"/>
      <c r="B429" s="2156"/>
      <c r="C429" s="2013"/>
      <c r="D429" s="1399">
        <v>6209</v>
      </c>
      <c r="E429" s="1474"/>
      <c r="F429" s="1474"/>
      <c r="G429" s="1474"/>
      <c r="H429" s="1474">
        <f>E429+G429</f>
        <v>0</v>
      </c>
      <c r="I429" s="1360"/>
      <c r="J429" s="1475"/>
      <c r="K429" s="1475">
        <f>H429+J429</f>
        <v>0</v>
      </c>
      <c r="L429" s="1488"/>
      <c r="M429" s="2075"/>
    </row>
    <row r="430" spans="1:13" s="423" customFormat="1" ht="14.1" customHeight="1">
      <c r="A430" s="2046"/>
      <c r="B430" s="2156"/>
      <c r="C430" s="2013"/>
      <c r="D430" s="1399"/>
      <c r="E430" s="1474"/>
      <c r="F430" s="1474"/>
      <c r="G430" s="1474"/>
      <c r="H430" s="1474">
        <f>E430+G430</f>
        <v>0</v>
      </c>
      <c r="I430" s="1360"/>
      <c r="J430" s="1475"/>
      <c r="K430" s="1475"/>
      <c r="L430" s="1488"/>
      <c r="M430" s="2075"/>
    </row>
    <row r="431" spans="1:13" s="423" customFormat="1" ht="14.1" hidden="1" customHeight="1">
      <c r="A431" s="2046"/>
      <c r="B431" s="2156"/>
      <c r="C431" s="2013"/>
      <c r="D431" s="1399">
        <v>6259</v>
      </c>
      <c r="E431" s="1474"/>
      <c r="F431" s="1474"/>
      <c r="G431" s="1474"/>
      <c r="H431" s="1474">
        <f>E431+G431</f>
        <v>0</v>
      </c>
      <c r="I431" s="1360"/>
      <c r="J431" s="1475"/>
      <c r="K431" s="1475">
        <f>H431+J431</f>
        <v>0</v>
      </c>
      <c r="L431" s="1488"/>
      <c r="M431" s="2075"/>
    </row>
    <row r="432" spans="1:13" s="423" customFormat="1" ht="22.5" customHeight="1">
      <c r="A432" s="2046"/>
      <c r="B432" s="2156"/>
      <c r="C432" s="2014" t="s">
        <v>89</v>
      </c>
      <c r="D432" s="1391"/>
      <c r="E432" s="1423"/>
      <c r="F432" s="1423"/>
      <c r="G432" s="1423">
        <f>SUM(G433:G436)</f>
        <v>0</v>
      </c>
      <c r="H432" s="1423"/>
      <c r="I432" s="1352"/>
      <c r="J432" s="1425"/>
      <c r="K432" s="1425"/>
      <c r="L432" s="1426"/>
      <c r="M432" s="2075"/>
    </row>
    <row r="433" spans="1:21" s="423" customFormat="1" ht="11.25" hidden="1" customHeight="1">
      <c r="A433" s="2046"/>
      <c r="B433" s="2156"/>
      <c r="C433" s="2014"/>
      <c r="D433" s="1399">
        <v>6207</v>
      </c>
      <c r="E433" s="1474"/>
      <c r="F433" s="1474"/>
      <c r="G433" s="1474"/>
      <c r="H433" s="1474">
        <f>E433+G433</f>
        <v>0</v>
      </c>
      <c r="I433" s="1360"/>
      <c r="J433" s="1475"/>
      <c r="K433" s="1475">
        <f>H433+J433</f>
        <v>0</v>
      </c>
      <c r="L433" s="1488"/>
      <c r="M433" s="2075"/>
    </row>
    <row r="434" spans="1:21" s="423" customFormat="1" ht="11.25" hidden="1" customHeight="1">
      <c r="A434" s="2046"/>
      <c r="B434" s="2156"/>
      <c r="C434" s="2014"/>
      <c r="D434" s="1399">
        <v>6209</v>
      </c>
      <c r="E434" s="1474"/>
      <c r="F434" s="1474"/>
      <c r="G434" s="1474"/>
      <c r="H434" s="1474">
        <f>E434+G434</f>
        <v>0</v>
      </c>
      <c r="I434" s="1360"/>
      <c r="J434" s="1475"/>
      <c r="K434" s="1475">
        <f>H434+J434</f>
        <v>0</v>
      </c>
      <c r="L434" s="1488"/>
      <c r="M434" s="2075"/>
    </row>
    <row r="435" spans="1:21" s="423" customFormat="1" ht="11.25" hidden="1" customHeight="1">
      <c r="A435" s="2046"/>
      <c r="B435" s="2156"/>
      <c r="C435" s="2014"/>
      <c r="D435" s="1399">
        <v>6257</v>
      </c>
      <c r="E435" s="1474"/>
      <c r="F435" s="1474"/>
      <c r="G435" s="1474"/>
      <c r="H435" s="1474">
        <f>E435+G435</f>
        <v>0</v>
      </c>
      <c r="I435" s="1360"/>
      <c r="J435" s="1475"/>
      <c r="K435" s="1475">
        <f>H435+J435</f>
        <v>0</v>
      </c>
      <c r="L435" s="1488"/>
      <c r="M435" s="2075"/>
    </row>
    <row r="436" spans="1:21" s="423" customFormat="1" ht="11.25" hidden="1" customHeight="1">
      <c r="A436" s="2046"/>
      <c r="B436" s="2156"/>
      <c r="C436" s="2014"/>
      <c r="D436" s="1399">
        <v>6259</v>
      </c>
      <c r="E436" s="1474"/>
      <c r="F436" s="1474"/>
      <c r="G436" s="1474"/>
      <c r="H436" s="1474">
        <f>E436+G436</f>
        <v>0</v>
      </c>
      <c r="I436" s="1360"/>
      <c r="J436" s="1475"/>
      <c r="K436" s="1475">
        <f>H436+J436</f>
        <v>0</v>
      </c>
      <c r="L436" s="1488"/>
      <c r="M436" s="2075"/>
    </row>
    <row r="437" spans="1:21" s="423" customFormat="1" ht="14.1" customHeight="1">
      <c r="A437" s="2046"/>
      <c r="B437" s="2156"/>
      <c r="C437" s="1422" t="s">
        <v>31</v>
      </c>
      <c r="D437" s="1396"/>
      <c r="E437" s="1423"/>
      <c r="F437" s="1423"/>
      <c r="G437" s="1423"/>
      <c r="H437" s="1423"/>
      <c r="I437" s="1352"/>
      <c r="J437" s="1425"/>
      <c r="K437" s="1425"/>
      <c r="L437" s="1426"/>
      <c r="M437" s="2075"/>
    </row>
    <row r="438" spans="1:21" s="423" customFormat="1" ht="14.1" customHeight="1" thickBot="1">
      <c r="A438" s="2047"/>
      <c r="B438" s="2157"/>
      <c r="C438" s="1039" t="s">
        <v>32</v>
      </c>
      <c r="D438" s="1618"/>
      <c r="E438" s="1634"/>
      <c r="F438" s="1634"/>
      <c r="G438" s="1634"/>
      <c r="H438" s="1634"/>
      <c r="I438" s="1178"/>
      <c r="J438" s="1637"/>
      <c r="K438" s="1637"/>
      <c r="L438" s="1638"/>
      <c r="M438" s="2076"/>
    </row>
    <row r="439" spans="1:21" s="423" customFormat="1" ht="14.1" customHeight="1">
      <c r="A439" s="438" t="s">
        <v>138</v>
      </c>
      <c r="B439" s="1691"/>
      <c r="C439" s="1647" t="s">
        <v>457</v>
      </c>
      <c r="D439" s="1627"/>
      <c r="E439" s="1692">
        <f>SUM(E440,E458)</f>
        <v>3012602</v>
      </c>
      <c r="F439" s="1692">
        <f>SUM(F440,F458)</f>
        <v>3314615</v>
      </c>
      <c r="G439" s="1692"/>
      <c r="H439" s="1692">
        <f>SUM(H440,H458)</f>
        <v>3257230</v>
      </c>
      <c r="I439" s="1210">
        <f>H439/E439</f>
        <v>1.0812015659552772</v>
      </c>
      <c r="J439" s="1693">
        <f>SUM(J440,J458)</f>
        <v>155323</v>
      </c>
      <c r="K439" s="1693">
        <f>SUM(K440,K458)</f>
        <v>3412553</v>
      </c>
      <c r="L439" s="1631">
        <f>K439/E439</f>
        <v>1.1327593223399572</v>
      </c>
      <c r="M439" s="1694"/>
    </row>
    <row r="440" spans="1:21" s="423" customFormat="1" ht="30" customHeight="1">
      <c r="A440" s="2042"/>
      <c r="B440" s="2151">
        <v>85311</v>
      </c>
      <c r="C440" s="1468" t="s">
        <v>458</v>
      </c>
      <c r="D440" s="1509"/>
      <c r="E440" s="1463">
        <f>SUM(E441,E453)</f>
        <v>2961118</v>
      </c>
      <c r="F440" s="1463">
        <f>SUM(F441,F453)</f>
        <v>3244960</v>
      </c>
      <c r="G440" s="1463"/>
      <c r="H440" s="1463">
        <f>SUM(H441,H453)</f>
        <v>3257230</v>
      </c>
      <c r="I440" s="1357">
        <f>H440/E440</f>
        <v>1.1000000675420567</v>
      </c>
      <c r="J440" s="1464">
        <f>SUM(J441,J453)</f>
        <v>155323</v>
      </c>
      <c r="K440" s="1464">
        <f>SUM(K441,K453)</f>
        <v>3412553</v>
      </c>
      <c r="L440" s="1450">
        <f>K440/E440</f>
        <v>1.1524542419451032</v>
      </c>
      <c r="M440" s="2160" t="s">
        <v>459</v>
      </c>
      <c r="O440" s="638"/>
      <c r="P440" s="638"/>
      <c r="Q440" s="638"/>
      <c r="R440" s="638"/>
      <c r="S440" s="638"/>
      <c r="T440" s="638"/>
      <c r="U440" s="638"/>
    </row>
    <row r="441" spans="1:21" s="423" customFormat="1" ht="20.25" customHeight="1">
      <c r="A441" s="2042"/>
      <c r="B441" s="2151"/>
      <c r="C441" s="1418" t="s">
        <v>18</v>
      </c>
      <c r="D441" s="1469"/>
      <c r="E441" s="1313">
        <f>SUM(E442,E445,E449,E450,E451,E452)</f>
        <v>2961118</v>
      </c>
      <c r="F441" s="1313">
        <f>SUM(F442,F445,F449,F450,F451,F452)</f>
        <v>3244960</v>
      </c>
      <c r="G441" s="1313"/>
      <c r="H441" s="1313">
        <f>SUM(H442,H445,H449,H450,H451,H452)</f>
        <v>3257230</v>
      </c>
      <c r="I441" s="1358">
        <f>H441/E441</f>
        <v>1.1000000675420567</v>
      </c>
      <c r="J441" s="1310">
        <f>SUM(J442,J445,J449,J450,J451,J452)</f>
        <v>155323</v>
      </c>
      <c r="K441" s="1310">
        <f>J441+H441</f>
        <v>3412553</v>
      </c>
      <c r="L441" s="1455">
        <f t="shared" ref="L441" si="32">K441/E441</f>
        <v>1.1524542419451032</v>
      </c>
      <c r="M441" s="2160"/>
      <c r="O441" s="638"/>
      <c r="P441" s="638"/>
      <c r="Q441" s="638"/>
      <c r="R441" s="638"/>
      <c r="S441" s="638"/>
      <c r="T441" s="638"/>
      <c r="U441" s="638"/>
    </row>
    <row r="442" spans="1:21" s="423" customFormat="1" ht="14.1" customHeight="1">
      <c r="A442" s="2042"/>
      <c r="B442" s="2151"/>
      <c r="C442" s="1422" t="s">
        <v>19</v>
      </c>
      <c r="D442" s="1386"/>
      <c r="E442" s="1423"/>
      <c r="F442" s="1423"/>
      <c r="G442" s="1423"/>
      <c r="H442" s="1423"/>
      <c r="I442" s="1424"/>
      <c r="J442" s="1425"/>
      <c r="K442" s="1425"/>
      <c r="L442" s="1426"/>
      <c r="M442" s="2160"/>
      <c r="O442" s="638"/>
      <c r="P442" s="638"/>
      <c r="Q442" s="638"/>
      <c r="R442" s="638"/>
      <c r="S442" s="638"/>
      <c r="T442" s="638"/>
      <c r="U442" s="638"/>
    </row>
    <row r="443" spans="1:21" s="423" customFormat="1" ht="15.75" customHeight="1">
      <c r="A443" s="2042"/>
      <c r="B443" s="2151"/>
      <c r="C443" s="1422" t="s">
        <v>20</v>
      </c>
      <c r="D443" s="1391"/>
      <c r="E443" s="1423"/>
      <c r="F443" s="1423"/>
      <c r="G443" s="1423"/>
      <c r="H443" s="1423"/>
      <c r="I443" s="1358"/>
      <c r="J443" s="1425"/>
      <c r="K443" s="1425"/>
      <c r="L443" s="1426"/>
      <c r="M443" s="2160"/>
      <c r="O443" s="638"/>
      <c r="P443" s="638"/>
      <c r="Q443" s="638"/>
      <c r="R443" s="638"/>
      <c r="S443" s="638"/>
      <c r="T443" s="638"/>
      <c r="U443" s="638"/>
    </row>
    <row r="444" spans="1:21" s="423" customFormat="1" ht="24" customHeight="1">
      <c r="A444" s="2042"/>
      <c r="B444" s="2151"/>
      <c r="C444" s="1428" t="s">
        <v>369</v>
      </c>
      <c r="D444" s="1391"/>
      <c r="E444" s="1423"/>
      <c r="F444" s="1423"/>
      <c r="G444" s="1423"/>
      <c r="H444" s="1423"/>
      <c r="I444" s="1358"/>
      <c r="J444" s="1425"/>
      <c r="K444" s="1425"/>
      <c r="L444" s="1426"/>
      <c r="M444" s="2160"/>
      <c r="N444" s="775"/>
      <c r="O444" s="638"/>
      <c r="P444" s="638"/>
      <c r="Q444" s="638"/>
      <c r="R444" s="638"/>
      <c r="S444" s="638"/>
      <c r="T444" s="638"/>
      <c r="U444" s="638"/>
    </row>
    <row r="445" spans="1:21" s="423" customFormat="1" ht="21.75" customHeight="1">
      <c r="A445" s="2042"/>
      <c r="B445" s="2151"/>
      <c r="C445" s="2013" t="s">
        <v>23</v>
      </c>
      <c r="D445" s="1391" t="s">
        <v>366</v>
      </c>
      <c r="E445" s="1423">
        <f>SUM(E446:E448)</f>
        <v>2961118</v>
      </c>
      <c r="F445" s="1423">
        <f>SUM(F446:F448)</f>
        <v>3244960</v>
      </c>
      <c r="G445" s="1423">
        <f>SUM(G446:G448)</f>
        <v>0</v>
      </c>
      <c r="H445" s="1423">
        <f>SUM(H446:H448)</f>
        <v>3257230</v>
      </c>
      <c r="I445" s="1352">
        <f>H445/E445</f>
        <v>1.1000000675420567</v>
      </c>
      <c r="J445" s="1425">
        <f>SUM(J446:J448)</f>
        <v>155323</v>
      </c>
      <c r="K445" s="1425">
        <f>SUM(K446:K448)</f>
        <v>3412553</v>
      </c>
      <c r="L445" s="1455">
        <f t="shared" ref="L445:L448" si="33">K445/E445</f>
        <v>1.1524542419451032</v>
      </c>
      <c r="M445" s="2160"/>
      <c r="N445" s="775"/>
      <c r="O445" s="638"/>
      <c r="P445" s="638"/>
      <c r="Q445" s="638"/>
      <c r="R445" s="638"/>
      <c r="S445" s="638"/>
      <c r="T445" s="638"/>
      <c r="U445" s="638"/>
    </row>
    <row r="446" spans="1:21" s="423" customFormat="1" ht="14.1" customHeight="1">
      <c r="A446" s="2042"/>
      <c r="B446" s="2151"/>
      <c r="C446" s="2013"/>
      <c r="D446" s="1399">
        <v>2360</v>
      </c>
      <c r="E446" s="1474">
        <v>800000</v>
      </c>
      <c r="F446" s="1474">
        <v>800000</v>
      </c>
      <c r="G446" s="1474"/>
      <c r="H446" s="1423">
        <v>880000</v>
      </c>
      <c r="I446" s="1360">
        <f>H446/E446</f>
        <v>1.1000000000000001</v>
      </c>
      <c r="J446" s="1475">
        <v>0</v>
      </c>
      <c r="K446" s="1475">
        <f>J446+H446</f>
        <v>880000</v>
      </c>
      <c r="L446" s="1455">
        <f t="shared" si="33"/>
        <v>1.1000000000000001</v>
      </c>
      <c r="M446" s="2160"/>
      <c r="N446" s="775"/>
      <c r="O446" s="638"/>
      <c r="P446" s="638"/>
      <c r="Q446" s="638"/>
      <c r="R446" s="638"/>
      <c r="S446" s="638"/>
      <c r="T446" s="638"/>
      <c r="U446" s="638"/>
    </row>
    <row r="447" spans="1:21" s="423" customFormat="1" ht="14.1" customHeight="1">
      <c r="A447" s="2042"/>
      <c r="B447" s="2151"/>
      <c r="C447" s="2013"/>
      <c r="D447" s="1399">
        <v>2570</v>
      </c>
      <c r="E447" s="1474">
        <v>111112</v>
      </c>
      <c r="F447" s="1474">
        <v>122223</v>
      </c>
      <c r="G447" s="1474"/>
      <c r="H447" s="1423">
        <v>130985</v>
      </c>
      <c r="I447" s="1360">
        <f>H447/E447</f>
        <v>1.1788555691554468</v>
      </c>
      <c r="J447" s="1475">
        <v>9062</v>
      </c>
      <c r="K447" s="1475">
        <f>J447+H447</f>
        <v>140047</v>
      </c>
      <c r="L447" s="1455">
        <f t="shared" si="33"/>
        <v>1.2604129166966664</v>
      </c>
      <c r="M447" s="2160"/>
      <c r="N447" s="775"/>
      <c r="O447" s="638"/>
      <c r="P447" s="638"/>
      <c r="Q447" s="638"/>
      <c r="R447" s="638"/>
      <c r="S447" s="638"/>
      <c r="T447" s="638"/>
      <c r="U447" s="638"/>
    </row>
    <row r="448" spans="1:21" s="423" customFormat="1" ht="14.1" customHeight="1">
      <c r="A448" s="2042"/>
      <c r="B448" s="2151"/>
      <c r="C448" s="2013"/>
      <c r="D448" s="1399">
        <v>2580</v>
      </c>
      <c r="E448" s="1474">
        <v>2050006</v>
      </c>
      <c r="F448" s="1474">
        <v>2322737</v>
      </c>
      <c r="G448" s="1474"/>
      <c r="H448" s="1423">
        <v>2246245</v>
      </c>
      <c r="I448" s="1360">
        <f>H448/E448</f>
        <v>1.0957260612895767</v>
      </c>
      <c r="J448" s="1475">
        <v>146261</v>
      </c>
      <c r="K448" s="1475">
        <f>J448+H448</f>
        <v>2392506</v>
      </c>
      <c r="L448" s="1455">
        <f t="shared" si="33"/>
        <v>1.1670726817384924</v>
      </c>
      <c r="M448" s="2160"/>
      <c r="N448" s="775"/>
      <c r="O448" s="638"/>
      <c r="P448" s="638"/>
      <c r="Q448" s="638"/>
      <c r="R448" s="638"/>
      <c r="S448" s="638"/>
      <c r="T448" s="638"/>
      <c r="U448" s="638"/>
    </row>
    <row r="449" spans="1:21" s="423" customFormat="1" ht="14.1" customHeight="1">
      <c r="A449" s="2042"/>
      <c r="B449" s="2151"/>
      <c r="C449" s="1422" t="s">
        <v>24</v>
      </c>
      <c r="D449" s="1399"/>
      <c r="E449" s="1423"/>
      <c r="F449" s="1423"/>
      <c r="G449" s="1423"/>
      <c r="H449" s="1423"/>
      <c r="I449" s="1352"/>
      <c r="J449" s="1425"/>
      <c r="K449" s="1425"/>
      <c r="L449" s="1426"/>
      <c r="M449" s="2160"/>
      <c r="N449" s="775"/>
      <c r="O449" s="638"/>
      <c r="P449" s="638"/>
      <c r="Q449" s="638"/>
      <c r="R449" s="638"/>
      <c r="S449" s="638"/>
      <c r="T449" s="638"/>
      <c r="U449" s="638"/>
    </row>
    <row r="450" spans="1:21" s="423" customFormat="1" ht="25.5" customHeight="1">
      <c r="A450" s="2042"/>
      <c r="B450" s="2151"/>
      <c r="C450" s="1428" t="s">
        <v>35</v>
      </c>
      <c r="D450" s="1391"/>
      <c r="E450" s="1423"/>
      <c r="F450" s="1423"/>
      <c r="G450" s="1423"/>
      <c r="H450" s="1423"/>
      <c r="I450" s="1352"/>
      <c r="J450" s="1425"/>
      <c r="K450" s="1425"/>
      <c r="L450" s="1426"/>
      <c r="M450" s="2160"/>
      <c r="N450" s="775"/>
      <c r="O450" s="638"/>
      <c r="P450" s="638"/>
      <c r="Q450" s="638"/>
      <c r="R450" s="638"/>
      <c r="S450" s="638"/>
      <c r="T450" s="638"/>
      <c r="U450" s="638"/>
    </row>
    <row r="451" spans="1:21" s="423" customFormat="1" ht="14.1" customHeight="1">
      <c r="A451" s="2042"/>
      <c r="B451" s="2151"/>
      <c r="C451" s="1422" t="s">
        <v>26</v>
      </c>
      <c r="D451" s="1396"/>
      <c r="E451" s="1423"/>
      <c r="F451" s="1423"/>
      <c r="G451" s="1423"/>
      <c r="H451" s="1423"/>
      <c r="I451" s="1352"/>
      <c r="J451" s="1425"/>
      <c r="K451" s="1425"/>
      <c r="L451" s="1426"/>
      <c r="M451" s="2160"/>
      <c r="N451" s="775"/>
      <c r="O451" s="638"/>
      <c r="P451" s="638"/>
      <c r="Q451" s="638"/>
      <c r="R451" s="638"/>
      <c r="S451" s="638"/>
      <c r="T451" s="638"/>
      <c r="U451" s="638"/>
    </row>
    <row r="452" spans="1:21" s="423" customFormat="1" ht="15.75" customHeight="1">
      <c r="A452" s="2042"/>
      <c r="B452" s="2151"/>
      <c r="C452" s="1422" t="s">
        <v>27</v>
      </c>
      <c r="D452" s="1391"/>
      <c r="E452" s="1423"/>
      <c r="F452" s="1423"/>
      <c r="G452" s="1423"/>
      <c r="H452" s="1423"/>
      <c r="I452" s="1352"/>
      <c r="J452" s="1425"/>
      <c r="K452" s="1425"/>
      <c r="L452" s="1426"/>
      <c r="M452" s="2160"/>
      <c r="N452" s="775"/>
      <c r="O452" s="638"/>
      <c r="P452" s="638"/>
      <c r="Q452" s="638"/>
      <c r="R452" s="638"/>
      <c r="S452" s="638"/>
      <c r="T452" s="638"/>
      <c r="U452" s="638"/>
    </row>
    <row r="453" spans="1:21" s="423" customFormat="1" ht="14.25" customHeight="1">
      <c r="A453" s="2042"/>
      <c r="B453" s="2151"/>
      <c r="C453" s="1308" t="s">
        <v>28</v>
      </c>
      <c r="D453" s="1391"/>
      <c r="E453" s="1313">
        <f>SUM(E454,E456,E457)</f>
        <v>0</v>
      </c>
      <c r="F453" s="1313">
        <f>SUM(F454,F456,F457)</f>
        <v>0</v>
      </c>
      <c r="G453" s="1313"/>
      <c r="H453" s="1313">
        <f>SUM(H454,H456,H457)</f>
        <v>0</v>
      </c>
      <c r="I453" s="1420"/>
      <c r="J453" s="1310"/>
      <c r="K453" s="1310">
        <f>SUM(K454,K456,K457)</f>
        <v>0</v>
      </c>
      <c r="L453" s="1421"/>
      <c r="M453" s="2160"/>
      <c r="N453" s="775"/>
      <c r="O453" s="638"/>
      <c r="P453" s="638"/>
      <c r="Q453" s="638"/>
      <c r="R453" s="638"/>
      <c r="S453" s="638"/>
      <c r="T453" s="638"/>
      <c r="U453" s="638"/>
    </row>
    <row r="454" spans="1:21" s="423" customFormat="1" ht="14.1" customHeight="1">
      <c r="A454" s="2042"/>
      <c r="B454" s="2151"/>
      <c r="C454" s="1422" t="s">
        <v>29</v>
      </c>
      <c r="D454" s="1391"/>
      <c r="E454" s="1423"/>
      <c r="F454" s="1423"/>
      <c r="G454" s="1423"/>
      <c r="H454" s="1423"/>
      <c r="I454" s="1352"/>
      <c r="J454" s="1425"/>
      <c r="K454" s="1425"/>
      <c r="L454" s="1426"/>
      <c r="M454" s="2160"/>
      <c r="N454" s="775"/>
      <c r="O454" s="638"/>
      <c r="P454" s="638"/>
      <c r="Q454" s="638"/>
      <c r="R454" s="638"/>
      <c r="S454" s="638"/>
      <c r="T454" s="638"/>
      <c r="U454" s="638"/>
    </row>
    <row r="455" spans="1:21" s="423" customFormat="1" ht="47.25" customHeight="1">
      <c r="A455" s="2042"/>
      <c r="B455" s="2151"/>
      <c r="C455" s="1428" t="s">
        <v>89</v>
      </c>
      <c r="D455" s="1391"/>
      <c r="E455" s="1423"/>
      <c r="F455" s="1423"/>
      <c r="G455" s="1423"/>
      <c r="H455" s="1423"/>
      <c r="I455" s="1352"/>
      <c r="J455" s="1425"/>
      <c r="K455" s="1425"/>
      <c r="L455" s="1426"/>
      <c r="M455" s="2160"/>
      <c r="N455" s="775"/>
      <c r="O455" s="638"/>
      <c r="P455" s="638"/>
      <c r="Q455" s="638"/>
      <c r="R455" s="638"/>
      <c r="S455" s="638"/>
      <c r="T455" s="638"/>
      <c r="U455" s="638"/>
    </row>
    <row r="456" spans="1:21" s="423" customFormat="1" ht="14.25" customHeight="1">
      <c r="A456" s="2042"/>
      <c r="B456" s="2151"/>
      <c r="C456" s="1422" t="s">
        <v>31</v>
      </c>
      <c r="D456" s="1396"/>
      <c r="E456" s="1423"/>
      <c r="F456" s="1423"/>
      <c r="G456" s="1423"/>
      <c r="H456" s="1423"/>
      <c r="I456" s="1352"/>
      <c r="J456" s="1425"/>
      <c r="K456" s="1425"/>
      <c r="L456" s="1426"/>
      <c r="M456" s="2160"/>
      <c r="N456" s="775"/>
    </row>
    <row r="457" spans="1:21" s="423" customFormat="1" ht="24" customHeight="1">
      <c r="A457" s="2042"/>
      <c r="B457" s="2151"/>
      <c r="C457" s="1422" t="s">
        <v>32</v>
      </c>
      <c r="D457" s="1391"/>
      <c r="E457" s="1423"/>
      <c r="F457" s="1423"/>
      <c r="G457" s="1423"/>
      <c r="H457" s="1423"/>
      <c r="I457" s="1352"/>
      <c r="J457" s="1425"/>
      <c r="K457" s="1425"/>
      <c r="L457" s="1426"/>
      <c r="M457" s="2160"/>
      <c r="N457" s="775"/>
    </row>
    <row r="458" spans="1:21" s="423" customFormat="1" ht="13.5" customHeight="1">
      <c r="A458" s="2042"/>
      <c r="B458" s="2155">
        <v>85395</v>
      </c>
      <c r="C458" s="1466" t="s">
        <v>17</v>
      </c>
      <c r="D458" s="1462"/>
      <c r="E458" s="1463">
        <f>SUM(E459,E484)</f>
        <v>51484</v>
      </c>
      <c r="F458" s="1463">
        <f>SUM(F459,F484)</f>
        <v>69655</v>
      </c>
      <c r="G458" s="1463"/>
      <c r="H458" s="1463">
        <f>SUM(H459,H484)</f>
        <v>0</v>
      </c>
      <c r="I458" s="1357">
        <f>H458/E458</f>
        <v>0</v>
      </c>
      <c r="J458" s="1464">
        <f>SUM(J459,J484)</f>
        <v>0</v>
      </c>
      <c r="K458" s="1464">
        <f>SUM(K459,K484)</f>
        <v>0</v>
      </c>
      <c r="L458" s="1465"/>
      <c r="M458" s="2161"/>
      <c r="N458" s="775"/>
    </row>
    <row r="459" spans="1:21" s="423" customFormat="1" ht="14.1" customHeight="1">
      <c r="A459" s="2042"/>
      <c r="B459" s="2156"/>
      <c r="C459" s="1418" t="s">
        <v>18</v>
      </c>
      <c r="D459" s="1611"/>
      <c r="E459" s="1313">
        <f>SUM(E460,E463,E464,E465,E482,E483)</f>
        <v>51484</v>
      </c>
      <c r="F459" s="1313">
        <f>SUM(F460,F463,F464,F465,F482,F483)</f>
        <v>69655</v>
      </c>
      <c r="G459" s="1313"/>
      <c r="H459" s="1313">
        <f>H460+H463+H464+H465</f>
        <v>0</v>
      </c>
      <c r="I459" s="1358">
        <f>H459/E459</f>
        <v>0</v>
      </c>
      <c r="J459" s="1310">
        <f>SUM(J460,J463,J464,J465,J482,J483)</f>
        <v>0</v>
      </c>
      <c r="K459" s="1310">
        <f>K460+K463+K464+K465</f>
        <v>0</v>
      </c>
      <c r="L459" s="1421"/>
      <c r="M459" s="2073"/>
      <c r="N459" s="775"/>
    </row>
    <row r="460" spans="1:21" s="423" customFormat="1" ht="14.1" customHeight="1">
      <c r="A460" s="2042"/>
      <c r="B460" s="2156"/>
      <c r="C460" s="1422" t="s">
        <v>19</v>
      </c>
      <c r="D460" s="1386"/>
      <c r="E460" s="1423"/>
      <c r="F460" s="1423"/>
      <c r="G460" s="1423"/>
      <c r="H460" s="1423"/>
      <c r="I460" s="1358"/>
      <c r="J460" s="1425"/>
      <c r="K460" s="1425"/>
      <c r="L460" s="1426"/>
      <c r="M460" s="2073"/>
      <c r="N460" s="775"/>
    </row>
    <row r="461" spans="1:21" s="423" customFormat="1" ht="14.1" customHeight="1">
      <c r="A461" s="2042"/>
      <c r="B461" s="2156"/>
      <c r="C461" s="1422" t="s">
        <v>20</v>
      </c>
      <c r="D461" s="1391"/>
      <c r="E461" s="1423"/>
      <c r="F461" s="1423"/>
      <c r="G461" s="1423"/>
      <c r="H461" s="1423"/>
      <c r="I461" s="1358"/>
      <c r="J461" s="1425"/>
      <c r="K461" s="1425"/>
      <c r="L461" s="1426"/>
      <c r="M461" s="2073"/>
      <c r="N461" s="775"/>
    </row>
    <row r="462" spans="1:21" s="423" customFormat="1" ht="21.75" customHeight="1">
      <c r="A462" s="2042"/>
      <c r="B462" s="2156"/>
      <c r="C462" s="1428" t="s">
        <v>369</v>
      </c>
      <c r="D462" s="1391"/>
      <c r="E462" s="1423"/>
      <c r="F462" s="1423"/>
      <c r="G462" s="1423"/>
      <c r="H462" s="1423"/>
      <c r="I462" s="1358"/>
      <c r="J462" s="1425"/>
      <c r="K462" s="1425"/>
      <c r="L462" s="1426"/>
      <c r="M462" s="2073"/>
      <c r="N462" s="775"/>
    </row>
    <row r="463" spans="1:21" s="423" customFormat="1" ht="14.1" customHeight="1">
      <c r="A463" s="2042"/>
      <c r="B463" s="2156"/>
      <c r="C463" s="1422" t="s">
        <v>23</v>
      </c>
      <c r="D463" s="1396"/>
      <c r="E463" s="1423"/>
      <c r="F463" s="1423"/>
      <c r="G463" s="1423"/>
      <c r="H463" s="1423"/>
      <c r="I463" s="1358"/>
      <c r="J463" s="1425"/>
      <c r="K463" s="1425"/>
      <c r="L463" s="1426"/>
      <c r="M463" s="2073"/>
      <c r="N463" s="775"/>
    </row>
    <row r="464" spans="1:21" s="423" customFormat="1" ht="14.1" customHeight="1">
      <c r="A464" s="2042"/>
      <c r="B464" s="2156"/>
      <c r="C464" s="1422" t="s">
        <v>24</v>
      </c>
      <c r="D464" s="1391"/>
      <c r="E464" s="1423"/>
      <c r="F464" s="1423"/>
      <c r="G464" s="1423"/>
      <c r="H464" s="1423"/>
      <c r="I464" s="1358"/>
      <c r="J464" s="1425"/>
      <c r="K464" s="1425"/>
      <c r="L464" s="1426"/>
      <c r="M464" s="2073"/>
      <c r="N464" s="775"/>
    </row>
    <row r="465" spans="1:13" s="423" customFormat="1" ht="14.25" customHeight="1">
      <c r="A465" s="2042"/>
      <c r="B465" s="2156"/>
      <c r="C465" s="2014" t="s">
        <v>35</v>
      </c>
      <c r="D465" s="1391" t="s">
        <v>366</v>
      </c>
      <c r="E465" s="1423">
        <f>SUM(E466:E481)</f>
        <v>51484</v>
      </c>
      <c r="F465" s="1423">
        <f>SUM(F466:F481)</f>
        <v>69655</v>
      </c>
      <c r="G465" s="1423">
        <f>SUM(G466:G481)</f>
        <v>0</v>
      </c>
      <c r="H465" s="1423">
        <f>SUM(H466:H481)</f>
        <v>0</v>
      </c>
      <c r="I465" s="1352">
        <f t="shared" ref="I465:I473" si="34">H465/E465</f>
        <v>0</v>
      </c>
      <c r="J465" s="1425">
        <f>SUM(J466:J481)</f>
        <v>0</v>
      </c>
      <c r="K465" s="1425">
        <f>SUM(K466:K481)</f>
        <v>0</v>
      </c>
      <c r="L465" s="1426"/>
      <c r="M465" s="2073"/>
    </row>
    <row r="466" spans="1:13" s="423" customFormat="1" ht="11.25" customHeight="1">
      <c r="A466" s="2042"/>
      <c r="B466" s="2156"/>
      <c r="C466" s="2014"/>
      <c r="D466" s="1398">
        <v>4017</v>
      </c>
      <c r="E466" s="1474">
        <v>31080</v>
      </c>
      <c r="F466" s="1474">
        <v>43605</v>
      </c>
      <c r="G466" s="1474"/>
      <c r="H466" s="1474">
        <v>0</v>
      </c>
      <c r="I466" s="1360">
        <f t="shared" si="34"/>
        <v>0</v>
      </c>
      <c r="J466" s="1475"/>
      <c r="K466" s="1475">
        <v>0</v>
      </c>
      <c r="L466" s="1488"/>
      <c r="M466" s="2073"/>
    </row>
    <row r="467" spans="1:13" s="423" customFormat="1" ht="11.25" customHeight="1">
      <c r="A467" s="2042"/>
      <c r="B467" s="2156"/>
      <c r="C467" s="2014"/>
      <c r="D467" s="1398">
        <v>4019</v>
      </c>
      <c r="E467" s="1474">
        <v>5798</v>
      </c>
      <c r="F467" s="1474">
        <v>8133</v>
      </c>
      <c r="G467" s="1474"/>
      <c r="H467" s="1474">
        <v>0</v>
      </c>
      <c r="I467" s="1360">
        <f t="shared" si="34"/>
        <v>0</v>
      </c>
      <c r="J467" s="1475"/>
      <c r="K467" s="1475">
        <v>0</v>
      </c>
      <c r="L467" s="1488"/>
      <c r="M467" s="2073"/>
    </row>
    <row r="468" spans="1:13" s="423" customFormat="1" ht="11.25" customHeight="1">
      <c r="A468" s="2042"/>
      <c r="B468" s="2156"/>
      <c r="C468" s="2014"/>
      <c r="D468" s="1398">
        <v>4047</v>
      </c>
      <c r="E468" s="1474">
        <v>3744</v>
      </c>
      <c r="F468" s="1474">
        <v>3744</v>
      </c>
      <c r="G468" s="1474"/>
      <c r="H468" s="1474">
        <v>0</v>
      </c>
      <c r="I468" s="1360">
        <f t="shared" si="34"/>
        <v>0</v>
      </c>
      <c r="J468" s="1475"/>
      <c r="K468" s="1475">
        <v>0</v>
      </c>
      <c r="L468" s="1488"/>
      <c r="M468" s="2073"/>
    </row>
    <row r="469" spans="1:13" s="423" customFormat="1" ht="11.25" customHeight="1">
      <c r="A469" s="2042"/>
      <c r="B469" s="2156"/>
      <c r="C469" s="2014"/>
      <c r="D469" s="1398">
        <v>4049</v>
      </c>
      <c r="E469" s="1474">
        <v>699</v>
      </c>
      <c r="F469" s="1474">
        <v>699</v>
      </c>
      <c r="G469" s="1474"/>
      <c r="H469" s="1474">
        <v>0</v>
      </c>
      <c r="I469" s="1360">
        <f t="shared" si="34"/>
        <v>0</v>
      </c>
      <c r="J469" s="1475"/>
      <c r="K469" s="1475">
        <v>0</v>
      </c>
      <c r="L469" s="1488"/>
      <c r="M469" s="2073"/>
    </row>
    <row r="470" spans="1:13" s="423" customFormat="1" ht="11.25" customHeight="1">
      <c r="A470" s="2042"/>
      <c r="B470" s="2156"/>
      <c r="C470" s="2014"/>
      <c r="D470" s="1398">
        <v>4117</v>
      </c>
      <c r="E470" s="1474">
        <v>5921</v>
      </c>
      <c r="F470" s="1474">
        <v>8136</v>
      </c>
      <c r="G470" s="1474"/>
      <c r="H470" s="1474">
        <v>0</v>
      </c>
      <c r="I470" s="1360">
        <f t="shared" si="34"/>
        <v>0</v>
      </c>
      <c r="J470" s="1475"/>
      <c r="K470" s="1475">
        <v>0</v>
      </c>
      <c r="L470" s="1488"/>
      <c r="M470" s="2073"/>
    </row>
    <row r="471" spans="1:13" s="423" customFormat="1" ht="11.25" customHeight="1">
      <c r="A471" s="2042"/>
      <c r="B471" s="2156"/>
      <c r="C471" s="2014"/>
      <c r="D471" s="1398">
        <v>4119</v>
      </c>
      <c r="E471" s="1474">
        <v>1104</v>
      </c>
      <c r="F471" s="1474">
        <v>1518</v>
      </c>
      <c r="G471" s="1474"/>
      <c r="H471" s="1474">
        <v>0</v>
      </c>
      <c r="I471" s="1360">
        <f t="shared" si="34"/>
        <v>0</v>
      </c>
      <c r="J471" s="1475"/>
      <c r="K471" s="1475">
        <v>0</v>
      </c>
      <c r="L471" s="1488"/>
      <c r="M471" s="2073"/>
    </row>
    <row r="472" spans="1:13" s="423" customFormat="1" ht="11.25" customHeight="1">
      <c r="A472" s="2042"/>
      <c r="B472" s="2156"/>
      <c r="C472" s="2014"/>
      <c r="D472" s="1398">
        <v>4127</v>
      </c>
      <c r="E472" s="1474">
        <v>854</v>
      </c>
      <c r="F472" s="1474">
        <v>1160</v>
      </c>
      <c r="G472" s="1474"/>
      <c r="H472" s="1474">
        <v>0</v>
      </c>
      <c r="I472" s="1360">
        <f t="shared" si="34"/>
        <v>0</v>
      </c>
      <c r="J472" s="1475"/>
      <c r="K472" s="1475">
        <v>0</v>
      </c>
      <c r="L472" s="1488"/>
      <c r="M472" s="2073"/>
    </row>
    <row r="473" spans="1:13" s="423" customFormat="1" ht="11.25" customHeight="1">
      <c r="A473" s="2042"/>
      <c r="B473" s="2156"/>
      <c r="C473" s="2014"/>
      <c r="D473" s="1398">
        <v>4129</v>
      </c>
      <c r="E473" s="1474">
        <v>159</v>
      </c>
      <c r="F473" s="1474">
        <v>216</v>
      </c>
      <c r="G473" s="1474"/>
      <c r="H473" s="1474">
        <v>0</v>
      </c>
      <c r="I473" s="1360">
        <f t="shared" si="34"/>
        <v>0</v>
      </c>
      <c r="J473" s="1475"/>
      <c r="K473" s="1475">
        <v>0</v>
      </c>
      <c r="L473" s="1488"/>
      <c r="M473" s="2073"/>
    </row>
    <row r="474" spans="1:13" s="423" customFormat="1" ht="11.25" hidden="1" customHeight="1">
      <c r="A474" s="2042"/>
      <c r="B474" s="2156"/>
      <c r="C474" s="2014"/>
      <c r="D474" s="1398">
        <v>4217</v>
      </c>
      <c r="E474" s="1474"/>
      <c r="F474" s="1474"/>
      <c r="G474" s="1474"/>
      <c r="H474" s="1474">
        <f t="shared" ref="H474:H477" si="35">E474+G474</f>
        <v>0</v>
      </c>
      <c r="I474" s="1360"/>
      <c r="J474" s="1475"/>
      <c r="K474" s="1475">
        <f>H474+J474</f>
        <v>0</v>
      </c>
      <c r="L474" s="1488"/>
      <c r="M474" s="2073"/>
    </row>
    <row r="475" spans="1:13" s="423" customFormat="1" ht="11.25" hidden="1" customHeight="1">
      <c r="A475" s="2042"/>
      <c r="B475" s="2156"/>
      <c r="C475" s="2014"/>
      <c r="D475" s="1398">
        <v>4219</v>
      </c>
      <c r="E475" s="1474"/>
      <c r="F475" s="1474"/>
      <c r="G475" s="1474"/>
      <c r="H475" s="1474">
        <f t="shared" si="35"/>
        <v>0</v>
      </c>
      <c r="I475" s="1360"/>
      <c r="J475" s="1475"/>
      <c r="K475" s="1475">
        <f>H475+J475</f>
        <v>0</v>
      </c>
      <c r="L475" s="1488"/>
      <c r="M475" s="2073"/>
    </row>
    <row r="476" spans="1:13" s="423" customFormat="1" ht="11.25" hidden="1" customHeight="1">
      <c r="A476" s="2042"/>
      <c r="B476" s="2156"/>
      <c r="C476" s="2014"/>
      <c r="D476" s="1398">
        <v>4287</v>
      </c>
      <c r="E476" s="1474"/>
      <c r="F476" s="1474"/>
      <c r="G476" s="1474"/>
      <c r="H476" s="1474">
        <f t="shared" si="35"/>
        <v>0</v>
      </c>
      <c r="I476" s="1360" t="e">
        <f t="shared" ref="I476:I481" si="36">H476/E476</f>
        <v>#DIV/0!</v>
      </c>
      <c r="J476" s="1475"/>
      <c r="K476" s="1475">
        <f>H476+J476</f>
        <v>0</v>
      </c>
      <c r="L476" s="1488"/>
      <c r="M476" s="2073"/>
    </row>
    <row r="477" spans="1:13" s="423" customFormat="1" ht="11.25" hidden="1" customHeight="1">
      <c r="A477" s="2042"/>
      <c r="B477" s="2156"/>
      <c r="C477" s="2014"/>
      <c r="D477" s="1398">
        <v>4289</v>
      </c>
      <c r="E477" s="1474"/>
      <c r="F477" s="1474"/>
      <c r="G477" s="1474"/>
      <c r="H477" s="1474">
        <f t="shared" si="35"/>
        <v>0</v>
      </c>
      <c r="I477" s="1360" t="e">
        <f t="shared" si="36"/>
        <v>#DIV/0!</v>
      </c>
      <c r="J477" s="1475"/>
      <c r="K477" s="1475">
        <f>H477+J477</f>
        <v>0</v>
      </c>
      <c r="L477" s="1488"/>
      <c r="M477" s="2073"/>
    </row>
    <row r="478" spans="1:13" s="423" customFormat="1" ht="12.75" customHeight="1">
      <c r="A478" s="2042"/>
      <c r="B478" s="2156"/>
      <c r="C478" s="2014"/>
      <c r="D478" s="1398">
        <v>4417</v>
      </c>
      <c r="E478" s="1474">
        <v>851</v>
      </c>
      <c r="F478" s="1474">
        <v>774</v>
      </c>
      <c r="G478" s="1474"/>
      <c r="H478" s="1474">
        <v>0</v>
      </c>
      <c r="I478" s="1360">
        <f t="shared" si="36"/>
        <v>0</v>
      </c>
      <c r="J478" s="1475"/>
      <c r="K478" s="1475">
        <v>0</v>
      </c>
      <c r="L478" s="1488"/>
      <c r="M478" s="2073"/>
    </row>
    <row r="479" spans="1:13" s="423" customFormat="1" ht="11.25" customHeight="1">
      <c r="A479" s="2042"/>
      <c r="B479" s="2156"/>
      <c r="C479" s="2014"/>
      <c r="D479" s="1398">
        <v>4419</v>
      </c>
      <c r="E479" s="1474">
        <v>158</v>
      </c>
      <c r="F479" s="1474">
        <v>144</v>
      </c>
      <c r="G479" s="1474"/>
      <c r="H479" s="1474">
        <v>0</v>
      </c>
      <c r="I479" s="1360">
        <f t="shared" si="36"/>
        <v>0</v>
      </c>
      <c r="J479" s="1475"/>
      <c r="K479" s="1475">
        <v>0</v>
      </c>
      <c r="L479" s="1488"/>
      <c r="M479" s="2073"/>
    </row>
    <row r="480" spans="1:13" s="423" customFormat="1" ht="11.25" customHeight="1">
      <c r="A480" s="2042"/>
      <c r="B480" s="2156"/>
      <c r="C480" s="2014"/>
      <c r="D480" s="1398">
        <v>4447</v>
      </c>
      <c r="E480" s="1474">
        <v>940</v>
      </c>
      <c r="F480" s="1474">
        <v>1286</v>
      </c>
      <c r="G480" s="1474"/>
      <c r="H480" s="1474">
        <v>0</v>
      </c>
      <c r="I480" s="1360">
        <f t="shared" si="36"/>
        <v>0</v>
      </c>
      <c r="J480" s="1475"/>
      <c r="K480" s="1475">
        <v>0</v>
      </c>
      <c r="L480" s="1488"/>
      <c r="M480" s="2073"/>
    </row>
    <row r="481" spans="1:13" s="423" customFormat="1" ht="11.25" customHeight="1">
      <c r="A481" s="2042"/>
      <c r="B481" s="2156"/>
      <c r="C481" s="2014"/>
      <c r="D481" s="1398">
        <v>4449</v>
      </c>
      <c r="E481" s="1474">
        <v>176</v>
      </c>
      <c r="F481" s="1474">
        <v>240</v>
      </c>
      <c r="G481" s="1474"/>
      <c r="H481" s="1474">
        <v>0</v>
      </c>
      <c r="I481" s="1360">
        <f t="shared" si="36"/>
        <v>0</v>
      </c>
      <c r="J481" s="1475"/>
      <c r="K481" s="1475">
        <v>0</v>
      </c>
      <c r="L481" s="1488"/>
      <c r="M481" s="2073"/>
    </row>
    <row r="482" spans="1:13" s="423" customFormat="1" ht="14.1" customHeight="1">
      <c r="A482" s="2042"/>
      <c r="B482" s="2156"/>
      <c r="C482" s="1422" t="s">
        <v>26</v>
      </c>
      <c r="D482" s="1398"/>
      <c r="E482" s="1423"/>
      <c r="F482" s="1423"/>
      <c r="G482" s="1423"/>
      <c r="H482" s="1423"/>
      <c r="I482" s="1352"/>
      <c r="J482" s="1425"/>
      <c r="K482" s="1425"/>
      <c r="L482" s="1426"/>
      <c r="M482" s="2073"/>
    </row>
    <row r="483" spans="1:13" s="423" customFormat="1" ht="14.1" customHeight="1" thickBot="1">
      <c r="A483" s="2153"/>
      <c r="B483" s="2157"/>
      <c r="C483" s="1039" t="s">
        <v>27</v>
      </c>
      <c r="D483" s="1618"/>
      <c r="E483" s="1634"/>
      <c r="F483" s="1634"/>
      <c r="G483" s="1634"/>
      <c r="H483" s="1634"/>
      <c r="I483" s="1178"/>
      <c r="J483" s="1637"/>
      <c r="K483" s="1637"/>
      <c r="L483" s="1638"/>
      <c r="M483" s="2162"/>
    </row>
    <row r="484" spans="1:13" s="423" customFormat="1" ht="14.1" customHeight="1">
      <c r="A484" s="2066"/>
      <c r="B484" s="2158">
        <v>85395</v>
      </c>
      <c r="C484" s="1679" t="s">
        <v>28</v>
      </c>
      <c r="D484" s="1656"/>
      <c r="E484" s="1680">
        <f>SUM(E485,E487,E488)</f>
        <v>0</v>
      </c>
      <c r="F484" s="1680">
        <f>SUM(F485,F487,F488)</f>
        <v>0</v>
      </c>
      <c r="G484" s="1680"/>
      <c r="H484" s="1680">
        <f>SUM(H485,H487,H488)</f>
        <v>0</v>
      </c>
      <c r="I484" s="1695"/>
      <c r="J484" s="1682">
        <f>SUM(J485,J487,J488)</f>
        <v>0</v>
      </c>
      <c r="K484" s="1682">
        <f>SUM(K485,K487,K488)</f>
        <v>0</v>
      </c>
      <c r="L484" s="1696"/>
      <c r="M484" s="2163"/>
    </row>
    <row r="485" spans="1:13" s="423" customFormat="1" ht="14.1" customHeight="1">
      <c r="A485" s="2042"/>
      <c r="B485" s="2156"/>
      <c r="C485" s="1422" t="s">
        <v>29</v>
      </c>
      <c r="D485" s="1315"/>
      <c r="E485" s="1423"/>
      <c r="F485" s="1423"/>
      <c r="G485" s="1423"/>
      <c r="H485" s="1423"/>
      <c r="I485" s="1358"/>
      <c r="J485" s="1425"/>
      <c r="K485" s="1425"/>
      <c r="L485" s="1426"/>
      <c r="M485" s="2164"/>
    </row>
    <row r="486" spans="1:13" s="423" customFormat="1" ht="22.5">
      <c r="A486" s="2042"/>
      <c r="B486" s="2156"/>
      <c r="C486" s="1428" t="s">
        <v>89</v>
      </c>
      <c r="D486" s="1391"/>
      <c r="E486" s="1423"/>
      <c r="F486" s="1423"/>
      <c r="G486" s="1423"/>
      <c r="H486" s="1423"/>
      <c r="I486" s="1358"/>
      <c r="J486" s="1425"/>
      <c r="K486" s="1425"/>
      <c r="L486" s="1426"/>
      <c r="M486" s="2164"/>
    </row>
    <row r="487" spans="1:13" s="423" customFormat="1" ht="14.1" customHeight="1">
      <c r="A487" s="2042"/>
      <c r="B487" s="2156"/>
      <c r="C487" s="1422" t="s">
        <v>31</v>
      </c>
      <c r="D487" s="1396"/>
      <c r="E487" s="1423"/>
      <c r="F487" s="1423"/>
      <c r="G487" s="1423"/>
      <c r="H487" s="1423"/>
      <c r="I487" s="1358"/>
      <c r="J487" s="1425"/>
      <c r="K487" s="1425"/>
      <c r="L487" s="1426"/>
      <c r="M487" s="2164"/>
    </row>
    <row r="488" spans="1:13" s="423" customFormat="1" ht="14.1" customHeight="1">
      <c r="A488" s="2042"/>
      <c r="B488" s="2159"/>
      <c r="C488" s="1422" t="s">
        <v>32</v>
      </c>
      <c r="D488" s="1391"/>
      <c r="E488" s="1423"/>
      <c r="F488" s="1423"/>
      <c r="G488" s="1423"/>
      <c r="H488" s="1423"/>
      <c r="I488" s="1358"/>
      <c r="J488" s="1425"/>
      <c r="K488" s="1425"/>
      <c r="L488" s="1426"/>
      <c r="M488" s="2164"/>
    </row>
    <row r="489" spans="1:13" s="423" customFormat="1" ht="12.75" customHeight="1">
      <c r="A489" s="1012" t="s">
        <v>460</v>
      </c>
      <c r="B489" s="1505"/>
      <c r="C489" s="1446" t="s">
        <v>461</v>
      </c>
      <c r="D489" s="1403"/>
      <c r="E489" s="1506">
        <f>SUM(E490,E507,E524,E561,E597)</f>
        <v>6241583</v>
      </c>
      <c r="F489" s="1506">
        <f>SUM(F490,F507,F524,F561,F597)</f>
        <v>6241583</v>
      </c>
      <c r="G489" s="1506">
        <f>SUM(G490,G507,G524,G561,G597)</f>
        <v>0</v>
      </c>
      <c r="H489" s="1506">
        <f>SUM(H490,H507,H524,H561,H597)</f>
        <v>8628499</v>
      </c>
      <c r="I489" s="1510">
        <f>H489/E489</f>
        <v>1.3824215747831921</v>
      </c>
      <c r="J489" s="1507">
        <f>SUM(J490,J507,J524,J561,J597)</f>
        <v>162000</v>
      </c>
      <c r="K489" s="1507">
        <f>SUM(K490,K507,K524,K561,K597)</f>
        <v>8790499</v>
      </c>
      <c r="L489" s="1407">
        <f>K489/E489</f>
        <v>1.4083765288389178</v>
      </c>
      <c r="M489" s="1508"/>
    </row>
    <row r="490" spans="1:13" s="423" customFormat="1" ht="13.5" customHeight="1">
      <c r="A490" s="2042"/>
      <c r="B490" s="2151">
        <v>85503</v>
      </c>
      <c r="C490" s="1468" t="s">
        <v>462</v>
      </c>
      <c r="D490" s="1509"/>
      <c r="E490" s="1463">
        <f>SUM(E491,E502)</f>
        <v>3750</v>
      </c>
      <c r="F490" s="1463">
        <f>SUM(F491,F502)</f>
        <v>3750</v>
      </c>
      <c r="G490" s="1463"/>
      <c r="H490" s="1463">
        <f>SUM(H491,H502)</f>
        <v>4312</v>
      </c>
      <c r="I490" s="1357">
        <f>H490/E490</f>
        <v>1.1498666666666666</v>
      </c>
      <c r="J490" s="1464">
        <f>SUM(J491,J502)</f>
        <v>0</v>
      </c>
      <c r="K490" s="1464">
        <f>SUM(K491,K502)</f>
        <v>4312</v>
      </c>
      <c r="L490" s="1450">
        <f>K490/E490</f>
        <v>1.1498666666666666</v>
      </c>
      <c r="M490" s="2160" t="s">
        <v>463</v>
      </c>
    </row>
    <row r="491" spans="1:13" s="423" customFormat="1" ht="14.1" customHeight="1">
      <c r="A491" s="2042"/>
      <c r="B491" s="2151"/>
      <c r="C491" s="1418" t="s">
        <v>18</v>
      </c>
      <c r="D491" s="1469"/>
      <c r="E491" s="1313">
        <f>SUM(E492,E497,E498,E499,E500,E501)</f>
        <v>3750</v>
      </c>
      <c r="F491" s="1313">
        <f>SUM(F492,F497,F498,F499,F500,F501)</f>
        <v>3750</v>
      </c>
      <c r="G491" s="1313"/>
      <c r="H491" s="1313">
        <f>SUM(H492,H497,H498,H499,H500,H501)</f>
        <v>4312</v>
      </c>
      <c r="I491" s="1358">
        <f>H491/E491</f>
        <v>1.1498666666666666</v>
      </c>
      <c r="J491" s="1310">
        <f>SUM(J492,J497,J498,J499,J500,J501)</f>
        <v>0</v>
      </c>
      <c r="K491" s="1310">
        <f>SUM(K492,K497,K498,K499,K500,K501)</f>
        <v>4312</v>
      </c>
      <c r="L491" s="1455">
        <f t="shared" ref="L491:L496" si="37">K491/E491</f>
        <v>1.1498666666666666</v>
      </c>
      <c r="M491" s="2160"/>
    </row>
    <row r="492" spans="1:13" s="423" customFormat="1" ht="14.1" customHeight="1">
      <c r="A492" s="2042"/>
      <c r="B492" s="2151"/>
      <c r="C492" s="1422" t="s">
        <v>19</v>
      </c>
      <c r="D492" s="1386"/>
      <c r="E492" s="1423">
        <f>E493+E494</f>
        <v>3750</v>
      </c>
      <c r="F492" s="1423">
        <f>F493+F494</f>
        <v>3750</v>
      </c>
      <c r="G492" s="1423">
        <f>G493+G494</f>
        <v>0</v>
      </c>
      <c r="H492" s="1423">
        <f>H493+H494</f>
        <v>4312</v>
      </c>
      <c r="I492" s="1424">
        <f>H492/E492</f>
        <v>1.1498666666666666</v>
      </c>
      <c r="J492" s="1425">
        <f>J493+J494</f>
        <v>0</v>
      </c>
      <c r="K492" s="1425">
        <f>K493+K494</f>
        <v>4312</v>
      </c>
      <c r="L492" s="1455">
        <f t="shared" si="37"/>
        <v>1.1498666666666666</v>
      </c>
      <c r="M492" s="2160"/>
    </row>
    <row r="493" spans="1:13" s="423" customFormat="1" ht="14.1" customHeight="1">
      <c r="A493" s="2042"/>
      <c r="B493" s="2151"/>
      <c r="C493" s="1422" t="s">
        <v>20</v>
      </c>
      <c r="D493" s="1391"/>
      <c r="E493" s="1423"/>
      <c r="F493" s="1423"/>
      <c r="G493" s="1423"/>
      <c r="H493" s="1423"/>
      <c r="I493" s="1424"/>
      <c r="J493" s="1425"/>
      <c r="K493" s="1425"/>
      <c r="L493" s="1426"/>
      <c r="M493" s="2160"/>
    </row>
    <row r="494" spans="1:13" s="423" customFormat="1" ht="14.1" customHeight="1">
      <c r="A494" s="2042"/>
      <c r="B494" s="2151"/>
      <c r="C494" s="2014" t="s">
        <v>369</v>
      </c>
      <c r="D494" s="1391" t="s">
        <v>366</v>
      </c>
      <c r="E494" s="1423">
        <f>SUM(E495:E496)</f>
        <v>3750</v>
      </c>
      <c r="F494" s="1423">
        <f>SUM(F495:F496)</f>
        <v>3750</v>
      </c>
      <c r="G494" s="1423">
        <f>SUM(G495:G496)</f>
        <v>0</v>
      </c>
      <c r="H494" s="1423">
        <f>SUM(H495:H496)</f>
        <v>4312</v>
      </c>
      <c r="I494" s="1424">
        <f>H494/E494</f>
        <v>1.1498666666666666</v>
      </c>
      <c r="J494" s="1425">
        <f>SUM(J495:J496)</f>
        <v>0</v>
      </c>
      <c r="K494" s="1425">
        <f>SUM(K495:K496)</f>
        <v>4312</v>
      </c>
      <c r="L494" s="1455">
        <f t="shared" si="37"/>
        <v>1.1498666666666666</v>
      </c>
      <c r="M494" s="2160"/>
    </row>
    <row r="495" spans="1:13" s="423" customFormat="1" ht="14.1" customHeight="1">
      <c r="A495" s="2042"/>
      <c r="B495" s="2151"/>
      <c r="C495" s="2014"/>
      <c r="D495" s="1399">
        <v>4210</v>
      </c>
      <c r="E495" s="1474">
        <v>1583</v>
      </c>
      <c r="F495" s="1474">
        <v>1583</v>
      </c>
      <c r="G495" s="1474"/>
      <c r="H495" s="1474">
        <v>1642</v>
      </c>
      <c r="I495" s="1511">
        <f>H495/E495</f>
        <v>1.0372710044219835</v>
      </c>
      <c r="J495" s="1475"/>
      <c r="K495" s="1475">
        <f>J495+H495</f>
        <v>1642</v>
      </c>
      <c r="L495" s="1455">
        <f t="shared" si="37"/>
        <v>1.0372710044219835</v>
      </c>
      <c r="M495" s="2160"/>
    </row>
    <row r="496" spans="1:13" s="423" customFormat="1" ht="13.5" customHeight="1">
      <c r="A496" s="2042"/>
      <c r="B496" s="2151"/>
      <c r="C496" s="2014"/>
      <c r="D496" s="1399">
        <v>4300</v>
      </c>
      <c r="E496" s="1474">
        <v>2167</v>
      </c>
      <c r="F496" s="1474">
        <v>2167</v>
      </c>
      <c r="G496" s="1474"/>
      <c r="H496" s="1474">
        <v>2670</v>
      </c>
      <c r="I496" s="1511">
        <f>H496/E496</f>
        <v>1.2321181356714352</v>
      </c>
      <c r="J496" s="1475"/>
      <c r="K496" s="1475">
        <f>J496+H496</f>
        <v>2670</v>
      </c>
      <c r="L496" s="1455">
        <f t="shared" si="37"/>
        <v>1.2321181356714352</v>
      </c>
      <c r="M496" s="2160"/>
    </row>
    <row r="497" spans="1:13" s="423" customFormat="1" ht="10.5" customHeight="1">
      <c r="A497" s="2042"/>
      <c r="B497" s="2151"/>
      <c r="C497" s="1459" t="s">
        <v>23</v>
      </c>
      <c r="D497" s="1391"/>
      <c r="E497" s="1423"/>
      <c r="F497" s="1423"/>
      <c r="G497" s="1423"/>
      <c r="H497" s="1423"/>
      <c r="I497" s="1424"/>
      <c r="J497" s="1425"/>
      <c r="K497" s="1425"/>
      <c r="L497" s="1426"/>
      <c r="M497" s="2160"/>
    </row>
    <row r="498" spans="1:13" s="423" customFormat="1" ht="11.25" customHeight="1">
      <c r="A498" s="2042"/>
      <c r="B498" s="2151"/>
      <c r="C498" s="1422" t="s">
        <v>24</v>
      </c>
      <c r="D498" s="1399"/>
      <c r="E498" s="1423"/>
      <c r="F498" s="1423"/>
      <c r="G498" s="1423"/>
      <c r="H498" s="1423"/>
      <c r="I498" s="1424"/>
      <c r="J498" s="1425"/>
      <c r="K498" s="1425"/>
      <c r="L498" s="1426"/>
      <c r="M498" s="2160"/>
    </row>
    <row r="499" spans="1:13" s="423" customFormat="1" ht="22.5">
      <c r="A499" s="2042"/>
      <c r="B499" s="2151"/>
      <c r="C499" s="1428" t="s">
        <v>35</v>
      </c>
      <c r="D499" s="1391"/>
      <c r="E499" s="1423"/>
      <c r="F499" s="1423"/>
      <c r="G499" s="1423"/>
      <c r="H499" s="1423"/>
      <c r="I499" s="1424"/>
      <c r="J499" s="1425"/>
      <c r="K499" s="1425"/>
      <c r="L499" s="1426"/>
      <c r="M499" s="2160"/>
    </row>
    <row r="500" spans="1:13" s="423" customFormat="1" ht="10.5" customHeight="1">
      <c r="A500" s="2042"/>
      <c r="B500" s="2151"/>
      <c r="C500" s="1422" t="s">
        <v>26</v>
      </c>
      <c r="D500" s="1396"/>
      <c r="E500" s="1423"/>
      <c r="F500" s="1423"/>
      <c r="G500" s="1423"/>
      <c r="H500" s="1423"/>
      <c r="I500" s="1424"/>
      <c r="J500" s="1425"/>
      <c r="K500" s="1425"/>
      <c r="L500" s="1426"/>
      <c r="M500" s="2160"/>
    </row>
    <row r="501" spans="1:13" s="423" customFormat="1" ht="11.25" customHeight="1">
      <c r="A501" s="2042"/>
      <c r="B501" s="2151"/>
      <c r="C501" s="1422" t="s">
        <v>27</v>
      </c>
      <c r="D501" s="1391"/>
      <c r="E501" s="1423"/>
      <c r="F501" s="1423"/>
      <c r="G501" s="1423"/>
      <c r="H501" s="1423"/>
      <c r="I501" s="1424"/>
      <c r="J501" s="1425"/>
      <c r="K501" s="1425"/>
      <c r="L501" s="1426"/>
      <c r="M501" s="2160"/>
    </row>
    <row r="502" spans="1:13" s="423" customFormat="1" ht="10.5" customHeight="1">
      <c r="A502" s="2042"/>
      <c r="B502" s="2151"/>
      <c r="C502" s="1308" t="s">
        <v>28</v>
      </c>
      <c r="D502" s="1391"/>
      <c r="E502" s="1313">
        <f>SUM(E503,E505,E506)</f>
        <v>0</v>
      </c>
      <c r="F502" s="1313">
        <f>SUM(F503,F505,F506)</f>
        <v>0</v>
      </c>
      <c r="G502" s="1313"/>
      <c r="H502" s="1313">
        <f>SUM(H503,H505,H506)</f>
        <v>0</v>
      </c>
      <c r="I502" s="1424"/>
      <c r="J502" s="1310">
        <f>SUM(J503,J505,J506)</f>
        <v>0</v>
      </c>
      <c r="K502" s="1310">
        <f>SUM(K503,K505,K506)</f>
        <v>0</v>
      </c>
      <c r="L502" s="1421"/>
      <c r="M502" s="2160"/>
    </row>
    <row r="503" spans="1:13" s="423" customFormat="1" ht="14.1" customHeight="1">
      <c r="A503" s="2042"/>
      <c r="B503" s="2151"/>
      <c r="C503" s="1422" t="s">
        <v>29</v>
      </c>
      <c r="D503" s="1315"/>
      <c r="E503" s="1423"/>
      <c r="F503" s="1423"/>
      <c r="G503" s="1423"/>
      <c r="H503" s="1423"/>
      <c r="I503" s="1424"/>
      <c r="J503" s="1425"/>
      <c r="K503" s="1425"/>
      <c r="L503" s="1426"/>
      <c r="M503" s="2160"/>
    </row>
    <row r="504" spans="1:13" s="423" customFormat="1" ht="22.5">
      <c r="A504" s="2042"/>
      <c r="B504" s="2151"/>
      <c r="C504" s="1428" t="s">
        <v>89</v>
      </c>
      <c r="D504" s="1391"/>
      <c r="E504" s="1423"/>
      <c r="F504" s="1423"/>
      <c r="G504" s="1423"/>
      <c r="H504" s="1423"/>
      <c r="I504" s="1424"/>
      <c r="J504" s="1425"/>
      <c r="K504" s="1425"/>
      <c r="L504" s="1426"/>
      <c r="M504" s="2160"/>
    </row>
    <row r="505" spans="1:13" s="423" customFormat="1" ht="12.75" customHeight="1">
      <c r="A505" s="2042"/>
      <c r="B505" s="2151"/>
      <c r="C505" s="1422" t="s">
        <v>31</v>
      </c>
      <c r="D505" s="1396"/>
      <c r="E505" s="1423"/>
      <c r="F505" s="1423"/>
      <c r="G505" s="1423"/>
      <c r="H505" s="1423"/>
      <c r="I505" s="1424"/>
      <c r="J505" s="1425"/>
      <c r="K505" s="1425"/>
      <c r="L505" s="1426"/>
      <c r="M505" s="2160"/>
    </row>
    <row r="506" spans="1:13" s="423" customFormat="1" ht="14.25" customHeight="1">
      <c r="A506" s="2042"/>
      <c r="B506" s="2151"/>
      <c r="C506" s="1422" t="s">
        <v>32</v>
      </c>
      <c r="D506" s="1391"/>
      <c r="E506" s="1423"/>
      <c r="F506" s="1423"/>
      <c r="G506" s="1423"/>
      <c r="H506" s="1423"/>
      <c r="I506" s="1424"/>
      <c r="J506" s="1425"/>
      <c r="K506" s="1425"/>
      <c r="L506" s="1426"/>
      <c r="M506" s="2160"/>
    </row>
    <row r="507" spans="1:13" s="423" customFormat="1" ht="17.25" customHeight="1">
      <c r="A507" s="2042"/>
      <c r="B507" s="2151">
        <v>85504</v>
      </c>
      <c r="C507" s="1468" t="s">
        <v>464</v>
      </c>
      <c r="D507" s="1509"/>
      <c r="E507" s="1463">
        <f>SUM(E508,E519)</f>
        <v>250000</v>
      </c>
      <c r="F507" s="1463">
        <f>SUM(F508,F519)</f>
        <v>250000</v>
      </c>
      <c r="G507" s="1463"/>
      <c r="H507" s="1463">
        <f>SUM(H508,H519)</f>
        <v>275000</v>
      </c>
      <c r="I507" s="1357">
        <f>H507/E507</f>
        <v>1.1000000000000001</v>
      </c>
      <c r="J507" s="1464">
        <f>SUM(J508,J519)</f>
        <v>0</v>
      </c>
      <c r="K507" s="1464">
        <f>SUM(K508,K519)</f>
        <v>275000</v>
      </c>
      <c r="L507" s="1450">
        <f>K507/E507</f>
        <v>1.1000000000000001</v>
      </c>
      <c r="M507" s="2009" t="s">
        <v>465</v>
      </c>
    </row>
    <row r="508" spans="1:13" s="423" customFormat="1" ht="14.1" customHeight="1">
      <c r="A508" s="2042"/>
      <c r="B508" s="2151"/>
      <c r="C508" s="1418" t="s">
        <v>18</v>
      </c>
      <c r="D508" s="1469"/>
      <c r="E508" s="1313">
        <f>SUM(E509,E512,E513,E514,E517,E518)</f>
        <v>250000</v>
      </c>
      <c r="F508" s="1313">
        <f>SUM(F509,F512,F513,F514,F517,F518)</f>
        <v>250000</v>
      </c>
      <c r="G508" s="1313"/>
      <c r="H508" s="1313">
        <f>SUM(H509,H512,H513,H514,H517,H518)</f>
        <v>275000</v>
      </c>
      <c r="I508" s="1358">
        <f>H508/E508</f>
        <v>1.1000000000000001</v>
      </c>
      <c r="J508" s="1310">
        <f>SUM(J509,J512,J513,J514,J517,J518)</f>
        <v>0</v>
      </c>
      <c r="K508" s="1310">
        <f>SUM(K509,K512,K513,K514,K517,K518)</f>
        <v>275000</v>
      </c>
      <c r="L508" s="1453">
        <f t="shared" ref="L508" si="38">K508/E508</f>
        <v>1.1000000000000001</v>
      </c>
      <c r="M508" s="2009"/>
    </row>
    <row r="509" spans="1:13" s="423" customFormat="1" ht="14.1" customHeight="1">
      <c r="A509" s="2042"/>
      <c r="B509" s="2151"/>
      <c r="C509" s="1422" t="s">
        <v>19</v>
      </c>
      <c r="D509" s="1386"/>
      <c r="E509" s="1423"/>
      <c r="F509" s="1423"/>
      <c r="G509" s="1423"/>
      <c r="H509" s="1423"/>
      <c r="I509" s="1424"/>
      <c r="J509" s="1425"/>
      <c r="K509" s="1425"/>
      <c r="L509" s="1426"/>
      <c r="M509" s="2009"/>
    </row>
    <row r="510" spans="1:13" s="423" customFormat="1" ht="14.1" customHeight="1">
      <c r="A510" s="2042"/>
      <c r="B510" s="2151"/>
      <c r="C510" s="1422" t="s">
        <v>20</v>
      </c>
      <c r="D510" s="1391"/>
      <c r="E510" s="1423"/>
      <c r="F510" s="1423"/>
      <c r="G510" s="1423"/>
      <c r="H510" s="1423"/>
      <c r="I510" s="1424"/>
      <c r="J510" s="1425"/>
      <c r="K510" s="1425"/>
      <c r="L510" s="1426"/>
      <c r="M510" s="2009"/>
    </row>
    <row r="511" spans="1:13" s="423" customFormat="1" ht="24.75" customHeight="1">
      <c r="A511" s="2042"/>
      <c r="B511" s="2151"/>
      <c r="C511" s="1503" t="s">
        <v>369</v>
      </c>
      <c r="D511" s="1391"/>
      <c r="E511" s="1423"/>
      <c r="F511" s="1423"/>
      <c r="G511" s="1423"/>
      <c r="H511" s="1423"/>
      <c r="I511" s="1424"/>
      <c r="J511" s="1425"/>
      <c r="K511" s="1425"/>
      <c r="L511" s="1426"/>
      <c r="M511" s="2009"/>
    </row>
    <row r="512" spans="1:13" s="423" customFormat="1" ht="14.1" customHeight="1">
      <c r="A512" s="2042"/>
      <c r="B512" s="2151"/>
      <c r="C512" s="1459" t="s">
        <v>23</v>
      </c>
      <c r="D512" s="1391">
        <v>2360</v>
      </c>
      <c r="E512" s="1423">
        <v>250000</v>
      </c>
      <c r="F512" s="1423">
        <v>250000</v>
      </c>
      <c r="G512" s="1423"/>
      <c r="H512" s="1423">
        <v>275000</v>
      </c>
      <c r="I512" s="1424">
        <f>H512/E512</f>
        <v>1.1000000000000001</v>
      </c>
      <c r="J512" s="1425">
        <v>0</v>
      </c>
      <c r="K512" s="1425">
        <f>J512+H512</f>
        <v>275000</v>
      </c>
      <c r="L512" s="1455">
        <f t="shared" ref="L512" si="39">K512/E512</f>
        <v>1.1000000000000001</v>
      </c>
      <c r="M512" s="2009"/>
    </row>
    <row r="513" spans="1:13" s="423" customFormat="1" ht="14.1" customHeight="1">
      <c r="A513" s="2042"/>
      <c r="B513" s="2151"/>
      <c r="C513" s="1422" t="s">
        <v>24</v>
      </c>
      <c r="D513" s="1399"/>
      <c r="E513" s="1423"/>
      <c r="F513" s="1423"/>
      <c r="G513" s="1423"/>
      <c r="H513" s="1423"/>
      <c r="I513" s="1424"/>
      <c r="J513" s="1425"/>
      <c r="K513" s="1425"/>
      <c r="L513" s="1426"/>
      <c r="M513" s="2009"/>
    </row>
    <row r="514" spans="1:13" s="423" customFormat="1" ht="22.5" customHeight="1">
      <c r="A514" s="2042"/>
      <c r="B514" s="2151"/>
      <c r="C514" s="2014" t="s">
        <v>35</v>
      </c>
      <c r="D514" s="1391"/>
      <c r="E514" s="1423"/>
      <c r="F514" s="1423"/>
      <c r="G514" s="1423"/>
      <c r="H514" s="1423"/>
      <c r="I514" s="1424"/>
      <c r="J514" s="1425"/>
      <c r="K514" s="1425"/>
      <c r="L514" s="1426"/>
      <c r="M514" s="2009"/>
    </row>
    <row r="515" spans="1:13" s="423" customFormat="1" ht="11.25" hidden="1" customHeight="1">
      <c r="A515" s="2042"/>
      <c r="B515" s="2151"/>
      <c r="C515" s="2014"/>
      <c r="D515" s="1399">
        <v>4217</v>
      </c>
      <c r="E515" s="1474"/>
      <c r="F515" s="1474"/>
      <c r="G515" s="1474"/>
      <c r="H515" s="1474">
        <f>E515+G515</f>
        <v>0</v>
      </c>
      <c r="I515" s="1511"/>
      <c r="J515" s="1475"/>
      <c r="K515" s="1475">
        <f>H515+J515</f>
        <v>0</v>
      </c>
      <c r="L515" s="1488"/>
      <c r="M515" s="2009"/>
    </row>
    <row r="516" spans="1:13" s="423" customFormat="1" ht="14.25" hidden="1" customHeight="1">
      <c r="A516" s="2042"/>
      <c r="B516" s="2151"/>
      <c r="C516" s="2014"/>
      <c r="D516" s="1399">
        <v>4219</v>
      </c>
      <c r="E516" s="1474"/>
      <c r="F516" s="1474"/>
      <c r="G516" s="1474"/>
      <c r="H516" s="1474">
        <f>E516+G516</f>
        <v>0</v>
      </c>
      <c r="I516" s="1511"/>
      <c r="J516" s="1475"/>
      <c r="K516" s="1475">
        <f>H516+J516</f>
        <v>0</v>
      </c>
      <c r="L516" s="1488"/>
      <c r="M516" s="2009"/>
    </row>
    <row r="517" spans="1:13" s="423" customFormat="1" ht="14.1" customHeight="1">
      <c r="A517" s="2042"/>
      <c r="B517" s="2151"/>
      <c r="C517" s="1422" t="s">
        <v>26</v>
      </c>
      <c r="D517" s="1396"/>
      <c r="E517" s="1423"/>
      <c r="F517" s="1423"/>
      <c r="G517" s="1423"/>
      <c r="H517" s="1423"/>
      <c r="I517" s="1352"/>
      <c r="J517" s="1425"/>
      <c r="K517" s="1425"/>
      <c r="L517" s="1426"/>
      <c r="M517" s="2009"/>
    </row>
    <row r="518" spans="1:13" s="423" customFormat="1" ht="14.1" customHeight="1">
      <c r="A518" s="2042"/>
      <c r="B518" s="2151"/>
      <c r="C518" s="1422" t="s">
        <v>27</v>
      </c>
      <c r="D518" s="1391"/>
      <c r="E518" s="1423"/>
      <c r="F518" s="1423"/>
      <c r="G518" s="1423"/>
      <c r="H518" s="1423"/>
      <c r="I518" s="1352"/>
      <c r="J518" s="1425"/>
      <c r="K518" s="1425"/>
      <c r="L518" s="1426"/>
      <c r="M518" s="2009"/>
    </row>
    <row r="519" spans="1:13" s="423" customFormat="1" ht="14.1" customHeight="1">
      <c r="A519" s="2042"/>
      <c r="B519" s="2151"/>
      <c r="C519" s="1308" t="s">
        <v>28</v>
      </c>
      <c r="D519" s="1391"/>
      <c r="E519" s="1313">
        <f>SUM(E520,E522,E523)</f>
        <v>0</v>
      </c>
      <c r="F519" s="1313">
        <f>SUM(F520,F522,F523)</f>
        <v>0</v>
      </c>
      <c r="G519" s="1313"/>
      <c r="H519" s="1313">
        <f>SUM(H520,H522,H523)</f>
        <v>0</v>
      </c>
      <c r="I519" s="1420"/>
      <c r="J519" s="1310">
        <f>SUM(J520,J522,J523)</f>
        <v>0</v>
      </c>
      <c r="K519" s="1310">
        <f>J519+H519</f>
        <v>0</v>
      </c>
      <c r="L519" s="1421"/>
      <c r="M519" s="2009"/>
    </row>
    <row r="520" spans="1:13" s="423" customFormat="1" ht="14.1" customHeight="1">
      <c r="A520" s="2042"/>
      <c r="B520" s="2151"/>
      <c r="C520" s="1422" t="s">
        <v>29</v>
      </c>
      <c r="D520" s="1315"/>
      <c r="E520" s="1423"/>
      <c r="F520" s="1423"/>
      <c r="G520" s="1423"/>
      <c r="H520" s="1423"/>
      <c r="I520" s="1352"/>
      <c r="J520" s="1425"/>
      <c r="K520" s="1425"/>
      <c r="L520" s="1426"/>
      <c r="M520" s="2009"/>
    </row>
    <row r="521" spans="1:13" s="423" customFormat="1" ht="22.5">
      <c r="A521" s="2042"/>
      <c r="B521" s="2151"/>
      <c r="C521" s="1428" t="s">
        <v>89</v>
      </c>
      <c r="D521" s="1391"/>
      <c r="E521" s="1423"/>
      <c r="F521" s="1423"/>
      <c r="G521" s="1423"/>
      <c r="H521" s="1423"/>
      <c r="I521" s="1352"/>
      <c r="J521" s="1425"/>
      <c r="K521" s="1425"/>
      <c r="L521" s="1426"/>
      <c r="M521" s="2009"/>
    </row>
    <row r="522" spans="1:13" s="423" customFormat="1" ht="14.1" customHeight="1">
      <c r="A522" s="2042"/>
      <c r="B522" s="2151"/>
      <c r="C522" s="1422" t="s">
        <v>31</v>
      </c>
      <c r="D522" s="1396"/>
      <c r="E522" s="1423"/>
      <c r="F522" s="1423"/>
      <c r="G522" s="1423"/>
      <c r="H522" s="1423"/>
      <c r="I522" s="1352"/>
      <c r="J522" s="1425"/>
      <c r="K522" s="1425"/>
      <c r="L522" s="1426"/>
      <c r="M522" s="2009"/>
    </row>
    <row r="523" spans="1:13" s="423" customFormat="1" ht="17.25" customHeight="1">
      <c r="A523" s="2042"/>
      <c r="B523" s="2151"/>
      <c r="C523" s="1422" t="s">
        <v>32</v>
      </c>
      <c r="D523" s="1391"/>
      <c r="E523" s="1423"/>
      <c r="F523" s="1423"/>
      <c r="G523" s="1423"/>
      <c r="H523" s="1423"/>
      <c r="I523" s="1352"/>
      <c r="J523" s="1425"/>
      <c r="K523" s="1425"/>
      <c r="L523" s="1426"/>
      <c r="M523" s="2009"/>
    </row>
    <row r="524" spans="1:13" s="423" customFormat="1" ht="17.25" hidden="1" customHeight="1">
      <c r="A524" s="2042"/>
      <c r="B524" s="2151"/>
      <c r="C524" s="1512" t="s">
        <v>466</v>
      </c>
      <c r="D524" s="1448"/>
      <c r="E524" s="1463">
        <f>E525+E550</f>
        <v>0</v>
      </c>
      <c r="F524" s="1463">
        <f>F525+F550</f>
        <v>0</v>
      </c>
      <c r="G524" s="1463">
        <f>G525+G550</f>
        <v>0</v>
      </c>
      <c r="H524" s="1463">
        <f>H525+H550</f>
        <v>0</v>
      </c>
      <c r="I524" s="1513"/>
      <c r="J524" s="1464">
        <f>J525+J550</f>
        <v>0</v>
      </c>
      <c r="K524" s="1464">
        <f>K525+K550</f>
        <v>0</v>
      </c>
      <c r="L524" s="1465"/>
      <c r="M524" s="2009"/>
    </row>
    <row r="525" spans="1:13" s="423" customFormat="1" ht="17.25" hidden="1" customHeight="1">
      <c r="A525" s="2042"/>
      <c r="B525" s="2151"/>
      <c r="C525" s="1418" t="s">
        <v>18</v>
      </c>
      <c r="D525" s="1479"/>
      <c r="E525" s="1467">
        <f>E526+E529+E530+E531+E548+E549</f>
        <v>0</v>
      </c>
      <c r="F525" s="1467">
        <f>F526+F529+F530+F531+F548+F549</f>
        <v>0</v>
      </c>
      <c r="G525" s="1467">
        <f>G526+G529+G530+G531+G548+G549</f>
        <v>0</v>
      </c>
      <c r="H525" s="1467">
        <f>H526+H529+H530+H531+H548+H549</f>
        <v>0</v>
      </c>
      <c r="I525" s="1514"/>
      <c r="J525" s="1481">
        <f>J526+J529+J530+J531+J548+J549</f>
        <v>0</v>
      </c>
      <c r="K525" s="1481">
        <f>K526+K529+K530+K531+K548+K549</f>
        <v>0</v>
      </c>
      <c r="L525" s="1491"/>
      <c r="M525" s="2009"/>
    </row>
    <row r="526" spans="1:13" s="423" customFormat="1" ht="17.25" hidden="1" customHeight="1">
      <c r="A526" s="2042"/>
      <c r="B526" s="2151"/>
      <c r="C526" s="1422" t="s">
        <v>19</v>
      </c>
      <c r="D526" s="1479"/>
      <c r="E526" s="1467">
        <f t="shared" ref="E526:K526" si="40">E527+E528</f>
        <v>0</v>
      </c>
      <c r="F526" s="1467">
        <f t="shared" si="40"/>
        <v>0</v>
      </c>
      <c r="G526" s="1467">
        <f t="shared" si="40"/>
        <v>0</v>
      </c>
      <c r="H526" s="1467">
        <f t="shared" si="40"/>
        <v>0</v>
      </c>
      <c r="I526" s="1514">
        <f t="shared" si="40"/>
        <v>0</v>
      </c>
      <c r="J526" s="1481">
        <f t="shared" si="40"/>
        <v>0</v>
      </c>
      <c r="K526" s="1481">
        <f t="shared" si="40"/>
        <v>0</v>
      </c>
      <c r="L526" s="1491"/>
      <c r="M526" s="2009"/>
    </row>
    <row r="527" spans="1:13" s="423" customFormat="1" ht="17.25" hidden="1" customHeight="1">
      <c r="A527" s="2042"/>
      <c r="B527" s="2151"/>
      <c r="C527" s="1422" t="s">
        <v>20</v>
      </c>
      <c r="D527" s="1479"/>
      <c r="E527" s="1467"/>
      <c r="F527" s="1467"/>
      <c r="G527" s="1467"/>
      <c r="H527" s="1467"/>
      <c r="I527" s="1480"/>
      <c r="J527" s="1481"/>
      <c r="K527" s="1481"/>
      <c r="L527" s="1491"/>
      <c r="M527" s="2009"/>
    </row>
    <row r="528" spans="1:13" s="423" customFormat="1" ht="25.5" hidden="1" customHeight="1">
      <c r="A528" s="2042"/>
      <c r="B528" s="2151"/>
      <c r="C528" s="1503" t="s">
        <v>369</v>
      </c>
      <c r="D528" s="1479"/>
      <c r="E528" s="1467"/>
      <c r="F528" s="1467"/>
      <c r="G528" s="1467"/>
      <c r="H528" s="1467"/>
      <c r="I528" s="1480"/>
      <c r="J528" s="1481"/>
      <c r="K528" s="1481"/>
      <c r="L528" s="1491"/>
      <c r="M528" s="2009"/>
    </row>
    <row r="529" spans="1:13" s="423" customFormat="1" ht="17.25" hidden="1" customHeight="1">
      <c r="A529" s="2042"/>
      <c r="B529" s="2151"/>
      <c r="C529" s="1459" t="s">
        <v>23</v>
      </c>
      <c r="D529" s="1479"/>
      <c r="E529" s="1467"/>
      <c r="F529" s="1467"/>
      <c r="G529" s="1467"/>
      <c r="H529" s="1467"/>
      <c r="I529" s="1480"/>
      <c r="J529" s="1481"/>
      <c r="K529" s="1481"/>
      <c r="L529" s="1491"/>
      <c r="M529" s="2009"/>
    </row>
    <row r="530" spans="1:13" s="423" customFormat="1" ht="17.25" hidden="1" customHeight="1">
      <c r="A530" s="2042"/>
      <c r="B530" s="2151"/>
      <c r="C530" s="1422" t="s">
        <v>24</v>
      </c>
      <c r="D530" s="1479"/>
      <c r="E530" s="1467"/>
      <c r="F530" s="1467"/>
      <c r="G530" s="1467"/>
      <c r="H530" s="1467"/>
      <c r="I530" s="1480"/>
      <c r="J530" s="1481"/>
      <c r="K530" s="1481"/>
      <c r="L530" s="1491"/>
      <c r="M530" s="2009"/>
    </row>
    <row r="531" spans="1:13" s="423" customFormat="1" ht="11.25" hidden="1" customHeight="1">
      <c r="A531" s="2042"/>
      <c r="B531" s="2151"/>
      <c r="C531" s="2166" t="s">
        <v>35</v>
      </c>
      <c r="D531" s="1479" t="s">
        <v>366</v>
      </c>
      <c r="E531" s="1467">
        <f>SUM(E532:E547)</f>
        <v>0</v>
      </c>
      <c r="F531" s="1467">
        <f>SUM(F532:F547)</f>
        <v>0</v>
      </c>
      <c r="G531" s="1467">
        <f>SUM(G532:G547)</f>
        <v>0</v>
      </c>
      <c r="H531" s="1467">
        <f>SUM(H532:H547)</f>
        <v>0</v>
      </c>
      <c r="I531" s="1514"/>
      <c r="J531" s="1481">
        <f>SUM(J532:J547)</f>
        <v>0</v>
      </c>
      <c r="K531" s="1481">
        <f>SUM(K532:K547)</f>
        <v>0</v>
      </c>
      <c r="L531" s="1491"/>
      <c r="M531" s="2009"/>
    </row>
    <row r="532" spans="1:13" s="423" customFormat="1" ht="15" hidden="1" customHeight="1">
      <c r="A532" s="2042"/>
      <c r="B532" s="2151"/>
      <c r="C532" s="2166"/>
      <c r="D532" s="1482">
        <v>2057</v>
      </c>
      <c r="E532" s="1483"/>
      <c r="F532" s="1483"/>
      <c r="G532" s="1483"/>
      <c r="H532" s="1483">
        <f t="shared" ref="H532:H547" si="41">E532+G532</f>
        <v>0</v>
      </c>
      <c r="I532" s="1484"/>
      <c r="J532" s="1486"/>
      <c r="K532" s="1486">
        <f t="shared" ref="K532:K547" si="42">H532+J532</f>
        <v>0</v>
      </c>
      <c r="L532" s="1487"/>
      <c r="M532" s="2009"/>
    </row>
    <row r="533" spans="1:13" s="423" customFormat="1" ht="15" hidden="1" customHeight="1">
      <c r="A533" s="2042"/>
      <c r="B533" s="2151"/>
      <c r="C533" s="2166"/>
      <c r="D533" s="1482">
        <v>4017</v>
      </c>
      <c r="E533" s="1483"/>
      <c r="F533" s="1483"/>
      <c r="G533" s="1483"/>
      <c r="H533" s="1483">
        <f t="shared" si="41"/>
        <v>0</v>
      </c>
      <c r="I533" s="1484"/>
      <c r="J533" s="1486"/>
      <c r="K533" s="1486">
        <f t="shared" si="42"/>
        <v>0</v>
      </c>
      <c r="L533" s="1487"/>
      <c r="M533" s="2009"/>
    </row>
    <row r="534" spans="1:13" s="423" customFormat="1" ht="15" hidden="1" customHeight="1">
      <c r="A534" s="2042"/>
      <c r="B534" s="2151"/>
      <c r="C534" s="2166"/>
      <c r="D534" s="1482">
        <v>4047</v>
      </c>
      <c r="E534" s="1483"/>
      <c r="F534" s="1483"/>
      <c r="G534" s="1483"/>
      <c r="H534" s="1483">
        <f t="shared" si="41"/>
        <v>0</v>
      </c>
      <c r="I534" s="1484"/>
      <c r="J534" s="1486"/>
      <c r="K534" s="1486">
        <f t="shared" si="42"/>
        <v>0</v>
      </c>
      <c r="L534" s="1487"/>
      <c r="M534" s="2009"/>
    </row>
    <row r="535" spans="1:13" s="423" customFormat="1" ht="15" hidden="1" customHeight="1">
      <c r="A535" s="2042"/>
      <c r="B535" s="2151"/>
      <c r="C535" s="2166"/>
      <c r="D535" s="1482">
        <v>4117</v>
      </c>
      <c r="E535" s="1483"/>
      <c r="F535" s="1483"/>
      <c r="G535" s="1483"/>
      <c r="H535" s="1483">
        <f t="shared" si="41"/>
        <v>0</v>
      </c>
      <c r="I535" s="1484"/>
      <c r="J535" s="1486"/>
      <c r="K535" s="1486">
        <f t="shared" si="42"/>
        <v>0</v>
      </c>
      <c r="L535" s="1487"/>
      <c r="M535" s="2009"/>
    </row>
    <row r="536" spans="1:13" s="423" customFormat="1" ht="15" hidden="1" customHeight="1">
      <c r="A536" s="2042"/>
      <c r="B536" s="2151"/>
      <c r="C536" s="2166"/>
      <c r="D536" s="1482">
        <v>4127</v>
      </c>
      <c r="E536" s="1483"/>
      <c r="F536" s="1483"/>
      <c r="G536" s="1483"/>
      <c r="H536" s="1483">
        <f t="shared" si="41"/>
        <v>0</v>
      </c>
      <c r="I536" s="1484"/>
      <c r="J536" s="1486"/>
      <c r="K536" s="1486">
        <f t="shared" si="42"/>
        <v>0</v>
      </c>
      <c r="L536" s="1487"/>
      <c r="M536" s="2009"/>
    </row>
    <row r="537" spans="1:13" s="423" customFormat="1" ht="15" hidden="1" customHeight="1">
      <c r="A537" s="2042"/>
      <c r="B537" s="2151"/>
      <c r="C537" s="2166"/>
      <c r="D537" s="1482">
        <v>4177</v>
      </c>
      <c r="E537" s="1483"/>
      <c r="F537" s="1483"/>
      <c r="G537" s="1483"/>
      <c r="H537" s="1483">
        <f t="shared" si="41"/>
        <v>0</v>
      </c>
      <c r="I537" s="1484"/>
      <c r="J537" s="1486"/>
      <c r="K537" s="1486">
        <f t="shared" si="42"/>
        <v>0</v>
      </c>
      <c r="L537" s="1487"/>
      <c r="M537" s="2009"/>
    </row>
    <row r="538" spans="1:13" s="423" customFormat="1" ht="15" hidden="1" customHeight="1">
      <c r="A538" s="2042"/>
      <c r="B538" s="2151"/>
      <c r="C538" s="2166"/>
      <c r="D538" s="1482">
        <v>4217</v>
      </c>
      <c r="E538" s="1483"/>
      <c r="F538" s="1483"/>
      <c r="G538" s="1483"/>
      <c r="H538" s="1483">
        <f t="shared" si="41"/>
        <v>0</v>
      </c>
      <c r="I538" s="1484"/>
      <c r="J538" s="1486"/>
      <c r="K538" s="1486">
        <f t="shared" si="42"/>
        <v>0</v>
      </c>
      <c r="L538" s="1487"/>
      <c r="M538" s="2009"/>
    </row>
    <row r="539" spans="1:13" s="423" customFormat="1" ht="15" hidden="1" customHeight="1">
      <c r="A539" s="2042"/>
      <c r="B539" s="2151"/>
      <c r="C539" s="2166"/>
      <c r="D539" s="1482">
        <v>4267</v>
      </c>
      <c r="E539" s="1483"/>
      <c r="F539" s="1483"/>
      <c r="G539" s="1483"/>
      <c r="H539" s="1483">
        <f t="shared" si="41"/>
        <v>0</v>
      </c>
      <c r="I539" s="1484"/>
      <c r="J539" s="1486"/>
      <c r="K539" s="1486">
        <f t="shared" si="42"/>
        <v>0</v>
      </c>
      <c r="L539" s="1487"/>
      <c r="M539" s="2009"/>
    </row>
    <row r="540" spans="1:13" s="423" customFormat="1" ht="15" hidden="1" customHeight="1">
      <c r="A540" s="2042"/>
      <c r="B540" s="2151"/>
      <c r="C540" s="2166"/>
      <c r="D540" s="1482">
        <v>4287</v>
      </c>
      <c r="E540" s="1483"/>
      <c r="F540" s="1483"/>
      <c r="G540" s="1483"/>
      <c r="H540" s="1483">
        <f t="shared" si="41"/>
        <v>0</v>
      </c>
      <c r="I540" s="1484"/>
      <c r="J540" s="1486"/>
      <c r="K540" s="1486">
        <f t="shared" si="42"/>
        <v>0</v>
      </c>
      <c r="L540" s="1487"/>
      <c r="M540" s="2009"/>
    </row>
    <row r="541" spans="1:13" s="423" customFormat="1" ht="15" hidden="1" customHeight="1">
      <c r="A541" s="2042"/>
      <c r="B541" s="2151"/>
      <c r="C541" s="2166"/>
      <c r="D541" s="1482">
        <v>4307</v>
      </c>
      <c r="E541" s="1483"/>
      <c r="F541" s="1483"/>
      <c r="G541" s="1483"/>
      <c r="H541" s="1483">
        <f t="shared" si="41"/>
        <v>0</v>
      </c>
      <c r="I541" s="1484"/>
      <c r="J541" s="1486"/>
      <c r="K541" s="1486">
        <f t="shared" si="42"/>
        <v>0</v>
      </c>
      <c r="L541" s="1487"/>
      <c r="M541" s="2009"/>
    </row>
    <row r="542" spans="1:13" s="423" customFormat="1" ht="15" hidden="1" customHeight="1">
      <c r="A542" s="2042"/>
      <c r="B542" s="2151"/>
      <c r="C542" s="2166"/>
      <c r="D542" s="1482">
        <v>4309</v>
      </c>
      <c r="E542" s="1483"/>
      <c r="F542" s="1483"/>
      <c r="G542" s="1483"/>
      <c r="H542" s="1483">
        <f t="shared" si="41"/>
        <v>0</v>
      </c>
      <c r="I542" s="1484"/>
      <c r="J542" s="1486"/>
      <c r="K542" s="1486">
        <f t="shared" si="42"/>
        <v>0</v>
      </c>
      <c r="L542" s="1487"/>
      <c r="M542" s="2009"/>
    </row>
    <row r="543" spans="1:13" s="423" customFormat="1" ht="15" hidden="1" customHeight="1">
      <c r="A543" s="2042"/>
      <c r="B543" s="2151"/>
      <c r="C543" s="2166"/>
      <c r="D543" s="1482">
        <v>4367</v>
      </c>
      <c r="E543" s="1483"/>
      <c r="F543" s="1483"/>
      <c r="G543" s="1483"/>
      <c r="H543" s="1483">
        <f t="shared" si="41"/>
        <v>0</v>
      </c>
      <c r="I543" s="1484"/>
      <c r="J543" s="1486"/>
      <c r="K543" s="1486">
        <f t="shared" si="42"/>
        <v>0</v>
      </c>
      <c r="L543" s="1487"/>
      <c r="M543" s="2009"/>
    </row>
    <row r="544" spans="1:13" s="423" customFormat="1" ht="15" hidden="1" customHeight="1">
      <c r="A544" s="2042"/>
      <c r="B544" s="2151"/>
      <c r="C544" s="2166"/>
      <c r="D544" s="1482">
        <v>4417</v>
      </c>
      <c r="E544" s="1483"/>
      <c r="F544" s="1483"/>
      <c r="G544" s="1483"/>
      <c r="H544" s="1483">
        <f t="shared" si="41"/>
        <v>0</v>
      </c>
      <c r="I544" s="1484"/>
      <c r="J544" s="1486"/>
      <c r="K544" s="1486">
        <f t="shared" si="42"/>
        <v>0</v>
      </c>
      <c r="L544" s="1487"/>
      <c r="M544" s="2009"/>
    </row>
    <row r="545" spans="1:13" s="423" customFormat="1" ht="15" hidden="1" customHeight="1">
      <c r="A545" s="2042"/>
      <c r="B545" s="2151"/>
      <c r="C545" s="2166"/>
      <c r="D545" s="1482">
        <v>4447</v>
      </c>
      <c r="E545" s="1483"/>
      <c r="F545" s="1483"/>
      <c r="G545" s="1483"/>
      <c r="H545" s="1483">
        <f t="shared" si="41"/>
        <v>0</v>
      </c>
      <c r="I545" s="1484"/>
      <c r="J545" s="1486"/>
      <c r="K545" s="1486">
        <f t="shared" si="42"/>
        <v>0</v>
      </c>
      <c r="L545" s="1487"/>
      <c r="M545" s="2009"/>
    </row>
    <row r="546" spans="1:13" s="423" customFormat="1" ht="15" hidden="1" customHeight="1">
      <c r="A546" s="2042"/>
      <c r="B546" s="2151"/>
      <c r="C546" s="2166"/>
      <c r="D546" s="1482">
        <v>4487</v>
      </c>
      <c r="E546" s="1483"/>
      <c r="F546" s="1483"/>
      <c r="G546" s="1483"/>
      <c r="H546" s="1483">
        <f t="shared" si="41"/>
        <v>0</v>
      </c>
      <c r="I546" s="1484"/>
      <c r="J546" s="1486"/>
      <c r="K546" s="1486">
        <f t="shared" si="42"/>
        <v>0</v>
      </c>
      <c r="L546" s="1487"/>
      <c r="M546" s="2009"/>
    </row>
    <row r="547" spans="1:13" s="423" customFormat="1" ht="15" hidden="1" customHeight="1">
      <c r="A547" s="2042"/>
      <c r="B547" s="2151"/>
      <c r="C547" s="2166"/>
      <c r="D547" s="1482">
        <v>4527</v>
      </c>
      <c r="E547" s="1483"/>
      <c r="F547" s="1483"/>
      <c r="G547" s="1483"/>
      <c r="H547" s="1483">
        <f t="shared" si="41"/>
        <v>0</v>
      </c>
      <c r="I547" s="1484"/>
      <c r="J547" s="1486"/>
      <c r="K547" s="1486">
        <f t="shared" si="42"/>
        <v>0</v>
      </c>
      <c r="L547" s="1487"/>
      <c r="M547" s="2009"/>
    </row>
    <row r="548" spans="1:13" s="423" customFormat="1" ht="17.25" hidden="1" customHeight="1">
      <c r="A548" s="2042"/>
      <c r="B548" s="2151"/>
      <c r="C548" s="1422" t="s">
        <v>26</v>
      </c>
      <c r="D548" s="1391"/>
      <c r="E548" s="1423"/>
      <c r="F548" s="1423"/>
      <c r="G548" s="1423"/>
      <c r="H548" s="1423"/>
      <c r="I548" s="1352"/>
      <c r="J548" s="1425"/>
      <c r="K548" s="1425"/>
      <c r="L548" s="1426"/>
      <c r="M548" s="2009"/>
    </row>
    <row r="549" spans="1:13" s="423" customFormat="1" ht="17.25" hidden="1" customHeight="1">
      <c r="A549" s="2042"/>
      <c r="B549" s="2151"/>
      <c r="C549" s="1422" t="s">
        <v>27</v>
      </c>
      <c r="D549" s="1391"/>
      <c r="E549" s="1423"/>
      <c r="F549" s="1423"/>
      <c r="G549" s="1423"/>
      <c r="H549" s="1423"/>
      <c r="I549" s="1352"/>
      <c r="J549" s="1425"/>
      <c r="K549" s="1425"/>
      <c r="L549" s="1426"/>
      <c r="M549" s="2009"/>
    </row>
    <row r="550" spans="1:13" s="423" customFormat="1" ht="11.25" hidden="1" customHeight="1">
      <c r="A550" s="2042"/>
      <c r="B550" s="2151"/>
      <c r="C550" s="1308" t="s">
        <v>28</v>
      </c>
      <c r="D550" s="1391"/>
      <c r="E550" s="1423">
        <f>E551+E559+E560</f>
        <v>0</v>
      </c>
      <c r="F550" s="1423">
        <f>F551+F559+F560</f>
        <v>0</v>
      </c>
      <c r="G550" s="1423">
        <f>G551+G559+G560</f>
        <v>0</v>
      </c>
      <c r="H550" s="1423">
        <f>H551+H559+H560</f>
        <v>0</v>
      </c>
      <c r="I550" s="1515"/>
      <c r="J550" s="1425">
        <f>J551+J559+J560</f>
        <v>0</v>
      </c>
      <c r="K550" s="1425">
        <f>K551+K559+K560</f>
        <v>0</v>
      </c>
      <c r="L550" s="1426"/>
      <c r="M550" s="2009"/>
    </row>
    <row r="551" spans="1:13" s="423" customFormat="1" ht="11.25" hidden="1" customHeight="1">
      <c r="A551" s="2042"/>
      <c r="B551" s="2151"/>
      <c r="C551" s="2013" t="s">
        <v>29</v>
      </c>
      <c r="D551" s="1391" t="s">
        <v>366</v>
      </c>
      <c r="E551" s="1423">
        <f>E552+E553+E554</f>
        <v>0</v>
      </c>
      <c r="F551" s="1423">
        <f>F552+F553+F554</f>
        <v>0</v>
      </c>
      <c r="G551" s="1423">
        <f>G552+G553+G554</f>
        <v>0</v>
      </c>
      <c r="H551" s="1423">
        <f>H555</f>
        <v>0</v>
      </c>
      <c r="I551" s="1515"/>
      <c r="J551" s="1425">
        <f>J555</f>
        <v>0</v>
      </c>
      <c r="K551" s="1425">
        <f>K555</f>
        <v>0</v>
      </c>
      <c r="L551" s="1426"/>
      <c r="M551" s="2009"/>
    </row>
    <row r="552" spans="1:13" s="423" customFormat="1" ht="11.25" hidden="1" customHeight="1">
      <c r="A552" s="2042"/>
      <c r="B552" s="2151"/>
      <c r="C552" s="2013"/>
      <c r="D552" s="1399">
        <v>6057</v>
      </c>
      <c r="E552" s="1474"/>
      <c r="F552" s="1474"/>
      <c r="G552" s="1474"/>
      <c r="H552" s="1423">
        <f>H556</f>
        <v>0</v>
      </c>
      <c r="I552" s="1516"/>
      <c r="J552" s="1475"/>
      <c r="K552" s="1425">
        <f>K556</f>
        <v>0</v>
      </c>
      <c r="L552" s="1426"/>
      <c r="M552" s="2009"/>
    </row>
    <row r="553" spans="1:13" s="423" customFormat="1" ht="11.25" hidden="1" customHeight="1">
      <c r="A553" s="2042"/>
      <c r="B553" s="2151"/>
      <c r="C553" s="2013"/>
      <c r="D553" s="1399">
        <v>6067</v>
      </c>
      <c r="E553" s="1474"/>
      <c r="F553" s="1474"/>
      <c r="G553" s="1474"/>
      <c r="H553" s="1423">
        <f>H557</f>
        <v>0</v>
      </c>
      <c r="I553" s="1516"/>
      <c r="J553" s="1475"/>
      <c r="K553" s="1425">
        <f>K557</f>
        <v>0</v>
      </c>
      <c r="L553" s="1426"/>
      <c r="M553" s="2009"/>
    </row>
    <row r="554" spans="1:13" s="423" customFormat="1" ht="11.25" hidden="1" customHeight="1">
      <c r="A554" s="2042"/>
      <c r="B554" s="2151"/>
      <c r="C554" s="2013"/>
      <c r="D554" s="1399">
        <v>6069</v>
      </c>
      <c r="E554" s="1474"/>
      <c r="F554" s="1474"/>
      <c r="G554" s="1474"/>
      <c r="H554" s="1423">
        <f>H558</f>
        <v>0</v>
      </c>
      <c r="I554" s="1516"/>
      <c r="J554" s="1475"/>
      <c r="K554" s="1425">
        <f>K558</f>
        <v>0</v>
      </c>
      <c r="L554" s="1426"/>
      <c r="M554" s="2009"/>
    </row>
    <row r="555" spans="1:13" s="423" customFormat="1" ht="14.25" hidden="1" customHeight="1">
      <c r="A555" s="2042"/>
      <c r="B555" s="2151"/>
      <c r="C555" s="2014" t="s">
        <v>89</v>
      </c>
      <c r="D555" s="1391" t="s">
        <v>366</v>
      </c>
      <c r="E555" s="1423">
        <f>SUM(E556:E558)</f>
        <v>0</v>
      </c>
      <c r="F555" s="1423"/>
      <c r="G555" s="1423"/>
      <c r="H555" s="1423">
        <f>SUM(H556:H558)</f>
        <v>0</v>
      </c>
      <c r="I555" s="1515"/>
      <c r="J555" s="1425">
        <f>SUM(J556:J558)</f>
        <v>0</v>
      </c>
      <c r="K555" s="1425">
        <f>SUM(K556:K558)</f>
        <v>0</v>
      </c>
      <c r="L555" s="1426"/>
      <c r="M555" s="2009"/>
    </row>
    <row r="556" spans="1:13" s="423" customFormat="1" ht="11.25" hidden="1" customHeight="1">
      <c r="A556" s="2042"/>
      <c r="B556" s="2151"/>
      <c r="C556" s="2014"/>
      <c r="D556" s="1399">
        <v>6057</v>
      </c>
      <c r="E556" s="1474"/>
      <c r="F556" s="1474"/>
      <c r="G556" s="1474"/>
      <c r="H556" s="1423">
        <f>E556+G556</f>
        <v>0</v>
      </c>
      <c r="I556" s="1516"/>
      <c r="J556" s="1475"/>
      <c r="K556" s="1425">
        <f>H556+J556</f>
        <v>0</v>
      </c>
      <c r="L556" s="1426"/>
      <c r="M556" s="2009"/>
    </row>
    <row r="557" spans="1:13" s="423" customFormat="1" ht="11.25" hidden="1" customHeight="1">
      <c r="A557" s="2042"/>
      <c r="B557" s="2151"/>
      <c r="C557" s="2014"/>
      <c r="D557" s="1399">
        <v>6067</v>
      </c>
      <c r="E557" s="1474"/>
      <c r="F557" s="1474"/>
      <c r="G557" s="1474"/>
      <c r="H557" s="1423">
        <f>E557+G557</f>
        <v>0</v>
      </c>
      <c r="I557" s="1516"/>
      <c r="J557" s="1475"/>
      <c r="K557" s="1425">
        <f>H557+J557</f>
        <v>0</v>
      </c>
      <c r="L557" s="1426"/>
      <c r="M557" s="2009"/>
    </row>
    <row r="558" spans="1:13" s="423" customFormat="1" ht="11.25" hidden="1" customHeight="1">
      <c r="A558" s="2042"/>
      <c r="B558" s="2151"/>
      <c r="C558" s="2014"/>
      <c r="D558" s="1399">
        <v>6069</v>
      </c>
      <c r="E558" s="1474"/>
      <c r="F558" s="1474"/>
      <c r="G558" s="1474"/>
      <c r="H558" s="1423">
        <f>E558+G558</f>
        <v>0</v>
      </c>
      <c r="I558" s="1516"/>
      <c r="J558" s="1475"/>
      <c r="K558" s="1425">
        <f>H558+J558</f>
        <v>0</v>
      </c>
      <c r="L558" s="1426"/>
      <c r="M558" s="2009"/>
    </row>
    <row r="559" spans="1:13" s="423" customFormat="1" ht="11.25" hidden="1" customHeight="1">
      <c r="A559" s="2042"/>
      <c r="B559" s="2151"/>
      <c r="C559" s="1422" t="s">
        <v>31</v>
      </c>
      <c r="D559" s="1391"/>
      <c r="E559" s="1423"/>
      <c r="F559" s="1423"/>
      <c r="G559" s="1423"/>
      <c r="H559" s="1423"/>
      <c r="I559" s="1352"/>
      <c r="J559" s="1425"/>
      <c r="K559" s="1425"/>
      <c r="L559" s="1426"/>
      <c r="M559" s="2009"/>
    </row>
    <row r="560" spans="1:13" s="423" customFormat="1" ht="11.25" customHeight="1" thickBot="1">
      <c r="A560" s="2153"/>
      <c r="B560" s="2152"/>
      <c r="C560" s="1039" t="s">
        <v>32</v>
      </c>
      <c r="D560" s="1618"/>
      <c r="E560" s="1634"/>
      <c r="F560" s="1634"/>
      <c r="G560" s="1634"/>
      <c r="H560" s="1634"/>
      <c r="I560" s="1178"/>
      <c r="J560" s="1637"/>
      <c r="K560" s="1637"/>
      <c r="L560" s="1638"/>
      <c r="M560" s="2021"/>
    </row>
    <row r="561" spans="1:13" s="423" customFormat="1" ht="14.1" customHeight="1">
      <c r="A561" s="2052"/>
      <c r="B561" s="2158">
        <v>85509</v>
      </c>
      <c r="C561" s="1697" t="s">
        <v>467</v>
      </c>
      <c r="D561" s="1662"/>
      <c r="E561" s="1663">
        <f>E562+E592</f>
        <v>1596000</v>
      </c>
      <c r="F561" s="1663">
        <f>F562+F592</f>
        <v>1596000</v>
      </c>
      <c r="G561" s="1663"/>
      <c r="H561" s="1663">
        <f>H562+H592</f>
        <v>1596000</v>
      </c>
      <c r="I561" s="1157">
        <f t="shared" ref="I561:I581" si="43">H561/E561</f>
        <v>1</v>
      </c>
      <c r="J561" s="1664">
        <f>J562+J592</f>
        <v>162000</v>
      </c>
      <c r="K561" s="1664">
        <f>K562+K592</f>
        <v>1758000</v>
      </c>
      <c r="L561" s="1665">
        <f>K561/E561</f>
        <v>1.1015037593984962</v>
      </c>
      <c r="M561" s="2008" t="s">
        <v>468</v>
      </c>
    </row>
    <row r="562" spans="1:13" s="423" customFormat="1" ht="14.1" customHeight="1">
      <c r="A562" s="2046"/>
      <c r="B562" s="2156"/>
      <c r="C562" s="1418" t="s">
        <v>18</v>
      </c>
      <c r="D562" s="1315"/>
      <c r="E562" s="1313">
        <f>E563+E587+E588+E589+E590+E591</f>
        <v>1596000</v>
      </c>
      <c r="F562" s="1313">
        <f>F563+F587+F588+F589+F590+F591</f>
        <v>1596000</v>
      </c>
      <c r="G562" s="1313"/>
      <c r="H562" s="1313">
        <f>H564+H571+H587+H588+H589+H590+H591</f>
        <v>1596000</v>
      </c>
      <c r="I562" s="1517">
        <f t="shared" si="43"/>
        <v>1</v>
      </c>
      <c r="J562" s="1310">
        <f>J564+J571+J587+J588+J589+J590+J591</f>
        <v>162000</v>
      </c>
      <c r="K562" s="1310">
        <f>K564+K571+K587+K588+K589+K590+K591</f>
        <v>1758000</v>
      </c>
      <c r="L562" s="1455">
        <f t="shared" ref="L562:L588" si="44">K562/E562</f>
        <v>1.1015037593984962</v>
      </c>
      <c r="M562" s="2009"/>
    </row>
    <row r="563" spans="1:13" s="423" customFormat="1" ht="14.1" customHeight="1">
      <c r="A563" s="2046"/>
      <c r="B563" s="2156"/>
      <c r="C563" s="1422" t="s">
        <v>19</v>
      </c>
      <c r="D563" s="1315"/>
      <c r="E563" s="1423">
        <f>E564+E571</f>
        <v>1591867</v>
      </c>
      <c r="F563" s="1423">
        <f>F564+F571</f>
        <v>1591867</v>
      </c>
      <c r="G563" s="1423"/>
      <c r="H563" s="1423">
        <f>H564+H571</f>
        <v>1588945</v>
      </c>
      <c r="I563" s="1352">
        <f t="shared" si="43"/>
        <v>0.99816441951494694</v>
      </c>
      <c r="J563" s="1425">
        <f>J564+J571</f>
        <v>162000</v>
      </c>
      <c r="K563" s="1425">
        <v>0</v>
      </c>
      <c r="L563" s="1455">
        <f t="shared" si="44"/>
        <v>0</v>
      </c>
      <c r="M563" s="2009"/>
    </row>
    <row r="564" spans="1:13" s="423" customFormat="1" ht="14.1" customHeight="1">
      <c r="A564" s="2046"/>
      <c r="B564" s="2156"/>
      <c r="C564" s="2013" t="s">
        <v>20</v>
      </c>
      <c r="D564" s="1391" t="s">
        <v>366</v>
      </c>
      <c r="E564" s="1423">
        <f>SUM(E565:E570)</f>
        <v>1309501</v>
      </c>
      <c r="F564" s="1423">
        <f>SUM(F565:F570)</f>
        <v>1309501</v>
      </c>
      <c r="G564" s="1423">
        <f>SUM(G565:G570)</f>
        <v>0</v>
      </c>
      <c r="H564" s="1423">
        <f>SUM(H565:H570)</f>
        <v>1271568</v>
      </c>
      <c r="I564" s="1352">
        <f t="shared" si="43"/>
        <v>0.9710324772566038</v>
      </c>
      <c r="J564" s="1425">
        <f>SUM(J565:J570)</f>
        <v>162000</v>
      </c>
      <c r="K564" s="1425">
        <f>SUM(K565:K570)</f>
        <v>1433568</v>
      </c>
      <c r="L564" s="1455">
        <f t="shared" si="44"/>
        <v>1.0947437229906658</v>
      </c>
      <c r="M564" s="2009"/>
    </row>
    <row r="565" spans="1:13" s="423" customFormat="1" ht="14.1" customHeight="1">
      <c r="A565" s="2046"/>
      <c r="B565" s="2156"/>
      <c r="C565" s="2013"/>
      <c r="D565" s="1399">
        <v>4010</v>
      </c>
      <c r="E565" s="1474">
        <v>1005494</v>
      </c>
      <c r="F565" s="1474">
        <v>1005494</v>
      </c>
      <c r="G565" s="1474"/>
      <c r="H565" s="1474">
        <v>949879</v>
      </c>
      <c r="I565" s="1360">
        <f t="shared" si="43"/>
        <v>0.94468887929714151</v>
      </c>
      <c r="J565" s="1475">
        <v>135316</v>
      </c>
      <c r="K565" s="1475">
        <f t="shared" ref="K565:K570" si="45">J565+H565</f>
        <v>1085195</v>
      </c>
      <c r="L565" s="1455">
        <f t="shared" si="44"/>
        <v>1.0792655152591661</v>
      </c>
      <c r="M565" s="2009"/>
    </row>
    <row r="566" spans="1:13" s="423" customFormat="1" ht="14.1" customHeight="1">
      <c r="A566" s="2046"/>
      <c r="B566" s="2156"/>
      <c r="C566" s="2013"/>
      <c r="D566" s="1399">
        <v>4040</v>
      </c>
      <c r="E566" s="1474">
        <v>86963</v>
      </c>
      <c r="F566" s="1474">
        <v>86963</v>
      </c>
      <c r="G566" s="1474"/>
      <c r="H566" s="1474">
        <v>111218</v>
      </c>
      <c r="I566" s="1360">
        <f t="shared" si="43"/>
        <v>1.2789117210767798</v>
      </c>
      <c r="J566" s="1475"/>
      <c r="K566" s="1475">
        <f t="shared" si="45"/>
        <v>111218</v>
      </c>
      <c r="L566" s="1455">
        <f t="shared" si="44"/>
        <v>1.2789117210767798</v>
      </c>
      <c r="M566" s="2009"/>
    </row>
    <row r="567" spans="1:13" s="423" customFormat="1" ht="14.1" customHeight="1">
      <c r="A567" s="2046"/>
      <c r="B567" s="2156"/>
      <c r="C567" s="2013"/>
      <c r="D567" s="1399">
        <v>4110</v>
      </c>
      <c r="E567" s="1474">
        <v>184831</v>
      </c>
      <c r="F567" s="1474">
        <v>184831</v>
      </c>
      <c r="G567" s="1474"/>
      <c r="H567" s="1474">
        <v>180495</v>
      </c>
      <c r="I567" s="1360">
        <f t="shared" si="43"/>
        <v>0.97654073180364764</v>
      </c>
      <c r="J567" s="1475">
        <v>23369</v>
      </c>
      <c r="K567" s="1475">
        <f t="shared" si="45"/>
        <v>203864</v>
      </c>
      <c r="L567" s="1455">
        <f t="shared" si="44"/>
        <v>1.102975150272411</v>
      </c>
      <c r="M567" s="2009"/>
    </row>
    <row r="568" spans="1:13" s="423" customFormat="1" ht="14.1" customHeight="1">
      <c r="A568" s="2046"/>
      <c r="B568" s="2156"/>
      <c r="C568" s="2013"/>
      <c r="D568" s="1399">
        <v>4120</v>
      </c>
      <c r="E568" s="1474">
        <v>26638</v>
      </c>
      <c r="F568" s="1474">
        <v>26638</v>
      </c>
      <c r="G568" s="1474"/>
      <c r="H568" s="1474">
        <v>25605</v>
      </c>
      <c r="I568" s="1360">
        <f t="shared" si="43"/>
        <v>0.96122081237330126</v>
      </c>
      <c r="J568" s="1475">
        <v>3315</v>
      </c>
      <c r="K568" s="1475">
        <f t="shared" si="45"/>
        <v>28920</v>
      </c>
      <c r="L568" s="1455">
        <f t="shared" si="44"/>
        <v>1.0856670921240332</v>
      </c>
      <c r="M568" s="2009"/>
    </row>
    <row r="569" spans="1:13" s="423" customFormat="1" ht="14.1" hidden="1" customHeight="1">
      <c r="A569" s="2046"/>
      <c r="B569" s="2156"/>
      <c r="C569" s="2013"/>
      <c r="D569" s="1399">
        <v>4170</v>
      </c>
      <c r="E569" s="1474">
        <v>0</v>
      </c>
      <c r="F569" s="1474"/>
      <c r="G569" s="1474"/>
      <c r="H569" s="1474">
        <f t="shared" ref="H569" si="46">E569+G569</f>
        <v>0</v>
      </c>
      <c r="I569" s="1360" t="e">
        <f t="shared" si="43"/>
        <v>#DIV/0!</v>
      </c>
      <c r="J569" s="1475"/>
      <c r="K569" s="1475">
        <f t="shared" si="45"/>
        <v>0</v>
      </c>
      <c r="L569" s="1455" t="e">
        <f t="shared" si="44"/>
        <v>#DIV/0!</v>
      </c>
      <c r="M569" s="2009"/>
    </row>
    <row r="570" spans="1:13" s="423" customFormat="1" ht="14.1" customHeight="1">
      <c r="A570" s="2046"/>
      <c r="B570" s="2156"/>
      <c r="C570" s="2013"/>
      <c r="D570" s="1399">
        <v>4710</v>
      </c>
      <c r="E570" s="1474">
        <v>5575</v>
      </c>
      <c r="F570" s="1474">
        <v>5575</v>
      </c>
      <c r="G570" s="1474"/>
      <c r="H570" s="1474">
        <v>4371</v>
      </c>
      <c r="I570" s="1360">
        <f t="shared" si="43"/>
        <v>0.78403587443946188</v>
      </c>
      <c r="J570" s="1475"/>
      <c r="K570" s="1475">
        <f t="shared" si="45"/>
        <v>4371</v>
      </c>
      <c r="L570" s="1455">
        <f t="shared" si="44"/>
        <v>0.78403587443946188</v>
      </c>
      <c r="M570" s="2009"/>
    </row>
    <row r="571" spans="1:13" s="423" customFormat="1" ht="14.1" customHeight="1">
      <c r="A571" s="2046"/>
      <c r="B571" s="2156"/>
      <c r="C571" s="2014" t="s">
        <v>369</v>
      </c>
      <c r="D571" s="1391" t="s">
        <v>366</v>
      </c>
      <c r="E571" s="1423">
        <f>SUM(E572:E586)</f>
        <v>282366</v>
      </c>
      <c r="F571" s="1423">
        <f>SUM(F572:F586)</f>
        <v>282366</v>
      </c>
      <c r="G571" s="1423"/>
      <c r="H571" s="1423">
        <f>SUM(H572:H586)</f>
        <v>317377</v>
      </c>
      <c r="I571" s="1352">
        <f t="shared" si="43"/>
        <v>1.1239915570571528</v>
      </c>
      <c r="J571" s="1425"/>
      <c r="K571" s="1425">
        <f>SUM(K572:K586)</f>
        <v>317377</v>
      </c>
      <c r="L571" s="1455">
        <f t="shared" si="44"/>
        <v>1.1239915570571528</v>
      </c>
      <c r="M571" s="2009"/>
    </row>
    <row r="572" spans="1:13" s="423" customFormat="1" ht="14.1" customHeight="1">
      <c r="A572" s="2046"/>
      <c r="B572" s="2156"/>
      <c r="C572" s="2014"/>
      <c r="D572" s="1399">
        <v>4140</v>
      </c>
      <c r="E572" s="1474">
        <v>3113</v>
      </c>
      <c r="F572" s="1474">
        <v>3113</v>
      </c>
      <c r="G572" s="1474"/>
      <c r="H572" s="1474">
        <v>4263</v>
      </c>
      <c r="I572" s="1360">
        <f t="shared" si="43"/>
        <v>1.369418567298426</v>
      </c>
      <c r="J572" s="1475"/>
      <c r="K572" s="1475">
        <f t="shared" ref="K572:K586" si="47">J572+H572</f>
        <v>4263</v>
      </c>
      <c r="L572" s="1455">
        <f t="shared" si="44"/>
        <v>1.369418567298426</v>
      </c>
      <c r="M572" s="2009"/>
    </row>
    <row r="573" spans="1:13" s="423" customFormat="1" ht="14.1" customHeight="1">
      <c r="A573" s="2046"/>
      <c r="B573" s="2156"/>
      <c r="C573" s="2014"/>
      <c r="D573" s="1399">
        <v>4210</v>
      </c>
      <c r="E573" s="1474">
        <v>80339</v>
      </c>
      <c r="F573" s="1474">
        <v>80339</v>
      </c>
      <c r="G573" s="1474"/>
      <c r="H573" s="1474">
        <v>70946</v>
      </c>
      <c r="I573" s="1360">
        <f t="shared" si="43"/>
        <v>0.88308293605845234</v>
      </c>
      <c r="J573" s="1475"/>
      <c r="K573" s="1475">
        <f t="shared" si="47"/>
        <v>70946</v>
      </c>
      <c r="L573" s="1455">
        <f t="shared" si="44"/>
        <v>0.88308293605845234</v>
      </c>
      <c r="M573" s="2009"/>
    </row>
    <row r="574" spans="1:13" s="423" customFormat="1" ht="14.1" customHeight="1">
      <c r="A574" s="2046"/>
      <c r="B574" s="2156"/>
      <c r="C574" s="2014"/>
      <c r="D574" s="1399">
        <v>4220</v>
      </c>
      <c r="E574" s="1474">
        <v>4500</v>
      </c>
      <c r="F574" s="1474">
        <v>4500</v>
      </c>
      <c r="G574" s="1474"/>
      <c r="H574" s="1474">
        <v>4500</v>
      </c>
      <c r="I574" s="1360">
        <f t="shared" si="43"/>
        <v>1</v>
      </c>
      <c r="J574" s="1475"/>
      <c r="K574" s="1475">
        <f t="shared" si="47"/>
        <v>4500</v>
      </c>
      <c r="L574" s="1455">
        <f t="shared" si="44"/>
        <v>1</v>
      </c>
      <c r="M574" s="2009"/>
    </row>
    <row r="575" spans="1:13" s="423" customFormat="1" ht="14.1" customHeight="1">
      <c r="A575" s="2046"/>
      <c r="B575" s="2156"/>
      <c r="C575" s="2014"/>
      <c r="D575" s="1399">
        <v>4240</v>
      </c>
      <c r="E575" s="1474">
        <v>4240</v>
      </c>
      <c r="F575" s="1474">
        <v>4240</v>
      </c>
      <c r="G575" s="1474"/>
      <c r="H575" s="1474">
        <v>5000</v>
      </c>
      <c r="I575" s="1360"/>
      <c r="J575" s="1475"/>
      <c r="K575" s="1475">
        <f t="shared" si="47"/>
        <v>5000</v>
      </c>
      <c r="L575" s="1455">
        <f t="shared" si="44"/>
        <v>1.179245283018868</v>
      </c>
      <c r="M575" s="2009"/>
    </row>
    <row r="576" spans="1:13" s="423" customFormat="1" ht="14.1" customHeight="1">
      <c r="A576" s="2046"/>
      <c r="B576" s="2156"/>
      <c r="C576" s="2014"/>
      <c r="D576" s="1399">
        <v>4260</v>
      </c>
      <c r="E576" s="1474">
        <v>24040</v>
      </c>
      <c r="F576" s="1474">
        <v>24040</v>
      </c>
      <c r="G576" s="1474"/>
      <c r="H576" s="1474">
        <v>30973</v>
      </c>
      <c r="I576" s="1360">
        <f t="shared" si="43"/>
        <v>1.2883943427620632</v>
      </c>
      <c r="J576" s="1475"/>
      <c r="K576" s="1475">
        <f t="shared" si="47"/>
        <v>30973</v>
      </c>
      <c r="L576" s="1455">
        <f t="shared" si="44"/>
        <v>1.2883943427620632</v>
      </c>
      <c r="M576" s="2009"/>
    </row>
    <row r="577" spans="1:13" s="423" customFormat="1" ht="14.1" customHeight="1">
      <c r="A577" s="2046"/>
      <c r="B577" s="2156"/>
      <c r="C577" s="2014"/>
      <c r="D577" s="1399">
        <v>4270</v>
      </c>
      <c r="E577" s="1474">
        <v>9061</v>
      </c>
      <c r="F577" s="1474">
        <v>9061</v>
      </c>
      <c r="G577" s="1474"/>
      <c r="H577" s="1474">
        <v>14448</v>
      </c>
      <c r="I577" s="1360">
        <f t="shared" si="43"/>
        <v>1.5945259905087739</v>
      </c>
      <c r="J577" s="1475"/>
      <c r="K577" s="1475">
        <f t="shared" si="47"/>
        <v>14448</v>
      </c>
      <c r="L577" s="1455">
        <f t="shared" si="44"/>
        <v>1.5945259905087739</v>
      </c>
      <c r="M577" s="2009"/>
    </row>
    <row r="578" spans="1:13" s="423" customFormat="1" ht="14.1" customHeight="1">
      <c r="A578" s="2046"/>
      <c r="B578" s="2156"/>
      <c r="C578" s="2014"/>
      <c r="D578" s="1399">
        <v>4280</v>
      </c>
      <c r="E578" s="1474">
        <v>2110</v>
      </c>
      <c r="F578" s="1474">
        <v>2110</v>
      </c>
      <c r="G578" s="1474"/>
      <c r="H578" s="1474">
        <v>900</v>
      </c>
      <c r="I578" s="1360">
        <f t="shared" si="43"/>
        <v>0.42654028436018959</v>
      </c>
      <c r="J578" s="1475"/>
      <c r="K578" s="1475">
        <f t="shared" si="47"/>
        <v>900</v>
      </c>
      <c r="L578" s="1455">
        <f t="shared" si="44"/>
        <v>0.42654028436018959</v>
      </c>
      <c r="M578" s="2009"/>
    </row>
    <row r="579" spans="1:13" s="423" customFormat="1" ht="14.1" customHeight="1">
      <c r="A579" s="2046"/>
      <c r="B579" s="2156"/>
      <c r="C579" s="2014"/>
      <c r="D579" s="1399">
        <v>4300</v>
      </c>
      <c r="E579" s="1474">
        <v>75957</v>
      </c>
      <c r="F579" s="1474">
        <v>75957</v>
      </c>
      <c r="G579" s="1474"/>
      <c r="H579" s="1474">
        <v>96752</v>
      </c>
      <c r="I579" s="1360">
        <f t="shared" si="43"/>
        <v>1.2737733191147622</v>
      </c>
      <c r="J579" s="1475"/>
      <c r="K579" s="1475">
        <f t="shared" si="47"/>
        <v>96752</v>
      </c>
      <c r="L579" s="1455">
        <f t="shared" si="44"/>
        <v>1.2737733191147622</v>
      </c>
      <c r="M579" s="2009"/>
    </row>
    <row r="580" spans="1:13" s="423" customFormat="1" ht="14.1" customHeight="1">
      <c r="A580" s="2046"/>
      <c r="B580" s="2156"/>
      <c r="C580" s="2014"/>
      <c r="D580" s="1399">
        <v>4360</v>
      </c>
      <c r="E580" s="1474">
        <v>4601</v>
      </c>
      <c r="F580" s="1474">
        <v>4601</v>
      </c>
      <c r="G580" s="1474"/>
      <c r="H580" s="1474">
        <v>5133</v>
      </c>
      <c r="I580" s="1360">
        <f t="shared" si="43"/>
        <v>1.1156270376005217</v>
      </c>
      <c r="J580" s="1475"/>
      <c r="K580" s="1475">
        <f t="shared" si="47"/>
        <v>5133</v>
      </c>
      <c r="L580" s="1455">
        <f t="shared" si="44"/>
        <v>1.1156270376005217</v>
      </c>
      <c r="M580" s="2009"/>
    </row>
    <row r="581" spans="1:13" s="423" customFormat="1" ht="14.1" customHeight="1">
      <c r="A581" s="2046"/>
      <c r="B581" s="2156"/>
      <c r="C581" s="2014"/>
      <c r="D581" s="1399">
        <v>4410</v>
      </c>
      <c r="E581" s="1474">
        <v>6804</v>
      </c>
      <c r="F581" s="1474">
        <v>6804</v>
      </c>
      <c r="G581" s="1474"/>
      <c r="H581" s="1474">
        <v>6804</v>
      </c>
      <c r="I581" s="1360">
        <f t="shared" si="43"/>
        <v>1</v>
      </c>
      <c r="J581" s="1475"/>
      <c r="K581" s="1475">
        <f t="shared" si="47"/>
        <v>6804</v>
      </c>
      <c r="L581" s="1455">
        <f t="shared" si="44"/>
        <v>1</v>
      </c>
      <c r="M581" s="2009"/>
    </row>
    <row r="582" spans="1:13" s="423" customFormat="1" ht="14.1" customHeight="1">
      <c r="A582" s="2046"/>
      <c r="B582" s="2156"/>
      <c r="C582" s="2014"/>
      <c r="D582" s="1399">
        <v>4430</v>
      </c>
      <c r="E582" s="1474">
        <v>3319</v>
      </c>
      <c r="F582" s="1474">
        <v>3319</v>
      </c>
      <c r="G582" s="1474"/>
      <c r="H582" s="1474">
        <v>4363</v>
      </c>
      <c r="I582" s="1360"/>
      <c r="J582" s="1475"/>
      <c r="K582" s="1475">
        <f t="shared" si="47"/>
        <v>4363</v>
      </c>
      <c r="L582" s="1455">
        <f t="shared" si="44"/>
        <v>1.3145525760771317</v>
      </c>
      <c r="M582" s="2009"/>
    </row>
    <row r="583" spans="1:13" s="423" customFormat="1" ht="14.1" customHeight="1">
      <c r="A583" s="2046"/>
      <c r="B583" s="2156"/>
      <c r="C583" s="2014"/>
      <c r="D583" s="1399">
        <v>4440</v>
      </c>
      <c r="E583" s="1474">
        <v>31597</v>
      </c>
      <c r="F583" s="1474">
        <v>31597</v>
      </c>
      <c r="G583" s="1474"/>
      <c r="H583" s="1474">
        <v>32427</v>
      </c>
      <c r="I583" s="1360">
        <f>H583/E583</f>
        <v>1.0262683166123365</v>
      </c>
      <c r="J583" s="1475"/>
      <c r="K583" s="1475">
        <f t="shared" si="47"/>
        <v>32427</v>
      </c>
      <c r="L583" s="1455">
        <f t="shared" si="44"/>
        <v>1.0262683166123365</v>
      </c>
      <c r="M583" s="2009"/>
    </row>
    <row r="584" spans="1:13" s="423" customFormat="1" ht="14.1" customHeight="1">
      <c r="A584" s="2046"/>
      <c r="B584" s="2156"/>
      <c r="C584" s="2014"/>
      <c r="D584" s="1399">
        <v>4480</v>
      </c>
      <c r="E584" s="1474">
        <v>4234</v>
      </c>
      <c r="F584" s="1474">
        <v>4234</v>
      </c>
      <c r="G584" s="1474"/>
      <c r="H584" s="1474">
        <v>5311</v>
      </c>
      <c r="I584" s="1360">
        <f>H584/E584</f>
        <v>1.2543693906471423</v>
      </c>
      <c r="J584" s="1475"/>
      <c r="K584" s="1475">
        <f t="shared" si="47"/>
        <v>5311</v>
      </c>
      <c r="L584" s="1455">
        <f t="shared" si="44"/>
        <v>1.2543693906471423</v>
      </c>
      <c r="M584" s="2009"/>
    </row>
    <row r="585" spans="1:13" s="423" customFormat="1" ht="14.1" customHeight="1">
      <c r="A585" s="2046"/>
      <c r="B585" s="2156"/>
      <c r="C585" s="2014"/>
      <c r="D585" s="1399">
        <v>4520</v>
      </c>
      <c r="E585" s="1474">
        <v>3851</v>
      </c>
      <c r="F585" s="1474">
        <v>3851</v>
      </c>
      <c r="G585" s="1474"/>
      <c r="H585" s="1474">
        <v>4887</v>
      </c>
      <c r="I585" s="1360">
        <f>H585/E585</f>
        <v>1.2690210334977927</v>
      </c>
      <c r="J585" s="1475"/>
      <c r="K585" s="1475">
        <f t="shared" si="47"/>
        <v>4887</v>
      </c>
      <c r="L585" s="1455">
        <f t="shared" si="44"/>
        <v>1.2690210334977927</v>
      </c>
      <c r="M585" s="2009"/>
    </row>
    <row r="586" spans="1:13" s="423" customFormat="1" ht="14.1" customHeight="1">
      <c r="A586" s="2046"/>
      <c r="B586" s="2156"/>
      <c r="C586" s="2014"/>
      <c r="D586" s="1399">
        <v>4700</v>
      </c>
      <c r="E586" s="1474">
        <v>24600</v>
      </c>
      <c r="F586" s="1474">
        <v>24600</v>
      </c>
      <c r="G586" s="1474"/>
      <c r="H586" s="1474">
        <v>30670</v>
      </c>
      <c r="I586" s="1360">
        <f>H586/E586</f>
        <v>1.2467479674796749</v>
      </c>
      <c r="J586" s="1475"/>
      <c r="K586" s="1475">
        <f t="shared" si="47"/>
        <v>30670</v>
      </c>
      <c r="L586" s="1455">
        <f t="shared" si="44"/>
        <v>1.2467479674796749</v>
      </c>
      <c r="M586" s="2035"/>
    </row>
    <row r="587" spans="1:13" s="423" customFormat="1" ht="14.1" customHeight="1">
      <c r="A587" s="2046"/>
      <c r="B587" s="2156"/>
      <c r="C587" s="1459" t="s">
        <v>23</v>
      </c>
      <c r="D587" s="1399"/>
      <c r="E587" s="1423"/>
      <c r="F587" s="1423"/>
      <c r="G587" s="1423"/>
      <c r="H587" s="1474"/>
      <c r="I587" s="1352"/>
      <c r="J587" s="1425"/>
      <c r="K587" s="1475"/>
      <c r="L587" s="1488"/>
      <c r="M587" s="2037"/>
    </row>
    <row r="588" spans="1:13" s="423" customFormat="1" ht="19.5" customHeight="1">
      <c r="A588" s="2046"/>
      <c r="B588" s="2156"/>
      <c r="C588" s="1422" t="s">
        <v>24</v>
      </c>
      <c r="D588" s="1391">
        <v>3020</v>
      </c>
      <c r="E588" s="1423">
        <v>4133</v>
      </c>
      <c r="F588" s="1423">
        <v>4133</v>
      </c>
      <c r="G588" s="1423"/>
      <c r="H588" s="1423">
        <v>7055</v>
      </c>
      <c r="I588" s="1352">
        <f>H588/E588</f>
        <v>1.7069924993951124</v>
      </c>
      <c r="J588" s="1425"/>
      <c r="K588" s="1425">
        <f>J588+H588</f>
        <v>7055</v>
      </c>
      <c r="L588" s="1455">
        <f t="shared" si="44"/>
        <v>1.7069924993951124</v>
      </c>
      <c r="M588" s="2038"/>
    </row>
    <row r="589" spans="1:13" s="423" customFormat="1" ht="24.75" customHeight="1">
      <c r="A589" s="2046"/>
      <c r="B589" s="2156"/>
      <c r="C589" s="1428" t="s">
        <v>35</v>
      </c>
      <c r="D589" s="1391"/>
      <c r="E589" s="1423"/>
      <c r="F589" s="1423"/>
      <c r="G589" s="1423"/>
      <c r="H589" s="1423"/>
      <c r="I589" s="1358"/>
      <c r="J589" s="1425"/>
      <c r="K589" s="1425"/>
      <c r="L589" s="1426"/>
      <c r="M589" s="2038"/>
    </row>
    <row r="590" spans="1:13" s="423" customFormat="1" ht="14.1" customHeight="1">
      <c r="A590" s="2046"/>
      <c r="B590" s="2156"/>
      <c r="C590" s="1422" t="s">
        <v>26</v>
      </c>
      <c r="D590" s="1391"/>
      <c r="E590" s="1423"/>
      <c r="F590" s="1423"/>
      <c r="G590" s="1423"/>
      <c r="H590" s="1423"/>
      <c r="I590" s="1358"/>
      <c r="J590" s="1425"/>
      <c r="K590" s="1425"/>
      <c r="L590" s="1426"/>
      <c r="M590" s="2038"/>
    </row>
    <row r="591" spans="1:13" s="423" customFormat="1" ht="14.1" customHeight="1">
      <c r="A591" s="2046"/>
      <c r="B591" s="2156"/>
      <c r="C591" s="1422" t="s">
        <v>27</v>
      </c>
      <c r="D591" s="1391"/>
      <c r="E591" s="1423"/>
      <c r="F591" s="1423"/>
      <c r="G591" s="1423"/>
      <c r="H591" s="1423"/>
      <c r="I591" s="1358"/>
      <c r="J591" s="1425"/>
      <c r="K591" s="1425"/>
      <c r="L591" s="1426"/>
      <c r="M591" s="2038"/>
    </row>
    <row r="592" spans="1:13" s="423" customFormat="1" ht="14.1" customHeight="1">
      <c r="A592" s="2046"/>
      <c r="B592" s="2156"/>
      <c r="C592" s="1308" t="s">
        <v>28</v>
      </c>
      <c r="D592" s="1391"/>
      <c r="E592" s="1313">
        <f>E593+E595+E596</f>
        <v>0</v>
      </c>
      <c r="F592" s="1313">
        <f>F593+F595+F596</f>
        <v>0</v>
      </c>
      <c r="G592" s="1313"/>
      <c r="H592" s="1313">
        <f>H593+H595+H596</f>
        <v>0</v>
      </c>
      <c r="I592" s="1358"/>
      <c r="J592" s="1310"/>
      <c r="K592" s="1310">
        <f>K593+K595+K596</f>
        <v>0</v>
      </c>
      <c r="L592" s="1421"/>
      <c r="M592" s="2038"/>
    </row>
    <row r="593" spans="1:13" s="423" customFormat="1" ht="14.1" customHeight="1">
      <c r="A593" s="2046"/>
      <c r="B593" s="2156"/>
      <c r="C593" s="1422" t="s">
        <v>29</v>
      </c>
      <c r="D593" s="1391"/>
      <c r="E593" s="1423"/>
      <c r="F593" s="1423"/>
      <c r="G593" s="1423"/>
      <c r="H593" s="1423"/>
      <c r="I593" s="1358"/>
      <c r="J593" s="1425"/>
      <c r="K593" s="1425"/>
      <c r="L593" s="1426"/>
      <c r="M593" s="2038"/>
    </row>
    <row r="594" spans="1:13" s="423" customFormat="1" ht="24.75" customHeight="1">
      <c r="A594" s="2046"/>
      <c r="B594" s="2156"/>
      <c r="C594" s="1428" t="s">
        <v>89</v>
      </c>
      <c r="D594" s="1391"/>
      <c r="E594" s="1423"/>
      <c r="F594" s="1423"/>
      <c r="G594" s="1423"/>
      <c r="H594" s="1423"/>
      <c r="I594" s="1358"/>
      <c r="J594" s="1425"/>
      <c r="K594" s="1425"/>
      <c r="L594" s="1426"/>
      <c r="M594" s="2038"/>
    </row>
    <row r="595" spans="1:13" s="423" customFormat="1" ht="14.1" customHeight="1">
      <c r="A595" s="2046"/>
      <c r="B595" s="2156"/>
      <c r="C595" s="1422" t="s">
        <v>31</v>
      </c>
      <c r="D595" s="1391"/>
      <c r="E595" s="1423"/>
      <c r="F595" s="1423"/>
      <c r="G595" s="1423"/>
      <c r="H595" s="1423"/>
      <c r="I595" s="1358"/>
      <c r="J595" s="1425"/>
      <c r="K595" s="1425"/>
      <c r="L595" s="1426"/>
      <c r="M595" s="2038"/>
    </row>
    <row r="596" spans="1:13" s="423" customFormat="1" ht="14.1" customHeight="1" thickBot="1">
      <c r="A596" s="2047"/>
      <c r="B596" s="2157"/>
      <c r="C596" s="1039" t="s">
        <v>32</v>
      </c>
      <c r="D596" s="1618"/>
      <c r="E596" s="1634"/>
      <c r="F596" s="1634"/>
      <c r="G596" s="1634"/>
      <c r="H596" s="1634"/>
      <c r="I596" s="1620"/>
      <c r="J596" s="1637"/>
      <c r="K596" s="1637"/>
      <c r="L596" s="1638"/>
      <c r="M596" s="2039"/>
    </row>
    <row r="597" spans="1:13" s="423" customFormat="1" ht="24" customHeight="1">
      <c r="A597" s="2066"/>
      <c r="B597" s="2154">
        <v>85510</v>
      </c>
      <c r="C597" s="1683" t="s">
        <v>469</v>
      </c>
      <c r="D597" s="1698"/>
      <c r="E597" s="1663">
        <f>SUM(E598,E609)</f>
        <v>4391833</v>
      </c>
      <c r="F597" s="1663">
        <f>SUM(F598,F609)</f>
        <v>4391833</v>
      </c>
      <c r="G597" s="1663"/>
      <c r="H597" s="1663">
        <f>SUM(H598,H609)</f>
        <v>6753187</v>
      </c>
      <c r="I597" s="1157">
        <f>H597/E597</f>
        <v>1.5376693512708703</v>
      </c>
      <c r="J597" s="1664">
        <f>SUM(J598,J609)</f>
        <v>0</v>
      </c>
      <c r="K597" s="1664">
        <f>SUM(K598,K609)</f>
        <v>6753187</v>
      </c>
      <c r="L597" s="1665">
        <f>K597/E597</f>
        <v>1.5376693512708703</v>
      </c>
      <c r="M597" s="2167" t="s">
        <v>470</v>
      </c>
    </row>
    <row r="598" spans="1:13" s="423" customFormat="1" ht="14.1" customHeight="1">
      <c r="A598" s="2042"/>
      <c r="B598" s="2151"/>
      <c r="C598" s="1418" t="s">
        <v>18</v>
      </c>
      <c r="D598" s="1469"/>
      <c r="E598" s="1313">
        <f>SUM(E599,E602,E605,E606,E607,E608)</f>
        <v>4391833</v>
      </c>
      <c r="F598" s="1313">
        <f>SUM(F599,F602,F605,F606,F607,F608)</f>
        <v>4391833</v>
      </c>
      <c r="G598" s="1313" t="e">
        <f>SUM(G599,G602,G605,G606,G607,G608)</f>
        <v>#REF!</v>
      </c>
      <c r="H598" s="1313">
        <f>SUM(H599,H603,H605,H606,H607,H608)</f>
        <v>6753187</v>
      </c>
      <c r="I598" s="1358">
        <f>H598/E598</f>
        <v>1.5376693512708703</v>
      </c>
      <c r="J598" s="1310">
        <f>SUM(J599,J603,J605,J606,J607,J608)</f>
        <v>0</v>
      </c>
      <c r="K598" s="1310">
        <f>SUM(K599,K603,K605,K606,K607,K608)</f>
        <v>6753187</v>
      </c>
      <c r="L598" s="1453">
        <f t="shared" ref="L598:L603" si="48">K598/E598</f>
        <v>1.5376693512708703</v>
      </c>
      <c r="M598" s="2160"/>
    </row>
    <row r="599" spans="1:13" s="423" customFormat="1" ht="14.1" customHeight="1">
      <c r="A599" s="2042"/>
      <c r="B599" s="2151"/>
      <c r="C599" s="1422" t="s">
        <v>19</v>
      </c>
      <c r="D599" s="1386"/>
      <c r="E599" s="1423">
        <f>E600+E601</f>
        <v>1071</v>
      </c>
      <c r="F599" s="1423">
        <f>F600+F601</f>
        <v>1071</v>
      </c>
      <c r="G599" s="1423" t="e">
        <f>G600+G601</f>
        <v>#REF!</v>
      </c>
      <c r="H599" s="1423">
        <f>H600+H601</f>
        <v>1232</v>
      </c>
      <c r="I599" s="1424">
        <f>H599/E599</f>
        <v>1.1503267973856208</v>
      </c>
      <c r="J599" s="1425">
        <f>J600+J601</f>
        <v>0</v>
      </c>
      <c r="K599" s="1425">
        <f>K600+K601</f>
        <v>1232</v>
      </c>
      <c r="L599" s="1455">
        <f t="shared" si="48"/>
        <v>1.1503267973856208</v>
      </c>
      <c r="M599" s="2160"/>
    </row>
    <row r="600" spans="1:13" s="423" customFormat="1" ht="13.5" customHeight="1">
      <c r="A600" s="2042"/>
      <c r="B600" s="2151"/>
      <c r="C600" s="1422" t="s">
        <v>20</v>
      </c>
      <c r="D600" s="1391"/>
      <c r="E600" s="1423"/>
      <c r="F600" s="1423"/>
      <c r="G600" s="1423"/>
      <c r="H600" s="1423"/>
      <c r="I600" s="1424"/>
      <c r="J600" s="1425"/>
      <c r="K600" s="1425"/>
      <c r="L600" s="1426"/>
      <c r="M600" s="2160"/>
    </row>
    <row r="601" spans="1:13" s="423" customFormat="1" ht="22.5">
      <c r="A601" s="2042"/>
      <c r="B601" s="2151"/>
      <c r="C601" s="1503" t="s">
        <v>369</v>
      </c>
      <c r="D601" s="1391">
        <v>4210</v>
      </c>
      <c r="E601" s="1423">
        <v>1071</v>
      </c>
      <c r="F601" s="1423">
        <v>1071</v>
      </c>
      <c r="G601" s="1423" t="e">
        <f>SUM(#REF!)</f>
        <v>#REF!</v>
      </c>
      <c r="H601" s="1423">
        <v>1232</v>
      </c>
      <c r="I601" s="1518">
        <f>H601/E601</f>
        <v>1.1503267973856208</v>
      </c>
      <c r="J601" s="1425"/>
      <c r="K601" s="1425">
        <f>J601+H601</f>
        <v>1232</v>
      </c>
      <c r="L601" s="1455">
        <f t="shared" si="48"/>
        <v>1.1503267973856208</v>
      </c>
      <c r="M601" s="2160"/>
    </row>
    <row r="602" spans="1:13" s="423" customFormat="1" ht="15" customHeight="1">
      <c r="A602" s="2042"/>
      <c r="B602" s="2151"/>
      <c r="C602" s="2013" t="s">
        <v>23</v>
      </c>
      <c r="D602" s="1422" t="s">
        <v>366</v>
      </c>
      <c r="E602" s="1423">
        <f>E603+E604</f>
        <v>4390762</v>
      </c>
      <c r="F602" s="1423">
        <f>F603+F604</f>
        <v>4390762</v>
      </c>
      <c r="G602" s="1423" t="e">
        <f>G603+G604</f>
        <v>#REF!</v>
      </c>
      <c r="H602" s="1423">
        <f>H603+H604</f>
        <v>6751955</v>
      </c>
      <c r="I602" s="1518">
        <f>H602/E602</f>
        <v>1.537763832337075</v>
      </c>
      <c r="J602" s="1425"/>
      <c r="K602" s="1425">
        <f>SUM(K603)</f>
        <v>6751955</v>
      </c>
      <c r="L602" s="1455"/>
      <c r="M602" s="2160"/>
    </row>
    <row r="603" spans="1:13" s="423" customFormat="1" ht="14.1" customHeight="1">
      <c r="A603" s="2042"/>
      <c r="B603" s="2151"/>
      <c r="C603" s="2013"/>
      <c r="D603" s="1399">
        <v>2360</v>
      </c>
      <c r="E603" s="1474">
        <v>4390762</v>
      </c>
      <c r="F603" s="1474">
        <v>4390762</v>
      </c>
      <c r="G603" s="1474" t="e">
        <f>SUM(#REF!)</f>
        <v>#REF!</v>
      </c>
      <c r="H603" s="1474">
        <v>6751955</v>
      </c>
      <c r="I603" s="1511">
        <f>H603/E603</f>
        <v>1.537763832337075</v>
      </c>
      <c r="J603" s="1475"/>
      <c r="K603" s="1475">
        <f>J603+H603</f>
        <v>6751955</v>
      </c>
      <c r="L603" s="1455">
        <f t="shared" si="48"/>
        <v>1.537763832337075</v>
      </c>
      <c r="M603" s="2160"/>
    </row>
    <row r="604" spans="1:13" s="423" customFormat="1" ht="14.1" customHeight="1">
      <c r="A604" s="2042"/>
      <c r="B604" s="2151"/>
      <c r="C604" s="2013"/>
      <c r="D604" s="1399">
        <v>2910</v>
      </c>
      <c r="E604" s="1474">
        <v>0</v>
      </c>
      <c r="F604" s="1474">
        <v>0</v>
      </c>
      <c r="G604" s="1474"/>
      <c r="H604" s="1474">
        <f>E604+G604</f>
        <v>0</v>
      </c>
      <c r="I604" s="1511"/>
      <c r="J604" s="1475"/>
      <c r="K604" s="1475">
        <f>H604+J604</f>
        <v>0</v>
      </c>
      <c r="L604" s="1455"/>
      <c r="M604" s="2160"/>
    </row>
    <row r="605" spans="1:13" s="423" customFormat="1" ht="14.1" customHeight="1">
      <c r="A605" s="2042"/>
      <c r="B605" s="2151"/>
      <c r="C605" s="1422" t="s">
        <v>24</v>
      </c>
      <c r="D605" s="1399"/>
      <c r="E605" s="1423"/>
      <c r="F605" s="1423"/>
      <c r="G605" s="1423"/>
      <c r="H605" s="1423"/>
      <c r="I605" s="1352"/>
      <c r="J605" s="1425"/>
      <c r="K605" s="1425"/>
      <c r="L605" s="1426"/>
      <c r="M605" s="2160"/>
    </row>
    <row r="606" spans="1:13" s="423" customFormat="1" ht="22.5">
      <c r="A606" s="2042"/>
      <c r="B606" s="2151"/>
      <c r="C606" s="1428" t="s">
        <v>35</v>
      </c>
      <c r="D606" s="1391"/>
      <c r="E606" s="1423"/>
      <c r="F606" s="1423"/>
      <c r="G606" s="1423"/>
      <c r="H606" s="1423"/>
      <c r="I606" s="1352"/>
      <c r="J606" s="1425"/>
      <c r="K606" s="1425"/>
      <c r="L606" s="1426"/>
      <c r="M606" s="2160"/>
    </row>
    <row r="607" spans="1:13" s="423" customFormat="1" ht="14.1" customHeight="1">
      <c r="A607" s="2042"/>
      <c r="B607" s="2151"/>
      <c r="C607" s="1422" t="s">
        <v>26</v>
      </c>
      <c r="D607" s="1396"/>
      <c r="E607" s="1423"/>
      <c r="F607" s="1423"/>
      <c r="G607" s="1423"/>
      <c r="H607" s="1423"/>
      <c r="I607" s="1352"/>
      <c r="J607" s="1425"/>
      <c r="K607" s="1425"/>
      <c r="L607" s="1426"/>
      <c r="M607" s="2160"/>
    </row>
    <row r="608" spans="1:13" s="423" customFormat="1" ht="14.1" customHeight="1">
      <c r="A608" s="2042"/>
      <c r="B608" s="2151"/>
      <c r="C608" s="1422" t="s">
        <v>27</v>
      </c>
      <c r="D608" s="1391"/>
      <c r="E608" s="1423"/>
      <c r="F608" s="1423"/>
      <c r="G608" s="1423"/>
      <c r="H608" s="1423"/>
      <c r="I608" s="1352"/>
      <c r="J608" s="1425"/>
      <c r="K608" s="1425"/>
      <c r="L608" s="1426"/>
      <c r="M608" s="2160"/>
    </row>
    <row r="609" spans="1:13" s="423" customFormat="1" ht="14.1" customHeight="1">
      <c r="A609" s="2042"/>
      <c r="B609" s="2151"/>
      <c r="C609" s="1308" t="s">
        <v>28</v>
      </c>
      <c r="D609" s="1391"/>
      <c r="E609" s="1313">
        <f>SUM(E610,E612,E613)</f>
        <v>0</v>
      </c>
      <c r="F609" s="1313">
        <f>SUM(F610,F612,F613)</f>
        <v>0</v>
      </c>
      <c r="G609" s="1313"/>
      <c r="H609" s="1313">
        <f>SUM(H610,H612,H613)</f>
        <v>0</v>
      </c>
      <c r="I609" s="1420"/>
      <c r="J609" s="1310"/>
      <c r="K609" s="1310">
        <f>SUM(K610,K612,K613)</f>
        <v>0</v>
      </c>
      <c r="L609" s="1421"/>
      <c r="M609" s="2160"/>
    </row>
    <row r="610" spans="1:13" s="423" customFormat="1" ht="14.1" customHeight="1">
      <c r="A610" s="2042"/>
      <c r="B610" s="2151"/>
      <c r="C610" s="1422" t="s">
        <v>29</v>
      </c>
      <c r="D610" s="1315"/>
      <c r="E610" s="1423"/>
      <c r="F610" s="1423"/>
      <c r="G610" s="1423"/>
      <c r="H610" s="1423"/>
      <c r="I610" s="1352"/>
      <c r="J610" s="1425"/>
      <c r="K610" s="1425"/>
      <c r="L610" s="1426"/>
      <c r="M610" s="2160"/>
    </row>
    <row r="611" spans="1:13" s="423" customFormat="1" ht="22.5">
      <c r="A611" s="2042"/>
      <c r="B611" s="2151"/>
      <c r="C611" s="1428" t="s">
        <v>89</v>
      </c>
      <c r="D611" s="1391"/>
      <c r="E611" s="1423"/>
      <c r="F611" s="1423"/>
      <c r="G611" s="1423"/>
      <c r="H611" s="1423"/>
      <c r="I611" s="1352"/>
      <c r="J611" s="1425"/>
      <c r="K611" s="1425"/>
      <c r="L611" s="1426"/>
      <c r="M611" s="2160"/>
    </row>
    <row r="612" spans="1:13" s="423" customFormat="1" ht="14.1" customHeight="1">
      <c r="A612" s="2042"/>
      <c r="B612" s="2151"/>
      <c r="C612" s="1422" t="s">
        <v>31</v>
      </c>
      <c r="D612" s="1396"/>
      <c r="E612" s="1423"/>
      <c r="F612" s="1423"/>
      <c r="G612" s="1423"/>
      <c r="H612" s="1423"/>
      <c r="I612" s="1352"/>
      <c r="J612" s="1425"/>
      <c r="K612" s="1425"/>
      <c r="L612" s="1426"/>
      <c r="M612" s="2160"/>
    </row>
    <row r="613" spans="1:13" s="423" customFormat="1" ht="17.25" customHeight="1" thickBot="1">
      <c r="A613" s="2153"/>
      <c r="B613" s="2152"/>
      <c r="C613" s="1039" t="s">
        <v>32</v>
      </c>
      <c r="D613" s="1618"/>
      <c r="E613" s="1634"/>
      <c r="F613" s="1634"/>
      <c r="G613" s="1634"/>
      <c r="H613" s="1634"/>
      <c r="I613" s="1178"/>
      <c r="J613" s="1637"/>
      <c r="K613" s="1637"/>
      <c r="L613" s="1638"/>
      <c r="M613" s="2168"/>
    </row>
    <row r="614" spans="1:13" s="423" customFormat="1" ht="21.75" customHeight="1" thickBot="1">
      <c r="A614" s="2169" t="s">
        <v>33</v>
      </c>
      <c r="B614" s="2170"/>
      <c r="C614" s="2170"/>
      <c r="D614" s="781"/>
      <c r="E614" s="782">
        <f>E489+E439+E268+E96+E48+E24+E64+E6</f>
        <v>129981667</v>
      </c>
      <c r="F614" s="782">
        <f>F489+F439+F268+F96+F48+F24+F64+F6</f>
        <v>163101792</v>
      </c>
      <c r="G614" s="782">
        <f>G489+G439+G268+G96+G48+G24+G64+G6</f>
        <v>0</v>
      </c>
      <c r="H614" s="782">
        <f>H489+H439+H268+H96+H48+H24+H64+H6</f>
        <v>182657410</v>
      </c>
      <c r="I614" s="783">
        <f>H614/E614</f>
        <v>1.4052551734084162</v>
      </c>
      <c r="J614" s="782">
        <f>J489+J439+J268+J96+J48+J24+J64+J6</f>
        <v>-5204211</v>
      </c>
      <c r="K614" s="782">
        <f>K489+K439+K268+K96+K48+K24+K64+K6</f>
        <v>177453199</v>
      </c>
      <c r="L614" s="784">
        <f>K614/E614</f>
        <v>1.3652171348133271</v>
      </c>
      <c r="M614" s="785"/>
    </row>
    <row r="615" spans="1:13">
      <c r="A615" s="2171"/>
      <c r="B615" s="2171"/>
      <c r="C615" s="2171"/>
      <c r="D615" s="786"/>
      <c r="E615" s="787"/>
      <c r="F615" s="788"/>
      <c r="G615" s="788"/>
      <c r="H615" s="788"/>
      <c r="I615" s="789"/>
      <c r="J615" s="790"/>
      <c r="K615" s="790"/>
      <c r="L615" s="790"/>
    </row>
  </sheetData>
  <mergeCells count="137">
    <mergeCell ref="A1:M1"/>
    <mergeCell ref="A3:A4"/>
    <mergeCell ref="B3:B4"/>
    <mergeCell ref="C3:C4"/>
    <mergeCell ref="D3:D4"/>
    <mergeCell ref="E3:E4"/>
    <mergeCell ref="F3:F4"/>
    <mergeCell ref="H3:H4"/>
    <mergeCell ref="I3:I4"/>
    <mergeCell ref="J3:J4"/>
    <mergeCell ref="A25:A42"/>
    <mergeCell ref="M25:M42"/>
    <mergeCell ref="C32:C40"/>
    <mergeCell ref="A43:A47"/>
    <mergeCell ref="M43:M47"/>
    <mergeCell ref="B25:B47"/>
    <mergeCell ref="K3:K4"/>
    <mergeCell ref="L3:L4"/>
    <mergeCell ref="M3:M4"/>
    <mergeCell ref="B5:C5"/>
    <mergeCell ref="A7:A23"/>
    <mergeCell ref="B7:B23"/>
    <mergeCell ref="M7:M23"/>
    <mergeCell ref="C18:C20"/>
    <mergeCell ref="E107:E108"/>
    <mergeCell ref="F107:F108"/>
    <mergeCell ref="K107:K108"/>
    <mergeCell ref="M107:M108"/>
    <mergeCell ref="A109:A115"/>
    <mergeCell ref="M109:M115"/>
    <mergeCell ref="A49:A63"/>
    <mergeCell ref="B49:B63"/>
    <mergeCell ref="M49:M63"/>
    <mergeCell ref="A65:A79"/>
    <mergeCell ref="B65:B79"/>
    <mergeCell ref="M65:M79"/>
    <mergeCell ref="A81:A95"/>
    <mergeCell ref="B81:B95"/>
    <mergeCell ref="C107:C108"/>
    <mergeCell ref="A107:A108"/>
    <mergeCell ref="D107:D108"/>
    <mergeCell ref="M97:M106"/>
    <mergeCell ref="B97:B106"/>
    <mergeCell ref="A97:A106"/>
    <mergeCell ref="B109:B115"/>
    <mergeCell ref="A161:A175"/>
    <mergeCell ref="B161:B175"/>
    <mergeCell ref="M161:M175"/>
    <mergeCell ref="B176:B190"/>
    <mergeCell ref="M176:M190"/>
    <mergeCell ref="A191:A205"/>
    <mergeCell ref="B191:B205"/>
    <mergeCell ref="M191:M205"/>
    <mergeCell ref="A131:A145"/>
    <mergeCell ref="B131:B145"/>
    <mergeCell ref="M131:M145"/>
    <mergeCell ref="A146:A160"/>
    <mergeCell ref="B146:B160"/>
    <mergeCell ref="M146:M160"/>
    <mergeCell ref="A246:A267"/>
    <mergeCell ref="B246:B267"/>
    <mergeCell ref="M246:M267"/>
    <mergeCell ref="C250:C252"/>
    <mergeCell ref="C253:C254"/>
    <mergeCell ref="C256:C260"/>
    <mergeCell ref="C336:C338"/>
    <mergeCell ref="A206:A226"/>
    <mergeCell ref="B206:B226"/>
    <mergeCell ref="M206:M226"/>
    <mergeCell ref="C210:C214"/>
    <mergeCell ref="C215:C217"/>
    <mergeCell ref="A227:A245"/>
    <mergeCell ref="B227:B245"/>
    <mergeCell ref="M227:M245"/>
    <mergeCell ref="C230:C234"/>
    <mergeCell ref="M342:M356"/>
    <mergeCell ref="B357:B438"/>
    <mergeCell ref="C361:C365"/>
    <mergeCell ref="C368:C402"/>
    <mergeCell ref="C404:C423"/>
    <mergeCell ref="C427:C431"/>
    <mergeCell ref="C432:C436"/>
    <mergeCell ref="M299:M341"/>
    <mergeCell ref="A269:A283"/>
    <mergeCell ref="B269:B283"/>
    <mergeCell ref="M269:M283"/>
    <mergeCell ref="A284:A298"/>
    <mergeCell ref="B284:B298"/>
    <mergeCell ref="M284:M298"/>
    <mergeCell ref="A597:A613"/>
    <mergeCell ref="B597:B613"/>
    <mergeCell ref="M597:M613"/>
    <mergeCell ref="C602:C604"/>
    <mergeCell ref="A614:C614"/>
    <mergeCell ref="A615:C615"/>
    <mergeCell ref="C555:C558"/>
    <mergeCell ref="A561:A586"/>
    <mergeCell ref="B561:B596"/>
    <mergeCell ref="M561:M586"/>
    <mergeCell ref="C564:C570"/>
    <mergeCell ref="C571:C586"/>
    <mergeCell ref="A587:A596"/>
    <mergeCell ref="M587:M596"/>
    <mergeCell ref="A490:A506"/>
    <mergeCell ref="B490:B506"/>
    <mergeCell ref="M490:M506"/>
    <mergeCell ref="C494:C496"/>
    <mergeCell ref="A507:A560"/>
    <mergeCell ref="B507:B560"/>
    <mergeCell ref="M507:M560"/>
    <mergeCell ref="C514:C516"/>
    <mergeCell ref="C531:C547"/>
    <mergeCell ref="C551:C554"/>
    <mergeCell ref="B116:B125"/>
    <mergeCell ref="A116:A125"/>
    <mergeCell ref="A126:A130"/>
    <mergeCell ref="B126:B130"/>
    <mergeCell ref="M116:M125"/>
    <mergeCell ref="M126:M130"/>
    <mergeCell ref="B458:B483"/>
    <mergeCell ref="B484:B488"/>
    <mergeCell ref="A299:A341"/>
    <mergeCell ref="B299:B341"/>
    <mergeCell ref="A357:A438"/>
    <mergeCell ref="M357:M438"/>
    <mergeCell ref="A440:A483"/>
    <mergeCell ref="B440:B457"/>
    <mergeCell ref="M440:M457"/>
    <mergeCell ref="C445:C448"/>
    <mergeCell ref="M458:M483"/>
    <mergeCell ref="C465:C481"/>
    <mergeCell ref="A484:A488"/>
    <mergeCell ref="M484:M488"/>
    <mergeCell ref="C302:C308"/>
    <mergeCell ref="C309:C324"/>
    <mergeCell ref="C325:C329"/>
    <mergeCell ref="B342:B356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horizontalDpi="4294967295" verticalDpi="4294967295" r:id="rId1"/>
  <rowBreaks count="7" manualBreakCount="7">
    <brk id="108" max="13" man="1"/>
    <brk id="125" max="13" man="1"/>
    <brk id="205" max="13" man="1"/>
    <brk id="245" max="13" man="1"/>
    <brk id="298" max="13" man="1"/>
    <brk id="340" max="13" man="1"/>
    <brk id="43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FF"/>
  </sheetPr>
  <dimension ref="A1:L234"/>
  <sheetViews>
    <sheetView view="pageBreakPreview" topLeftCell="A62" zoomScaleSheetLayoutView="100" workbookViewId="0">
      <pane xSplit="4" topLeftCell="E1" activePane="topRight" state="frozen"/>
      <selection activeCell="L62" sqref="L62"/>
      <selection pane="topRight" activeCell="L5" sqref="L5"/>
    </sheetView>
  </sheetViews>
  <sheetFormatPr defaultRowHeight="12.75"/>
  <cols>
    <col min="1" max="2" width="5.42578125" style="101" customWidth="1"/>
    <col min="3" max="3" width="41.85546875" style="101" customWidth="1"/>
    <col min="4" max="4" width="5.28515625" style="101" bestFit="1" customWidth="1"/>
    <col min="5" max="5" width="12" style="101" customWidth="1"/>
    <col min="6" max="6" width="13.5703125" style="101" customWidth="1"/>
    <col min="7" max="7" width="22.42578125" style="101" hidden="1" customWidth="1"/>
    <col min="8" max="8" width="12" style="101" hidden="1" customWidth="1"/>
    <col min="9" max="9" width="9" style="101" hidden="1" customWidth="1"/>
    <col min="10" max="10" width="10.28515625" style="101" hidden="1" customWidth="1"/>
    <col min="11" max="11" width="10.85546875" style="101" bestFit="1" customWidth="1"/>
    <col min="12" max="12" width="89.140625" style="239" customWidth="1"/>
    <col min="13" max="13" width="14.140625" style="101" customWidth="1"/>
    <col min="14" max="241" width="9.140625" style="101" customWidth="1"/>
    <col min="242" max="242" width="4.28515625" style="101" bestFit="1" customWidth="1"/>
    <col min="243" max="243" width="6.85546875" style="101" bestFit="1" customWidth="1"/>
    <col min="244" max="244" width="11" style="101" customWidth="1"/>
    <col min="245" max="245" width="11.140625" style="101" bestFit="1" customWidth="1"/>
    <col min="246" max="246" width="10.85546875" style="101" customWidth="1"/>
    <col min="247" max="247" width="11.5703125" style="101" customWidth="1"/>
    <col min="248" max="248" width="11.140625" style="101" bestFit="1" customWidth="1"/>
    <col min="249" max="249" width="11" style="101" customWidth="1"/>
    <col min="250" max="250" width="10.42578125" style="101" customWidth="1"/>
    <col min="251" max="251" width="11.28515625" style="101" customWidth="1"/>
    <col min="252" max="253" width="9.140625" style="101" bestFit="1" customWidth="1"/>
    <col min="254" max="255" width="11.140625" style="101" bestFit="1" customWidth="1"/>
    <col min="256" max="256" width="11.5703125" style="101" bestFit="1" customWidth="1"/>
    <col min="257" max="257" width="9.140625" style="101" bestFit="1" customWidth="1"/>
    <col min="258" max="258" width="10.28515625" style="101" customWidth="1"/>
    <col min="259" max="497" width="9.140625" style="101" customWidth="1"/>
    <col min="498" max="498" width="4.28515625" style="101" bestFit="1" customWidth="1"/>
    <col min="499" max="499" width="6.85546875" style="101" bestFit="1" customWidth="1"/>
    <col min="500" max="500" width="11" style="101" customWidth="1"/>
    <col min="501" max="501" width="11.140625" style="101" bestFit="1" customWidth="1"/>
    <col min="502" max="502" width="10.85546875" style="101" customWidth="1"/>
    <col min="503" max="503" width="11.5703125" style="101" customWidth="1"/>
    <col min="504" max="504" width="11.140625" style="101" bestFit="1" customWidth="1"/>
    <col min="505" max="505" width="11" style="101" customWidth="1"/>
    <col min="506" max="506" width="10.42578125" style="101" customWidth="1"/>
    <col min="507" max="507" width="11.28515625" style="101" customWidth="1"/>
    <col min="508" max="509" width="9.140625" style="101" bestFit="1" customWidth="1"/>
    <col min="510" max="511" width="11.140625" style="101" bestFit="1" customWidth="1"/>
    <col min="512" max="512" width="11.5703125" style="101" bestFit="1" customWidth="1"/>
    <col min="513" max="513" width="9.140625" style="101" bestFit="1" customWidth="1"/>
    <col min="514" max="514" width="10.28515625" style="101" customWidth="1"/>
    <col min="515" max="753" width="9.140625" style="101" customWidth="1"/>
    <col min="754" max="754" width="4.28515625" style="101" bestFit="1" customWidth="1"/>
    <col min="755" max="755" width="6.85546875" style="101" bestFit="1" customWidth="1"/>
    <col min="756" max="756" width="11" style="101" customWidth="1"/>
    <col min="757" max="757" width="11.140625" style="101" bestFit="1" customWidth="1"/>
    <col min="758" max="758" width="10.85546875" style="101" customWidth="1"/>
    <col min="759" max="759" width="11.5703125" style="101" customWidth="1"/>
    <col min="760" max="760" width="11.140625" style="101" bestFit="1" customWidth="1"/>
    <col min="761" max="761" width="11" style="101" customWidth="1"/>
    <col min="762" max="762" width="10.42578125" style="101" customWidth="1"/>
    <col min="763" max="763" width="11.28515625" style="101" customWidth="1"/>
    <col min="764" max="765" width="9.140625" style="101" bestFit="1" customWidth="1"/>
    <col min="766" max="767" width="11.140625" style="101" bestFit="1" customWidth="1"/>
    <col min="768" max="768" width="11.5703125" style="101" bestFit="1" customWidth="1"/>
    <col min="769" max="769" width="9.140625" style="101" bestFit="1" customWidth="1"/>
    <col min="770" max="770" width="10.28515625" style="101" customWidth="1"/>
    <col min="771" max="1009" width="9.140625" style="101" customWidth="1"/>
    <col min="1010" max="1010" width="4.28515625" style="101" bestFit="1" customWidth="1"/>
    <col min="1011" max="1011" width="6.85546875" style="101" bestFit="1" customWidth="1"/>
    <col min="1012" max="1012" width="11" style="101" customWidth="1"/>
    <col min="1013" max="1013" width="11.140625" style="101" bestFit="1" customWidth="1"/>
    <col min="1014" max="1014" width="10.85546875" style="101" customWidth="1"/>
    <col min="1015" max="1015" width="11.5703125" style="101" customWidth="1"/>
    <col min="1016" max="1016" width="11.140625" style="101" bestFit="1" customWidth="1"/>
    <col min="1017" max="1017" width="11" style="101" customWidth="1"/>
    <col min="1018" max="1018" width="10.42578125" style="101" customWidth="1"/>
    <col min="1019" max="1019" width="11.28515625" style="101" customWidth="1"/>
    <col min="1020" max="1021" width="9.140625" style="101" bestFit="1" customWidth="1"/>
    <col min="1022" max="1023" width="11.140625" style="101" bestFit="1" customWidth="1"/>
    <col min="1024" max="1024" width="11.5703125" style="101" bestFit="1" customWidth="1"/>
    <col min="1025" max="1025" width="9.140625" style="101" bestFit="1" customWidth="1"/>
    <col min="1026" max="1026" width="10.28515625" style="101" customWidth="1"/>
    <col min="1027" max="1265" width="9.140625" style="101" customWidth="1"/>
    <col min="1266" max="1266" width="4.28515625" style="101" bestFit="1" customWidth="1"/>
    <col min="1267" max="1267" width="6.85546875" style="101" bestFit="1" customWidth="1"/>
    <col min="1268" max="1268" width="11" style="101" customWidth="1"/>
    <col min="1269" max="1269" width="11.140625" style="101" bestFit="1" customWidth="1"/>
    <col min="1270" max="1270" width="10.85546875" style="101" customWidth="1"/>
    <col min="1271" max="1271" width="11.5703125" style="101" customWidth="1"/>
    <col min="1272" max="1272" width="11.140625" style="101" bestFit="1" customWidth="1"/>
    <col min="1273" max="1273" width="11" style="101" customWidth="1"/>
    <col min="1274" max="1274" width="10.42578125" style="101" customWidth="1"/>
    <col min="1275" max="1275" width="11.28515625" style="101" customWidth="1"/>
    <col min="1276" max="1277" width="9.140625" style="101" bestFit="1" customWidth="1"/>
    <col min="1278" max="1279" width="11.140625" style="101" bestFit="1" customWidth="1"/>
    <col min="1280" max="1280" width="11.5703125" style="101" bestFit="1" customWidth="1"/>
    <col min="1281" max="1281" width="9.140625" style="101" bestFit="1" customWidth="1"/>
    <col min="1282" max="1282" width="10.28515625" style="101" customWidth="1"/>
    <col min="1283" max="1521" width="9.140625" style="101" customWidth="1"/>
    <col min="1522" max="1522" width="4.28515625" style="101" bestFit="1" customWidth="1"/>
    <col min="1523" max="1523" width="6.85546875" style="101" bestFit="1" customWidth="1"/>
    <col min="1524" max="1524" width="11" style="101" customWidth="1"/>
    <col min="1525" max="1525" width="11.140625" style="101" bestFit="1" customWidth="1"/>
    <col min="1526" max="1526" width="10.85546875" style="101" customWidth="1"/>
    <col min="1527" max="1527" width="11.5703125" style="101" customWidth="1"/>
    <col min="1528" max="1528" width="11.140625" style="101" bestFit="1" customWidth="1"/>
    <col min="1529" max="1529" width="11" style="101" customWidth="1"/>
    <col min="1530" max="1530" width="10.42578125" style="101" customWidth="1"/>
    <col min="1531" max="1531" width="11.28515625" style="101" customWidth="1"/>
    <col min="1532" max="1533" width="9.140625" style="101" bestFit="1" customWidth="1"/>
    <col min="1534" max="1535" width="11.140625" style="101" bestFit="1" customWidth="1"/>
    <col min="1536" max="1536" width="11.5703125" style="101" bestFit="1" customWidth="1"/>
    <col min="1537" max="1537" width="9.140625" style="101" bestFit="1" customWidth="1"/>
    <col min="1538" max="1538" width="10.28515625" style="101" customWidth="1"/>
    <col min="1539" max="1777" width="9.140625" style="101" customWidth="1"/>
    <col min="1778" max="1778" width="4.28515625" style="101" bestFit="1" customWidth="1"/>
    <col min="1779" max="1779" width="6.85546875" style="101" bestFit="1" customWidth="1"/>
    <col min="1780" max="1780" width="11" style="101" customWidth="1"/>
    <col min="1781" max="1781" width="11.140625" style="101" bestFit="1" customWidth="1"/>
    <col min="1782" max="1782" width="10.85546875" style="101" customWidth="1"/>
    <col min="1783" max="1783" width="11.5703125" style="101" customWidth="1"/>
    <col min="1784" max="1784" width="11.140625" style="101" bestFit="1" customWidth="1"/>
    <col min="1785" max="1785" width="11" style="101" customWidth="1"/>
    <col min="1786" max="1786" width="10.42578125" style="101" customWidth="1"/>
    <col min="1787" max="1787" width="11.28515625" style="101" customWidth="1"/>
    <col min="1788" max="1789" width="9.140625" style="101" bestFit="1" customWidth="1"/>
    <col min="1790" max="1791" width="11.140625" style="101" bestFit="1" customWidth="1"/>
    <col min="1792" max="1792" width="11.5703125" style="101" bestFit="1" customWidth="1"/>
    <col min="1793" max="1793" width="9.140625" style="101" bestFit="1" customWidth="1"/>
    <col min="1794" max="1794" width="10.28515625" style="101" customWidth="1"/>
    <col min="1795" max="2033" width="9.140625" style="101" customWidth="1"/>
    <col min="2034" max="2034" width="4.28515625" style="101" bestFit="1" customWidth="1"/>
    <col min="2035" max="2035" width="6.85546875" style="101" bestFit="1" customWidth="1"/>
    <col min="2036" max="2036" width="11" style="101" customWidth="1"/>
    <col min="2037" max="2037" width="11.140625" style="101" bestFit="1" customWidth="1"/>
    <col min="2038" max="2038" width="10.85546875" style="101" customWidth="1"/>
    <col min="2039" max="2039" width="11.5703125" style="101" customWidth="1"/>
    <col min="2040" max="2040" width="11.140625" style="101" bestFit="1" customWidth="1"/>
    <col min="2041" max="2041" width="11" style="101" customWidth="1"/>
    <col min="2042" max="2042" width="10.42578125" style="101" customWidth="1"/>
    <col min="2043" max="2043" width="11.28515625" style="101" customWidth="1"/>
    <col min="2044" max="2045" width="9.140625" style="101" bestFit="1" customWidth="1"/>
    <col min="2046" max="2047" width="11.140625" style="101" bestFit="1" customWidth="1"/>
    <col min="2048" max="2048" width="11.5703125" style="101" bestFit="1" customWidth="1"/>
    <col min="2049" max="2049" width="9.140625" style="101" bestFit="1" customWidth="1"/>
    <col min="2050" max="2050" width="10.28515625" style="101" customWidth="1"/>
    <col min="2051" max="2289" width="9.140625" style="101" customWidth="1"/>
    <col min="2290" max="2290" width="4.28515625" style="101" bestFit="1" customWidth="1"/>
    <col min="2291" max="2291" width="6.85546875" style="101" bestFit="1" customWidth="1"/>
    <col min="2292" max="2292" width="11" style="101" customWidth="1"/>
    <col min="2293" max="2293" width="11.140625" style="101" bestFit="1" customWidth="1"/>
    <col min="2294" max="2294" width="10.85546875" style="101" customWidth="1"/>
    <col min="2295" max="2295" width="11.5703125" style="101" customWidth="1"/>
    <col min="2296" max="2296" width="11.140625" style="101" bestFit="1" customWidth="1"/>
    <col min="2297" max="2297" width="11" style="101" customWidth="1"/>
    <col min="2298" max="2298" width="10.42578125" style="101" customWidth="1"/>
    <col min="2299" max="2299" width="11.28515625" style="101" customWidth="1"/>
    <col min="2300" max="2301" width="9.140625" style="101" bestFit="1" customWidth="1"/>
    <col min="2302" max="2303" width="11.140625" style="101" bestFit="1" customWidth="1"/>
    <col min="2304" max="2304" width="11.5703125" style="101" bestFit="1" customWidth="1"/>
    <col min="2305" max="2305" width="9.140625" style="101" bestFit="1" customWidth="1"/>
    <col min="2306" max="2306" width="10.28515625" style="101" customWidth="1"/>
    <col min="2307" max="2545" width="9.140625" style="101" customWidth="1"/>
    <col min="2546" max="2546" width="4.28515625" style="101" bestFit="1" customWidth="1"/>
    <col min="2547" max="2547" width="6.85546875" style="101" bestFit="1" customWidth="1"/>
    <col min="2548" max="2548" width="11" style="101" customWidth="1"/>
    <col min="2549" max="2549" width="11.140625" style="101" bestFit="1" customWidth="1"/>
    <col min="2550" max="2550" width="10.85546875" style="101" customWidth="1"/>
    <col min="2551" max="2551" width="11.5703125" style="101" customWidth="1"/>
    <col min="2552" max="2552" width="11.140625" style="101" bestFit="1" customWidth="1"/>
    <col min="2553" max="2553" width="11" style="101" customWidth="1"/>
    <col min="2554" max="2554" width="10.42578125" style="101" customWidth="1"/>
    <col min="2555" max="2555" width="11.28515625" style="101" customWidth="1"/>
    <col min="2556" max="2557" width="9.140625" style="101" bestFit="1" customWidth="1"/>
    <col min="2558" max="2559" width="11.140625" style="101" bestFit="1" customWidth="1"/>
    <col min="2560" max="2560" width="11.5703125" style="101" bestFit="1" customWidth="1"/>
    <col min="2561" max="2561" width="9.140625" style="101" bestFit="1" customWidth="1"/>
    <col min="2562" max="2562" width="10.28515625" style="101" customWidth="1"/>
    <col min="2563" max="2801" width="9.140625" style="101" customWidth="1"/>
    <col min="2802" max="2802" width="4.28515625" style="101" bestFit="1" customWidth="1"/>
    <col min="2803" max="2803" width="6.85546875" style="101" bestFit="1" customWidth="1"/>
    <col min="2804" max="2804" width="11" style="101" customWidth="1"/>
    <col min="2805" max="2805" width="11.140625" style="101" bestFit="1" customWidth="1"/>
    <col min="2806" max="2806" width="10.85546875" style="101" customWidth="1"/>
    <col min="2807" max="2807" width="11.5703125" style="101" customWidth="1"/>
    <col min="2808" max="2808" width="11.140625" style="101" bestFit="1" customWidth="1"/>
    <col min="2809" max="2809" width="11" style="101" customWidth="1"/>
    <col min="2810" max="2810" width="10.42578125" style="101" customWidth="1"/>
    <col min="2811" max="2811" width="11.28515625" style="101" customWidth="1"/>
    <col min="2812" max="2813" width="9.140625" style="101" bestFit="1" customWidth="1"/>
    <col min="2814" max="2815" width="11.140625" style="101" bestFit="1" customWidth="1"/>
    <col min="2816" max="2816" width="11.5703125" style="101" bestFit="1" customWidth="1"/>
    <col min="2817" max="2817" width="9.140625" style="101" bestFit="1" customWidth="1"/>
    <col min="2818" max="2818" width="10.28515625" style="101" customWidth="1"/>
    <col min="2819" max="3057" width="9.140625" style="101" customWidth="1"/>
    <col min="3058" max="3058" width="4.28515625" style="101" bestFit="1" customWidth="1"/>
    <col min="3059" max="3059" width="6.85546875" style="101" bestFit="1" customWidth="1"/>
    <col min="3060" max="3060" width="11" style="101" customWidth="1"/>
    <col min="3061" max="3061" width="11.140625" style="101" bestFit="1" customWidth="1"/>
    <col min="3062" max="3062" width="10.85546875" style="101" customWidth="1"/>
    <col min="3063" max="3063" width="11.5703125" style="101" customWidth="1"/>
    <col min="3064" max="3064" width="11.140625" style="101" bestFit="1" customWidth="1"/>
    <col min="3065" max="3065" width="11" style="101" customWidth="1"/>
    <col min="3066" max="3066" width="10.42578125" style="101" customWidth="1"/>
    <col min="3067" max="3067" width="11.28515625" style="101" customWidth="1"/>
    <col min="3068" max="3069" width="9.140625" style="101" bestFit="1" customWidth="1"/>
    <col min="3070" max="3071" width="11.140625" style="101" bestFit="1" customWidth="1"/>
    <col min="3072" max="3072" width="11.5703125" style="101" bestFit="1" customWidth="1"/>
    <col min="3073" max="3073" width="9.140625" style="101" bestFit="1" customWidth="1"/>
    <col min="3074" max="3074" width="10.28515625" style="101" customWidth="1"/>
    <col min="3075" max="3313" width="9.140625" style="101" customWidth="1"/>
    <col min="3314" max="3314" width="4.28515625" style="101" bestFit="1" customWidth="1"/>
    <col min="3315" max="3315" width="6.85546875" style="101" bestFit="1" customWidth="1"/>
    <col min="3316" max="3316" width="11" style="101" customWidth="1"/>
    <col min="3317" max="3317" width="11.140625" style="101" bestFit="1" customWidth="1"/>
    <col min="3318" max="3318" width="10.85546875" style="101" customWidth="1"/>
    <col min="3319" max="3319" width="11.5703125" style="101" customWidth="1"/>
    <col min="3320" max="3320" width="11.140625" style="101" bestFit="1" customWidth="1"/>
    <col min="3321" max="3321" width="11" style="101" customWidth="1"/>
    <col min="3322" max="3322" width="10.42578125" style="101" customWidth="1"/>
    <col min="3323" max="3323" width="11.28515625" style="101" customWidth="1"/>
    <col min="3324" max="3325" width="9.140625" style="101" bestFit="1" customWidth="1"/>
    <col min="3326" max="3327" width="11.140625" style="101" bestFit="1" customWidth="1"/>
    <col min="3328" max="3328" width="11.5703125" style="101" bestFit="1" customWidth="1"/>
    <col min="3329" max="3329" width="9.140625" style="101" bestFit="1" customWidth="1"/>
    <col min="3330" max="3330" width="10.28515625" style="101" customWidth="1"/>
    <col min="3331" max="3569" width="9.140625" style="101" customWidth="1"/>
    <col min="3570" max="3570" width="4.28515625" style="101" bestFit="1" customWidth="1"/>
    <col min="3571" max="3571" width="6.85546875" style="101" bestFit="1" customWidth="1"/>
    <col min="3572" max="3572" width="11" style="101" customWidth="1"/>
    <col min="3573" max="3573" width="11.140625" style="101" bestFit="1" customWidth="1"/>
    <col min="3574" max="3574" width="10.85546875" style="101" customWidth="1"/>
    <col min="3575" max="3575" width="11.5703125" style="101" customWidth="1"/>
    <col min="3576" max="3576" width="11.140625" style="101" bestFit="1" customWidth="1"/>
    <col min="3577" max="3577" width="11" style="101" customWidth="1"/>
    <col min="3578" max="3578" width="10.42578125" style="101" customWidth="1"/>
    <col min="3579" max="3579" width="11.28515625" style="101" customWidth="1"/>
    <col min="3580" max="3581" width="9.140625" style="101" bestFit="1" customWidth="1"/>
    <col min="3582" max="3583" width="11.140625" style="101" bestFit="1" customWidth="1"/>
    <col min="3584" max="3584" width="11.5703125" style="101" bestFit="1" customWidth="1"/>
    <col min="3585" max="3585" width="9.140625" style="101" bestFit="1" customWidth="1"/>
    <col min="3586" max="3586" width="10.28515625" style="101" customWidth="1"/>
    <col min="3587" max="3825" width="9.140625" style="101" customWidth="1"/>
    <col min="3826" max="3826" width="4.28515625" style="101" bestFit="1" customWidth="1"/>
    <col min="3827" max="3827" width="6.85546875" style="101" bestFit="1" customWidth="1"/>
    <col min="3828" max="3828" width="11" style="101" customWidth="1"/>
    <col min="3829" max="3829" width="11.140625" style="101" bestFit="1" customWidth="1"/>
    <col min="3830" max="3830" width="10.85546875" style="101" customWidth="1"/>
    <col min="3831" max="3831" width="11.5703125" style="101" customWidth="1"/>
    <col min="3832" max="3832" width="11.140625" style="101" bestFit="1" customWidth="1"/>
    <col min="3833" max="3833" width="11" style="101" customWidth="1"/>
    <col min="3834" max="3834" width="10.42578125" style="101" customWidth="1"/>
    <col min="3835" max="3835" width="11.28515625" style="101" customWidth="1"/>
    <col min="3836" max="3837" width="9.140625" style="101" bestFit="1" customWidth="1"/>
    <col min="3838" max="3839" width="11.140625" style="101" bestFit="1" customWidth="1"/>
    <col min="3840" max="3840" width="11.5703125" style="101" bestFit="1" customWidth="1"/>
    <col min="3841" max="3841" width="9.140625" style="101" bestFit="1" customWidth="1"/>
    <col min="3842" max="3842" width="10.28515625" style="101" customWidth="1"/>
    <col min="3843" max="4081" width="9.140625" style="101" customWidth="1"/>
    <col min="4082" max="4082" width="4.28515625" style="101" bestFit="1" customWidth="1"/>
    <col min="4083" max="4083" width="6.85546875" style="101" bestFit="1" customWidth="1"/>
    <col min="4084" max="4084" width="11" style="101" customWidth="1"/>
    <col min="4085" max="4085" width="11.140625" style="101" bestFit="1" customWidth="1"/>
    <col min="4086" max="4086" width="10.85546875" style="101" customWidth="1"/>
    <col min="4087" max="4087" width="11.5703125" style="101" customWidth="1"/>
    <col min="4088" max="4088" width="11.140625" style="101" bestFit="1" customWidth="1"/>
    <col min="4089" max="4089" width="11" style="101" customWidth="1"/>
    <col min="4090" max="4090" width="10.42578125" style="101" customWidth="1"/>
    <col min="4091" max="4091" width="11.28515625" style="101" customWidth="1"/>
    <col min="4092" max="4093" width="9.140625" style="101" bestFit="1" customWidth="1"/>
    <col min="4094" max="4095" width="11.140625" style="101" bestFit="1" customWidth="1"/>
    <col min="4096" max="4096" width="11.5703125" style="101" bestFit="1" customWidth="1"/>
    <col min="4097" max="4097" width="9.140625" style="101" bestFit="1" customWidth="1"/>
    <col min="4098" max="4098" width="10.28515625" style="101" customWidth="1"/>
    <col min="4099" max="4337" width="9.140625" style="101" customWidth="1"/>
    <col min="4338" max="4338" width="4.28515625" style="101" bestFit="1" customWidth="1"/>
    <col min="4339" max="4339" width="6.85546875" style="101" bestFit="1" customWidth="1"/>
    <col min="4340" max="4340" width="11" style="101" customWidth="1"/>
    <col min="4341" max="4341" width="11.140625" style="101" bestFit="1" customWidth="1"/>
    <col min="4342" max="4342" width="10.85546875" style="101" customWidth="1"/>
    <col min="4343" max="4343" width="11.5703125" style="101" customWidth="1"/>
    <col min="4344" max="4344" width="11.140625" style="101" bestFit="1" customWidth="1"/>
    <col min="4345" max="4345" width="11" style="101" customWidth="1"/>
    <col min="4346" max="4346" width="10.42578125" style="101" customWidth="1"/>
    <col min="4347" max="4347" width="11.28515625" style="101" customWidth="1"/>
    <col min="4348" max="4349" width="9.140625" style="101" bestFit="1" customWidth="1"/>
    <col min="4350" max="4351" width="11.140625" style="101" bestFit="1" customWidth="1"/>
    <col min="4352" max="4352" width="11.5703125" style="101" bestFit="1" customWidth="1"/>
    <col min="4353" max="4353" width="9.140625" style="101" bestFit="1" customWidth="1"/>
    <col min="4354" max="4354" width="10.28515625" style="101" customWidth="1"/>
    <col min="4355" max="4593" width="9.140625" style="101" customWidth="1"/>
    <col min="4594" max="4594" width="4.28515625" style="101" bestFit="1" customWidth="1"/>
    <col min="4595" max="4595" width="6.85546875" style="101" bestFit="1" customWidth="1"/>
    <col min="4596" max="4596" width="11" style="101" customWidth="1"/>
    <col min="4597" max="4597" width="11.140625" style="101" bestFit="1" customWidth="1"/>
    <col min="4598" max="4598" width="10.85546875" style="101" customWidth="1"/>
    <col min="4599" max="4599" width="11.5703125" style="101" customWidth="1"/>
    <col min="4600" max="4600" width="11.140625" style="101" bestFit="1" customWidth="1"/>
    <col min="4601" max="4601" width="11" style="101" customWidth="1"/>
    <col min="4602" max="4602" width="10.42578125" style="101" customWidth="1"/>
    <col min="4603" max="4603" width="11.28515625" style="101" customWidth="1"/>
    <col min="4604" max="4605" width="9.140625" style="101" bestFit="1" customWidth="1"/>
    <col min="4606" max="4607" width="11.140625" style="101" bestFit="1" customWidth="1"/>
    <col min="4608" max="4608" width="11.5703125" style="101" bestFit="1" customWidth="1"/>
    <col min="4609" max="4609" width="9.140625" style="101" bestFit="1" customWidth="1"/>
    <col min="4610" max="4610" width="10.28515625" style="101" customWidth="1"/>
    <col min="4611" max="4849" width="9.140625" style="101" customWidth="1"/>
    <col min="4850" max="4850" width="4.28515625" style="101" bestFit="1" customWidth="1"/>
    <col min="4851" max="4851" width="6.85546875" style="101" bestFit="1" customWidth="1"/>
    <col min="4852" max="4852" width="11" style="101" customWidth="1"/>
    <col min="4853" max="4853" width="11.140625" style="101" bestFit="1" customWidth="1"/>
    <col min="4854" max="4854" width="10.85546875" style="101" customWidth="1"/>
    <col min="4855" max="4855" width="11.5703125" style="101" customWidth="1"/>
    <col min="4856" max="4856" width="11.140625" style="101" bestFit="1" customWidth="1"/>
    <col min="4857" max="4857" width="11" style="101" customWidth="1"/>
    <col min="4858" max="4858" width="10.42578125" style="101" customWidth="1"/>
    <col min="4859" max="4859" width="11.28515625" style="101" customWidth="1"/>
    <col min="4860" max="4861" width="9.140625" style="101" bestFit="1" customWidth="1"/>
    <col min="4862" max="4863" width="11.140625" style="101" bestFit="1" customWidth="1"/>
    <col min="4864" max="4864" width="11.5703125" style="101" bestFit="1" customWidth="1"/>
    <col min="4865" max="4865" width="9.140625" style="101" bestFit="1" customWidth="1"/>
    <col min="4866" max="4866" width="10.28515625" style="101" customWidth="1"/>
    <col min="4867" max="5105" width="9.140625" style="101" customWidth="1"/>
    <col min="5106" max="5106" width="4.28515625" style="101" bestFit="1" customWidth="1"/>
    <col min="5107" max="5107" width="6.85546875" style="101" bestFit="1" customWidth="1"/>
    <col min="5108" max="5108" width="11" style="101" customWidth="1"/>
    <col min="5109" max="5109" width="11.140625" style="101" bestFit="1" customWidth="1"/>
    <col min="5110" max="5110" width="10.85546875" style="101" customWidth="1"/>
    <col min="5111" max="5111" width="11.5703125" style="101" customWidth="1"/>
    <col min="5112" max="5112" width="11.140625" style="101" bestFit="1" customWidth="1"/>
    <col min="5113" max="5113" width="11" style="101" customWidth="1"/>
    <col min="5114" max="5114" width="10.42578125" style="101" customWidth="1"/>
    <col min="5115" max="5115" width="11.28515625" style="101" customWidth="1"/>
    <col min="5116" max="5117" width="9.140625" style="101" bestFit="1" customWidth="1"/>
    <col min="5118" max="5119" width="11.140625" style="101" bestFit="1" customWidth="1"/>
    <col min="5120" max="5120" width="11.5703125" style="101" bestFit="1" customWidth="1"/>
    <col min="5121" max="5121" width="9.140625" style="101" bestFit="1" customWidth="1"/>
    <col min="5122" max="5122" width="10.28515625" style="101" customWidth="1"/>
    <col min="5123" max="5361" width="9.140625" style="101" customWidth="1"/>
    <col min="5362" max="5362" width="4.28515625" style="101" bestFit="1" customWidth="1"/>
    <col min="5363" max="5363" width="6.85546875" style="101" bestFit="1" customWidth="1"/>
    <col min="5364" max="5364" width="11" style="101" customWidth="1"/>
    <col min="5365" max="5365" width="11.140625" style="101" bestFit="1" customWidth="1"/>
    <col min="5366" max="5366" width="10.85546875" style="101" customWidth="1"/>
    <col min="5367" max="5367" width="11.5703125" style="101" customWidth="1"/>
    <col min="5368" max="5368" width="11.140625" style="101" bestFit="1" customWidth="1"/>
    <col min="5369" max="5369" width="11" style="101" customWidth="1"/>
    <col min="5370" max="5370" width="10.42578125" style="101" customWidth="1"/>
    <col min="5371" max="5371" width="11.28515625" style="101" customWidth="1"/>
    <col min="5372" max="5373" width="9.140625" style="101" bestFit="1" customWidth="1"/>
    <col min="5374" max="5375" width="11.140625" style="101" bestFit="1" customWidth="1"/>
    <col min="5376" max="5376" width="11.5703125" style="101" bestFit="1" customWidth="1"/>
    <col min="5377" max="5377" width="9.140625" style="101" bestFit="1" customWidth="1"/>
    <col min="5378" max="5378" width="10.28515625" style="101" customWidth="1"/>
    <col min="5379" max="5617" width="9.140625" style="101" customWidth="1"/>
    <col min="5618" max="5618" width="4.28515625" style="101" bestFit="1" customWidth="1"/>
    <col min="5619" max="5619" width="6.85546875" style="101" bestFit="1" customWidth="1"/>
    <col min="5620" max="5620" width="11" style="101" customWidth="1"/>
    <col min="5621" max="5621" width="11.140625" style="101" bestFit="1" customWidth="1"/>
    <col min="5622" max="5622" width="10.85546875" style="101" customWidth="1"/>
    <col min="5623" max="5623" width="11.5703125" style="101" customWidth="1"/>
    <col min="5624" max="5624" width="11.140625" style="101" bestFit="1" customWidth="1"/>
    <col min="5625" max="5625" width="11" style="101" customWidth="1"/>
    <col min="5626" max="5626" width="10.42578125" style="101" customWidth="1"/>
    <col min="5627" max="5627" width="11.28515625" style="101" customWidth="1"/>
    <col min="5628" max="5629" width="9.140625" style="101" bestFit="1" customWidth="1"/>
    <col min="5630" max="5631" width="11.140625" style="101" bestFit="1" customWidth="1"/>
    <col min="5632" max="5632" width="11.5703125" style="101" bestFit="1" customWidth="1"/>
    <col min="5633" max="5633" width="9.140625" style="101" bestFit="1" customWidth="1"/>
    <col min="5634" max="5634" width="10.28515625" style="101" customWidth="1"/>
    <col min="5635" max="5873" width="9.140625" style="101" customWidth="1"/>
    <col min="5874" max="5874" width="4.28515625" style="101" bestFit="1" customWidth="1"/>
    <col min="5875" max="5875" width="6.85546875" style="101" bestFit="1" customWidth="1"/>
    <col min="5876" max="5876" width="11" style="101" customWidth="1"/>
    <col min="5877" max="5877" width="11.140625" style="101" bestFit="1" customWidth="1"/>
    <col min="5878" max="5878" width="10.85546875" style="101" customWidth="1"/>
    <col min="5879" max="5879" width="11.5703125" style="101" customWidth="1"/>
    <col min="5880" max="5880" width="11.140625" style="101" bestFit="1" customWidth="1"/>
    <col min="5881" max="5881" width="11" style="101" customWidth="1"/>
    <col min="5882" max="5882" width="10.42578125" style="101" customWidth="1"/>
    <col min="5883" max="5883" width="11.28515625" style="101" customWidth="1"/>
    <col min="5884" max="5885" width="9.140625" style="101" bestFit="1" customWidth="1"/>
    <col min="5886" max="5887" width="11.140625" style="101" bestFit="1" customWidth="1"/>
    <col min="5888" max="5888" width="11.5703125" style="101" bestFit="1" customWidth="1"/>
    <col min="5889" max="5889" width="9.140625" style="101" bestFit="1" customWidth="1"/>
    <col min="5890" max="5890" width="10.28515625" style="101" customWidth="1"/>
    <col min="5891" max="6129" width="9.140625" style="101" customWidth="1"/>
    <col min="6130" max="6130" width="4.28515625" style="101" bestFit="1" customWidth="1"/>
    <col min="6131" max="6131" width="6.85546875" style="101" bestFit="1" customWidth="1"/>
    <col min="6132" max="6132" width="11" style="101" customWidth="1"/>
    <col min="6133" max="6133" width="11.140625" style="101" bestFit="1" customWidth="1"/>
    <col min="6134" max="6134" width="10.85546875" style="101" customWidth="1"/>
    <col min="6135" max="6135" width="11.5703125" style="101" customWidth="1"/>
    <col min="6136" max="6136" width="11.140625" style="101" bestFit="1" customWidth="1"/>
    <col min="6137" max="6137" width="11" style="101" customWidth="1"/>
    <col min="6138" max="6138" width="10.42578125" style="101" customWidth="1"/>
    <col min="6139" max="6139" width="11.28515625" style="101" customWidth="1"/>
    <col min="6140" max="6141" width="9.140625" style="101" bestFit="1" customWidth="1"/>
    <col min="6142" max="6143" width="11.140625" style="101" bestFit="1" customWidth="1"/>
    <col min="6144" max="6144" width="11.5703125" style="101" bestFit="1" customWidth="1"/>
    <col min="6145" max="6145" width="9.140625" style="101" bestFit="1" customWidth="1"/>
    <col min="6146" max="6146" width="10.28515625" style="101" customWidth="1"/>
    <col min="6147" max="6385" width="9.140625" style="101" customWidth="1"/>
    <col min="6386" max="6386" width="4.28515625" style="101" bestFit="1" customWidth="1"/>
    <col min="6387" max="6387" width="6.85546875" style="101" bestFit="1" customWidth="1"/>
    <col min="6388" max="6388" width="11" style="101" customWidth="1"/>
    <col min="6389" max="6389" width="11.140625" style="101" bestFit="1" customWidth="1"/>
    <col min="6390" max="6390" width="10.85546875" style="101" customWidth="1"/>
    <col min="6391" max="6391" width="11.5703125" style="101" customWidth="1"/>
    <col min="6392" max="6392" width="11.140625" style="101" bestFit="1" customWidth="1"/>
    <col min="6393" max="6393" width="11" style="101" customWidth="1"/>
    <col min="6394" max="6394" width="10.42578125" style="101" customWidth="1"/>
    <col min="6395" max="6395" width="11.28515625" style="101" customWidth="1"/>
    <col min="6396" max="6397" width="9.140625" style="101" bestFit="1" customWidth="1"/>
    <col min="6398" max="6399" width="11.140625" style="101" bestFit="1" customWidth="1"/>
    <col min="6400" max="6400" width="11.5703125" style="101" bestFit="1" customWidth="1"/>
    <col min="6401" max="6401" width="9.140625" style="101" bestFit="1" customWidth="1"/>
    <col min="6402" max="6402" width="10.28515625" style="101" customWidth="1"/>
    <col min="6403" max="6641" width="9.140625" style="101" customWidth="1"/>
    <col min="6642" max="6642" width="4.28515625" style="101" bestFit="1" customWidth="1"/>
    <col min="6643" max="6643" width="6.85546875" style="101" bestFit="1" customWidth="1"/>
    <col min="6644" max="6644" width="11" style="101" customWidth="1"/>
    <col min="6645" max="6645" width="11.140625" style="101" bestFit="1" customWidth="1"/>
    <col min="6646" max="6646" width="10.85546875" style="101" customWidth="1"/>
    <col min="6647" max="6647" width="11.5703125" style="101" customWidth="1"/>
    <col min="6648" max="6648" width="11.140625" style="101" bestFit="1" customWidth="1"/>
    <col min="6649" max="6649" width="11" style="101" customWidth="1"/>
    <col min="6650" max="6650" width="10.42578125" style="101" customWidth="1"/>
    <col min="6651" max="6651" width="11.28515625" style="101" customWidth="1"/>
    <col min="6652" max="6653" width="9.140625" style="101" bestFit="1" customWidth="1"/>
    <col min="6654" max="6655" width="11.140625" style="101" bestFit="1" customWidth="1"/>
    <col min="6656" max="6656" width="11.5703125" style="101" bestFit="1" customWidth="1"/>
    <col min="6657" max="6657" width="9.140625" style="101" bestFit="1" customWidth="1"/>
    <col min="6658" max="6658" width="10.28515625" style="101" customWidth="1"/>
    <col min="6659" max="6897" width="9.140625" style="101" customWidth="1"/>
    <col min="6898" max="6898" width="4.28515625" style="101" bestFit="1" customWidth="1"/>
    <col min="6899" max="6899" width="6.85546875" style="101" bestFit="1" customWidth="1"/>
    <col min="6900" max="6900" width="11" style="101" customWidth="1"/>
    <col min="6901" max="6901" width="11.140625" style="101" bestFit="1" customWidth="1"/>
    <col min="6902" max="6902" width="10.85546875" style="101" customWidth="1"/>
    <col min="6903" max="6903" width="11.5703125" style="101" customWidth="1"/>
    <col min="6904" max="6904" width="11.140625" style="101" bestFit="1" customWidth="1"/>
    <col min="6905" max="6905" width="11" style="101" customWidth="1"/>
    <col min="6906" max="6906" width="10.42578125" style="101" customWidth="1"/>
    <col min="6907" max="6907" width="11.28515625" style="101" customWidth="1"/>
    <col min="6908" max="6909" width="9.140625" style="101" bestFit="1" customWidth="1"/>
    <col min="6910" max="6911" width="11.140625" style="101" bestFit="1" customWidth="1"/>
    <col min="6912" max="6912" width="11.5703125" style="101" bestFit="1" customWidth="1"/>
    <col min="6913" max="6913" width="9.140625" style="101" bestFit="1" customWidth="1"/>
    <col min="6914" max="6914" width="10.28515625" style="101" customWidth="1"/>
    <col min="6915" max="7153" width="9.140625" style="101" customWidth="1"/>
    <col min="7154" max="7154" width="4.28515625" style="101" bestFit="1" customWidth="1"/>
    <col min="7155" max="7155" width="6.85546875" style="101" bestFit="1" customWidth="1"/>
    <col min="7156" max="7156" width="11" style="101" customWidth="1"/>
    <col min="7157" max="7157" width="11.140625" style="101" bestFit="1" customWidth="1"/>
    <col min="7158" max="7158" width="10.85546875" style="101" customWidth="1"/>
    <col min="7159" max="7159" width="11.5703125" style="101" customWidth="1"/>
    <col min="7160" max="7160" width="11.140625" style="101" bestFit="1" customWidth="1"/>
    <col min="7161" max="7161" width="11" style="101" customWidth="1"/>
    <col min="7162" max="7162" width="10.42578125" style="101" customWidth="1"/>
    <col min="7163" max="7163" width="11.28515625" style="101" customWidth="1"/>
    <col min="7164" max="7165" width="9.140625" style="101" bestFit="1" customWidth="1"/>
    <col min="7166" max="7167" width="11.140625" style="101" bestFit="1" customWidth="1"/>
    <col min="7168" max="7168" width="11.5703125" style="101" bestFit="1" customWidth="1"/>
    <col min="7169" max="7169" width="9.140625" style="101" bestFit="1" customWidth="1"/>
    <col min="7170" max="7170" width="10.28515625" style="101" customWidth="1"/>
    <col min="7171" max="7409" width="9.140625" style="101" customWidth="1"/>
    <col min="7410" max="7410" width="4.28515625" style="101" bestFit="1" customWidth="1"/>
    <col min="7411" max="7411" width="6.85546875" style="101" bestFit="1" customWidth="1"/>
    <col min="7412" max="7412" width="11" style="101" customWidth="1"/>
    <col min="7413" max="7413" width="11.140625" style="101" bestFit="1" customWidth="1"/>
    <col min="7414" max="7414" width="10.85546875" style="101" customWidth="1"/>
    <col min="7415" max="7415" width="11.5703125" style="101" customWidth="1"/>
    <col min="7416" max="7416" width="11.140625" style="101" bestFit="1" customWidth="1"/>
    <col min="7417" max="7417" width="11" style="101" customWidth="1"/>
    <col min="7418" max="7418" width="10.42578125" style="101" customWidth="1"/>
    <col min="7419" max="7419" width="11.28515625" style="101" customWidth="1"/>
    <col min="7420" max="7421" width="9.140625" style="101" bestFit="1" customWidth="1"/>
    <col min="7422" max="7423" width="11.140625" style="101" bestFit="1" customWidth="1"/>
    <col min="7424" max="7424" width="11.5703125" style="101" bestFit="1" customWidth="1"/>
    <col min="7425" max="7425" width="9.140625" style="101" bestFit="1" customWidth="1"/>
    <col min="7426" max="7426" width="10.28515625" style="101" customWidth="1"/>
    <col min="7427" max="7665" width="9.140625" style="101" customWidth="1"/>
    <col min="7666" max="7666" width="4.28515625" style="101" bestFit="1" customWidth="1"/>
    <col min="7667" max="7667" width="6.85546875" style="101" bestFit="1" customWidth="1"/>
    <col min="7668" max="7668" width="11" style="101" customWidth="1"/>
    <col min="7669" max="7669" width="11.140625" style="101" bestFit="1" customWidth="1"/>
    <col min="7670" max="7670" width="10.85546875" style="101" customWidth="1"/>
    <col min="7671" max="7671" width="11.5703125" style="101" customWidth="1"/>
    <col min="7672" max="7672" width="11.140625" style="101" bestFit="1" customWidth="1"/>
    <col min="7673" max="7673" width="11" style="101" customWidth="1"/>
    <col min="7674" max="7674" width="10.42578125" style="101" customWidth="1"/>
    <col min="7675" max="7675" width="11.28515625" style="101" customWidth="1"/>
    <col min="7676" max="7677" width="9.140625" style="101" bestFit="1" customWidth="1"/>
    <col min="7678" max="7679" width="11.140625" style="101" bestFit="1" customWidth="1"/>
    <col min="7680" max="7680" width="11.5703125" style="101" bestFit="1" customWidth="1"/>
    <col min="7681" max="7681" width="9.140625" style="101" bestFit="1" customWidth="1"/>
    <col min="7682" max="7682" width="10.28515625" style="101" customWidth="1"/>
    <col min="7683" max="7921" width="9.140625" style="101" customWidth="1"/>
    <col min="7922" max="7922" width="4.28515625" style="101" bestFit="1" customWidth="1"/>
    <col min="7923" max="7923" width="6.85546875" style="101" bestFit="1" customWidth="1"/>
    <col min="7924" max="7924" width="11" style="101" customWidth="1"/>
    <col min="7925" max="7925" width="11.140625" style="101" bestFit="1" customWidth="1"/>
    <col min="7926" max="7926" width="10.85546875" style="101" customWidth="1"/>
    <col min="7927" max="7927" width="11.5703125" style="101" customWidth="1"/>
    <col min="7928" max="7928" width="11.140625" style="101" bestFit="1" customWidth="1"/>
    <col min="7929" max="7929" width="11" style="101" customWidth="1"/>
    <col min="7930" max="7930" width="10.42578125" style="101" customWidth="1"/>
    <col min="7931" max="7931" width="11.28515625" style="101" customWidth="1"/>
    <col min="7932" max="7933" width="9.140625" style="101" bestFit="1" customWidth="1"/>
    <col min="7934" max="7935" width="11.140625" style="101" bestFit="1" customWidth="1"/>
    <col min="7936" max="7936" width="11.5703125" style="101" bestFit="1" customWidth="1"/>
    <col min="7937" max="7937" width="9.140625" style="101" bestFit="1" customWidth="1"/>
    <col min="7938" max="7938" width="10.28515625" style="101" customWidth="1"/>
    <col min="7939" max="8177" width="9.140625" style="101" customWidth="1"/>
    <col min="8178" max="8178" width="4.28515625" style="101" bestFit="1" customWidth="1"/>
    <col min="8179" max="8179" width="6.85546875" style="101" bestFit="1" customWidth="1"/>
    <col min="8180" max="8180" width="11" style="101" customWidth="1"/>
    <col min="8181" max="8181" width="11.140625" style="101" bestFit="1" customWidth="1"/>
    <col min="8182" max="8182" width="10.85546875" style="101" customWidth="1"/>
    <col min="8183" max="8183" width="11.5703125" style="101" customWidth="1"/>
    <col min="8184" max="8184" width="11.140625" style="101" bestFit="1" customWidth="1"/>
    <col min="8185" max="8185" width="11" style="101" customWidth="1"/>
    <col min="8186" max="8186" width="10.42578125" style="101" customWidth="1"/>
    <col min="8187" max="8187" width="11.28515625" style="101" customWidth="1"/>
    <col min="8188" max="8189" width="9.140625" style="101" bestFit="1" customWidth="1"/>
    <col min="8190" max="8191" width="11.140625" style="101" bestFit="1" customWidth="1"/>
    <col min="8192" max="8192" width="11.5703125" style="101" bestFit="1" customWidth="1"/>
    <col min="8193" max="8193" width="9.140625" style="101" bestFit="1" customWidth="1"/>
    <col min="8194" max="8194" width="10.28515625" style="101" customWidth="1"/>
    <col min="8195" max="8433" width="9.140625" style="101" customWidth="1"/>
    <col min="8434" max="8434" width="4.28515625" style="101" bestFit="1" customWidth="1"/>
    <col min="8435" max="8435" width="6.85546875" style="101" bestFit="1" customWidth="1"/>
    <col min="8436" max="8436" width="11" style="101" customWidth="1"/>
    <col min="8437" max="8437" width="11.140625" style="101" bestFit="1" customWidth="1"/>
    <col min="8438" max="8438" width="10.85546875" style="101" customWidth="1"/>
    <col min="8439" max="8439" width="11.5703125" style="101" customWidth="1"/>
    <col min="8440" max="8440" width="11.140625" style="101" bestFit="1" customWidth="1"/>
    <col min="8441" max="8441" width="11" style="101" customWidth="1"/>
    <col min="8442" max="8442" width="10.42578125" style="101" customWidth="1"/>
    <col min="8443" max="8443" width="11.28515625" style="101" customWidth="1"/>
    <col min="8444" max="8445" width="9.140625" style="101" bestFit="1" customWidth="1"/>
    <col min="8446" max="8447" width="11.140625" style="101" bestFit="1" customWidth="1"/>
    <col min="8448" max="8448" width="11.5703125" style="101" bestFit="1" customWidth="1"/>
    <col min="8449" max="8449" width="9.140625" style="101" bestFit="1" customWidth="1"/>
    <col min="8450" max="8450" width="10.28515625" style="101" customWidth="1"/>
    <col min="8451" max="8689" width="9.140625" style="101" customWidth="1"/>
    <col min="8690" max="8690" width="4.28515625" style="101" bestFit="1" customWidth="1"/>
    <col min="8691" max="8691" width="6.85546875" style="101" bestFit="1" customWidth="1"/>
    <col min="8692" max="8692" width="11" style="101" customWidth="1"/>
    <col min="8693" max="8693" width="11.140625" style="101" bestFit="1" customWidth="1"/>
    <col min="8694" max="8694" width="10.85546875" style="101" customWidth="1"/>
    <col min="8695" max="8695" width="11.5703125" style="101" customWidth="1"/>
    <col min="8696" max="8696" width="11.140625" style="101" bestFit="1" customWidth="1"/>
    <col min="8697" max="8697" width="11" style="101" customWidth="1"/>
    <col min="8698" max="8698" width="10.42578125" style="101" customWidth="1"/>
    <col min="8699" max="8699" width="11.28515625" style="101" customWidth="1"/>
    <col min="8700" max="8701" width="9.140625" style="101" bestFit="1" customWidth="1"/>
    <col min="8702" max="8703" width="11.140625" style="101" bestFit="1" customWidth="1"/>
    <col min="8704" max="8704" width="11.5703125" style="101" bestFit="1" customWidth="1"/>
    <col min="8705" max="8705" width="9.140625" style="101" bestFit="1" customWidth="1"/>
    <col min="8706" max="8706" width="10.28515625" style="101" customWidth="1"/>
    <col min="8707" max="8945" width="9.140625" style="101" customWidth="1"/>
    <col min="8946" max="8946" width="4.28515625" style="101" bestFit="1" customWidth="1"/>
    <col min="8947" max="8947" width="6.85546875" style="101" bestFit="1" customWidth="1"/>
    <col min="8948" max="8948" width="11" style="101" customWidth="1"/>
    <col min="8949" max="8949" width="11.140625" style="101" bestFit="1" customWidth="1"/>
    <col min="8950" max="8950" width="10.85546875" style="101" customWidth="1"/>
    <col min="8951" max="8951" width="11.5703125" style="101" customWidth="1"/>
    <col min="8952" max="8952" width="11.140625" style="101" bestFit="1" customWidth="1"/>
    <col min="8953" max="8953" width="11" style="101" customWidth="1"/>
    <col min="8954" max="8954" width="10.42578125" style="101" customWidth="1"/>
    <col min="8955" max="8955" width="11.28515625" style="101" customWidth="1"/>
    <col min="8956" max="8957" width="9.140625" style="101" bestFit="1" customWidth="1"/>
    <col min="8958" max="8959" width="11.140625" style="101" bestFit="1" customWidth="1"/>
    <col min="8960" max="8960" width="11.5703125" style="101" bestFit="1" customWidth="1"/>
    <col min="8961" max="8961" width="9.140625" style="101" bestFit="1" customWidth="1"/>
    <col min="8962" max="8962" width="10.28515625" style="101" customWidth="1"/>
    <col min="8963" max="9201" width="9.140625" style="101" customWidth="1"/>
    <col min="9202" max="9202" width="4.28515625" style="101" bestFit="1" customWidth="1"/>
    <col min="9203" max="9203" width="6.85546875" style="101" bestFit="1" customWidth="1"/>
    <col min="9204" max="9204" width="11" style="101" customWidth="1"/>
    <col min="9205" max="9205" width="11.140625" style="101" bestFit="1" customWidth="1"/>
    <col min="9206" max="9206" width="10.85546875" style="101" customWidth="1"/>
    <col min="9207" max="9207" width="11.5703125" style="101" customWidth="1"/>
    <col min="9208" max="9208" width="11.140625" style="101" bestFit="1" customWidth="1"/>
    <col min="9209" max="9209" width="11" style="101" customWidth="1"/>
    <col min="9210" max="9210" width="10.42578125" style="101" customWidth="1"/>
    <col min="9211" max="9211" width="11.28515625" style="101" customWidth="1"/>
    <col min="9212" max="9213" width="9.140625" style="101" bestFit="1" customWidth="1"/>
    <col min="9214" max="9215" width="11.140625" style="101" bestFit="1" customWidth="1"/>
    <col min="9216" max="9216" width="11.5703125" style="101" bestFit="1" customWidth="1"/>
    <col min="9217" max="9217" width="9.140625" style="101" bestFit="1" customWidth="1"/>
    <col min="9218" max="9218" width="10.28515625" style="101" customWidth="1"/>
    <col min="9219" max="9457" width="9.140625" style="101" customWidth="1"/>
    <col min="9458" max="9458" width="4.28515625" style="101" bestFit="1" customWidth="1"/>
    <col min="9459" max="9459" width="6.85546875" style="101" bestFit="1" customWidth="1"/>
    <col min="9460" max="9460" width="11" style="101" customWidth="1"/>
    <col min="9461" max="9461" width="11.140625" style="101" bestFit="1" customWidth="1"/>
    <col min="9462" max="9462" width="10.85546875" style="101" customWidth="1"/>
    <col min="9463" max="9463" width="11.5703125" style="101" customWidth="1"/>
    <col min="9464" max="9464" width="11.140625" style="101" bestFit="1" customWidth="1"/>
    <col min="9465" max="9465" width="11" style="101" customWidth="1"/>
    <col min="9466" max="9466" width="10.42578125" style="101" customWidth="1"/>
    <col min="9467" max="9467" width="11.28515625" style="101" customWidth="1"/>
    <col min="9468" max="9469" width="9.140625" style="101" bestFit="1" customWidth="1"/>
    <col min="9470" max="9471" width="11.140625" style="101" bestFit="1" customWidth="1"/>
    <col min="9472" max="9472" width="11.5703125" style="101" bestFit="1" customWidth="1"/>
    <col min="9473" max="9473" width="9.140625" style="101" bestFit="1" customWidth="1"/>
    <col min="9474" max="9474" width="10.28515625" style="101" customWidth="1"/>
    <col min="9475" max="9713" width="9.140625" style="101" customWidth="1"/>
    <col min="9714" max="9714" width="4.28515625" style="101" bestFit="1" customWidth="1"/>
    <col min="9715" max="9715" width="6.85546875" style="101" bestFit="1" customWidth="1"/>
    <col min="9716" max="9716" width="11" style="101" customWidth="1"/>
    <col min="9717" max="9717" width="11.140625" style="101" bestFit="1" customWidth="1"/>
    <col min="9718" max="9718" width="10.85546875" style="101" customWidth="1"/>
    <col min="9719" max="9719" width="11.5703125" style="101" customWidth="1"/>
    <col min="9720" max="9720" width="11.140625" style="101" bestFit="1" customWidth="1"/>
    <col min="9721" max="9721" width="11" style="101" customWidth="1"/>
    <col min="9722" max="9722" width="10.42578125" style="101" customWidth="1"/>
    <col min="9723" max="9723" width="11.28515625" style="101" customWidth="1"/>
    <col min="9724" max="9725" width="9.140625" style="101" bestFit="1" customWidth="1"/>
    <col min="9726" max="9727" width="11.140625" style="101" bestFit="1" customWidth="1"/>
    <col min="9728" max="9728" width="11.5703125" style="101" bestFit="1" customWidth="1"/>
    <col min="9729" max="9729" width="9.140625" style="101" bestFit="1" customWidth="1"/>
    <col min="9730" max="9730" width="10.28515625" style="101" customWidth="1"/>
    <col min="9731" max="9969" width="9.140625" style="101" customWidth="1"/>
    <col min="9970" max="9970" width="4.28515625" style="101" bestFit="1" customWidth="1"/>
    <col min="9971" max="9971" width="6.85546875" style="101" bestFit="1" customWidth="1"/>
    <col min="9972" max="9972" width="11" style="101" customWidth="1"/>
    <col min="9973" max="9973" width="11.140625" style="101" bestFit="1" customWidth="1"/>
    <col min="9974" max="9974" width="10.85546875" style="101" customWidth="1"/>
    <col min="9975" max="9975" width="11.5703125" style="101" customWidth="1"/>
    <col min="9976" max="9976" width="11.140625" style="101" bestFit="1" customWidth="1"/>
    <col min="9977" max="9977" width="11" style="101" customWidth="1"/>
    <col min="9978" max="9978" width="10.42578125" style="101" customWidth="1"/>
    <col min="9979" max="9979" width="11.28515625" style="101" customWidth="1"/>
    <col min="9980" max="9981" width="9.140625" style="101" bestFit="1" customWidth="1"/>
    <col min="9982" max="9983" width="11.140625" style="101" bestFit="1" customWidth="1"/>
    <col min="9984" max="9984" width="11.5703125" style="101" bestFit="1" customWidth="1"/>
    <col min="9985" max="9985" width="9.140625" style="101" bestFit="1" customWidth="1"/>
    <col min="9986" max="9986" width="10.28515625" style="101" customWidth="1"/>
    <col min="9987" max="10225" width="9.140625" style="101" customWidth="1"/>
    <col min="10226" max="10226" width="4.28515625" style="101" bestFit="1" customWidth="1"/>
    <col min="10227" max="10227" width="6.85546875" style="101" bestFit="1" customWidth="1"/>
    <col min="10228" max="10228" width="11" style="101" customWidth="1"/>
    <col min="10229" max="10229" width="11.140625" style="101" bestFit="1" customWidth="1"/>
    <col min="10230" max="10230" width="10.85546875" style="101" customWidth="1"/>
    <col min="10231" max="10231" width="11.5703125" style="101" customWidth="1"/>
    <col min="10232" max="10232" width="11.140625" style="101" bestFit="1" customWidth="1"/>
    <col min="10233" max="10233" width="11" style="101" customWidth="1"/>
    <col min="10234" max="10234" width="10.42578125" style="101" customWidth="1"/>
    <col min="10235" max="10235" width="11.28515625" style="101" customWidth="1"/>
    <col min="10236" max="10237" width="9.140625" style="101" bestFit="1" customWidth="1"/>
    <col min="10238" max="10239" width="11.140625" style="101" bestFit="1" customWidth="1"/>
    <col min="10240" max="10240" width="11.5703125" style="101" bestFit="1" customWidth="1"/>
    <col min="10241" max="10241" width="9.140625" style="101" bestFit="1" customWidth="1"/>
    <col min="10242" max="10242" width="10.28515625" style="101" customWidth="1"/>
    <col min="10243" max="10481" width="9.140625" style="101" customWidth="1"/>
    <col min="10482" max="10482" width="4.28515625" style="101" bestFit="1" customWidth="1"/>
    <col min="10483" max="10483" width="6.85546875" style="101" bestFit="1" customWidth="1"/>
    <col min="10484" max="10484" width="11" style="101" customWidth="1"/>
    <col min="10485" max="10485" width="11.140625" style="101" bestFit="1" customWidth="1"/>
    <col min="10486" max="10486" width="10.85546875" style="101" customWidth="1"/>
    <col min="10487" max="10487" width="11.5703125" style="101" customWidth="1"/>
    <col min="10488" max="10488" width="11.140625" style="101" bestFit="1" customWidth="1"/>
    <col min="10489" max="10489" width="11" style="101" customWidth="1"/>
    <col min="10490" max="10490" width="10.42578125" style="101" customWidth="1"/>
    <col min="10491" max="10491" width="11.28515625" style="101" customWidth="1"/>
    <col min="10492" max="10493" width="9.140625" style="101" bestFit="1" customWidth="1"/>
    <col min="10494" max="10495" width="11.140625" style="101" bestFit="1" customWidth="1"/>
    <col min="10496" max="10496" width="11.5703125" style="101" bestFit="1" customWidth="1"/>
    <col min="10497" max="10497" width="9.140625" style="101" bestFit="1" customWidth="1"/>
    <col min="10498" max="10498" width="10.28515625" style="101" customWidth="1"/>
    <col min="10499" max="10737" width="9.140625" style="101" customWidth="1"/>
    <col min="10738" max="10738" width="4.28515625" style="101" bestFit="1" customWidth="1"/>
    <col min="10739" max="10739" width="6.85546875" style="101" bestFit="1" customWidth="1"/>
    <col min="10740" max="10740" width="11" style="101" customWidth="1"/>
    <col min="10741" max="10741" width="11.140625" style="101" bestFit="1" customWidth="1"/>
    <col min="10742" max="10742" width="10.85546875" style="101" customWidth="1"/>
    <col min="10743" max="10743" width="11.5703125" style="101" customWidth="1"/>
    <col min="10744" max="10744" width="11.140625" style="101" bestFit="1" customWidth="1"/>
    <col min="10745" max="10745" width="11" style="101" customWidth="1"/>
    <col min="10746" max="10746" width="10.42578125" style="101" customWidth="1"/>
    <col min="10747" max="10747" width="11.28515625" style="101" customWidth="1"/>
    <col min="10748" max="10749" width="9.140625" style="101" bestFit="1" customWidth="1"/>
    <col min="10750" max="10751" width="11.140625" style="101" bestFit="1" customWidth="1"/>
    <col min="10752" max="10752" width="11.5703125" style="101" bestFit="1" customWidth="1"/>
    <col min="10753" max="10753" width="9.140625" style="101" bestFit="1" customWidth="1"/>
    <col min="10754" max="10754" width="10.28515625" style="101" customWidth="1"/>
    <col min="10755" max="10993" width="9.140625" style="101" customWidth="1"/>
    <col min="10994" max="10994" width="4.28515625" style="101" bestFit="1" customWidth="1"/>
    <col min="10995" max="10995" width="6.85546875" style="101" bestFit="1" customWidth="1"/>
    <col min="10996" max="10996" width="11" style="101" customWidth="1"/>
    <col min="10997" max="10997" width="11.140625" style="101" bestFit="1" customWidth="1"/>
    <col min="10998" max="10998" width="10.85546875" style="101" customWidth="1"/>
    <col min="10999" max="10999" width="11.5703125" style="101" customWidth="1"/>
    <col min="11000" max="11000" width="11.140625" style="101" bestFit="1" customWidth="1"/>
    <col min="11001" max="11001" width="11" style="101" customWidth="1"/>
    <col min="11002" max="11002" width="10.42578125" style="101" customWidth="1"/>
    <col min="11003" max="11003" width="11.28515625" style="101" customWidth="1"/>
    <col min="11004" max="11005" width="9.140625" style="101" bestFit="1" customWidth="1"/>
    <col min="11006" max="11007" width="11.140625" style="101" bestFit="1" customWidth="1"/>
    <col min="11008" max="11008" width="11.5703125" style="101" bestFit="1" customWidth="1"/>
    <col min="11009" max="11009" width="9.140625" style="101" bestFit="1" customWidth="1"/>
    <col min="11010" max="11010" width="10.28515625" style="101" customWidth="1"/>
    <col min="11011" max="11249" width="9.140625" style="101" customWidth="1"/>
    <col min="11250" max="11250" width="4.28515625" style="101" bestFit="1" customWidth="1"/>
    <col min="11251" max="11251" width="6.85546875" style="101" bestFit="1" customWidth="1"/>
    <col min="11252" max="11252" width="11" style="101" customWidth="1"/>
    <col min="11253" max="11253" width="11.140625" style="101" bestFit="1" customWidth="1"/>
    <col min="11254" max="11254" width="10.85546875" style="101" customWidth="1"/>
    <col min="11255" max="11255" width="11.5703125" style="101" customWidth="1"/>
    <col min="11256" max="11256" width="11.140625" style="101" bestFit="1" customWidth="1"/>
    <col min="11257" max="11257" width="11" style="101" customWidth="1"/>
    <col min="11258" max="11258" width="10.42578125" style="101" customWidth="1"/>
    <col min="11259" max="11259" width="11.28515625" style="101" customWidth="1"/>
    <col min="11260" max="11261" width="9.140625" style="101" bestFit="1" customWidth="1"/>
    <col min="11262" max="11263" width="11.140625" style="101" bestFit="1" customWidth="1"/>
    <col min="11264" max="11264" width="11.5703125" style="101" bestFit="1" customWidth="1"/>
    <col min="11265" max="11265" width="9.140625" style="101" bestFit="1" customWidth="1"/>
    <col min="11266" max="11266" width="10.28515625" style="101" customWidth="1"/>
    <col min="11267" max="11505" width="9.140625" style="101" customWidth="1"/>
    <col min="11506" max="11506" width="4.28515625" style="101" bestFit="1" customWidth="1"/>
    <col min="11507" max="11507" width="6.85546875" style="101" bestFit="1" customWidth="1"/>
    <col min="11508" max="11508" width="11" style="101" customWidth="1"/>
    <col min="11509" max="11509" width="11.140625" style="101" bestFit="1" customWidth="1"/>
    <col min="11510" max="11510" width="10.85546875" style="101" customWidth="1"/>
    <col min="11511" max="11511" width="11.5703125" style="101" customWidth="1"/>
    <col min="11512" max="11512" width="11.140625" style="101" bestFit="1" customWidth="1"/>
    <col min="11513" max="11513" width="11" style="101" customWidth="1"/>
    <col min="11514" max="11514" width="10.42578125" style="101" customWidth="1"/>
    <col min="11515" max="11515" width="11.28515625" style="101" customWidth="1"/>
    <col min="11516" max="11517" width="9.140625" style="101" bestFit="1" customWidth="1"/>
    <col min="11518" max="11519" width="11.140625" style="101" bestFit="1" customWidth="1"/>
    <col min="11520" max="11520" width="11.5703125" style="101" bestFit="1" customWidth="1"/>
    <col min="11521" max="11521" width="9.140625" style="101" bestFit="1" customWidth="1"/>
    <col min="11522" max="11522" width="10.28515625" style="101" customWidth="1"/>
    <col min="11523" max="11761" width="9.140625" style="101" customWidth="1"/>
    <col min="11762" max="11762" width="4.28515625" style="101" bestFit="1" customWidth="1"/>
    <col min="11763" max="11763" width="6.85546875" style="101" bestFit="1" customWidth="1"/>
    <col min="11764" max="11764" width="11" style="101" customWidth="1"/>
    <col min="11765" max="11765" width="11.140625" style="101" bestFit="1" customWidth="1"/>
    <col min="11766" max="11766" width="10.85546875" style="101" customWidth="1"/>
    <col min="11767" max="11767" width="11.5703125" style="101" customWidth="1"/>
    <col min="11768" max="11768" width="11.140625" style="101" bestFit="1" customWidth="1"/>
    <col min="11769" max="11769" width="11" style="101" customWidth="1"/>
    <col min="11770" max="11770" width="10.42578125" style="101" customWidth="1"/>
    <col min="11771" max="11771" width="11.28515625" style="101" customWidth="1"/>
    <col min="11772" max="11773" width="9.140625" style="101" bestFit="1" customWidth="1"/>
    <col min="11774" max="11775" width="11.140625" style="101" bestFit="1" customWidth="1"/>
    <col min="11776" max="11776" width="11.5703125" style="101" bestFit="1" customWidth="1"/>
    <col min="11777" max="11777" width="9.140625" style="101" bestFit="1" customWidth="1"/>
    <col min="11778" max="11778" width="10.28515625" style="101" customWidth="1"/>
    <col min="11779" max="12017" width="9.140625" style="101" customWidth="1"/>
    <col min="12018" max="12018" width="4.28515625" style="101" bestFit="1" customWidth="1"/>
    <col min="12019" max="12019" width="6.85546875" style="101" bestFit="1" customWidth="1"/>
    <col min="12020" max="12020" width="11" style="101" customWidth="1"/>
    <col min="12021" max="12021" width="11.140625" style="101" bestFit="1" customWidth="1"/>
    <col min="12022" max="12022" width="10.85546875" style="101" customWidth="1"/>
    <col min="12023" max="12023" width="11.5703125" style="101" customWidth="1"/>
    <col min="12024" max="12024" width="11.140625" style="101" bestFit="1" customWidth="1"/>
    <col min="12025" max="12025" width="11" style="101" customWidth="1"/>
    <col min="12026" max="12026" width="10.42578125" style="101" customWidth="1"/>
    <col min="12027" max="12027" width="11.28515625" style="101" customWidth="1"/>
    <col min="12028" max="12029" width="9.140625" style="101" bestFit="1" customWidth="1"/>
    <col min="12030" max="12031" width="11.140625" style="101" bestFit="1" customWidth="1"/>
    <col min="12032" max="12032" width="11.5703125" style="101" bestFit="1" customWidth="1"/>
    <col min="12033" max="12033" width="9.140625" style="101" bestFit="1" customWidth="1"/>
    <col min="12034" max="12034" width="10.28515625" style="101" customWidth="1"/>
    <col min="12035" max="12273" width="9.140625" style="101" customWidth="1"/>
    <col min="12274" max="12274" width="4.28515625" style="101" bestFit="1" customWidth="1"/>
    <col min="12275" max="12275" width="6.85546875" style="101" bestFit="1" customWidth="1"/>
    <col min="12276" max="12276" width="11" style="101" customWidth="1"/>
    <col min="12277" max="12277" width="11.140625" style="101" bestFit="1" customWidth="1"/>
    <col min="12278" max="12278" width="10.85546875" style="101" customWidth="1"/>
    <col min="12279" max="12279" width="11.5703125" style="101" customWidth="1"/>
    <col min="12280" max="12280" width="11.140625" style="101" bestFit="1" customWidth="1"/>
    <col min="12281" max="12281" width="11" style="101" customWidth="1"/>
    <col min="12282" max="12282" width="10.42578125" style="101" customWidth="1"/>
    <col min="12283" max="12283" width="11.28515625" style="101" customWidth="1"/>
    <col min="12284" max="12285" width="9.140625" style="101" bestFit="1" customWidth="1"/>
    <col min="12286" max="12287" width="11.140625" style="101" bestFit="1" customWidth="1"/>
    <col min="12288" max="12288" width="11.5703125" style="101" bestFit="1" customWidth="1"/>
    <col min="12289" max="12289" width="9.140625" style="101" bestFit="1" customWidth="1"/>
    <col min="12290" max="12290" width="10.28515625" style="101" customWidth="1"/>
    <col min="12291" max="12529" width="9.140625" style="101" customWidth="1"/>
    <col min="12530" max="12530" width="4.28515625" style="101" bestFit="1" customWidth="1"/>
    <col min="12531" max="12531" width="6.85546875" style="101" bestFit="1" customWidth="1"/>
    <col min="12532" max="12532" width="11" style="101" customWidth="1"/>
    <col min="12533" max="12533" width="11.140625" style="101" bestFit="1" customWidth="1"/>
    <col min="12534" max="12534" width="10.85546875" style="101" customWidth="1"/>
    <col min="12535" max="12535" width="11.5703125" style="101" customWidth="1"/>
    <col min="12536" max="12536" width="11.140625" style="101" bestFit="1" customWidth="1"/>
    <col min="12537" max="12537" width="11" style="101" customWidth="1"/>
    <col min="12538" max="12538" width="10.42578125" style="101" customWidth="1"/>
    <col min="12539" max="12539" width="11.28515625" style="101" customWidth="1"/>
    <col min="12540" max="12541" width="9.140625" style="101" bestFit="1" customWidth="1"/>
    <col min="12542" max="12543" width="11.140625" style="101" bestFit="1" customWidth="1"/>
    <col min="12544" max="12544" width="11.5703125" style="101" bestFit="1" customWidth="1"/>
    <col min="12545" max="12545" width="9.140625" style="101" bestFit="1" customWidth="1"/>
    <col min="12546" max="12546" width="10.28515625" style="101" customWidth="1"/>
    <col min="12547" max="12785" width="9.140625" style="101" customWidth="1"/>
    <col min="12786" max="12786" width="4.28515625" style="101" bestFit="1" customWidth="1"/>
    <col min="12787" max="12787" width="6.85546875" style="101" bestFit="1" customWidth="1"/>
    <col min="12788" max="12788" width="11" style="101" customWidth="1"/>
    <col min="12789" max="12789" width="11.140625" style="101" bestFit="1" customWidth="1"/>
    <col min="12790" max="12790" width="10.85546875" style="101" customWidth="1"/>
    <col min="12791" max="12791" width="11.5703125" style="101" customWidth="1"/>
    <col min="12792" max="12792" width="11.140625" style="101" bestFit="1" customWidth="1"/>
    <col min="12793" max="12793" width="11" style="101" customWidth="1"/>
    <col min="12794" max="12794" width="10.42578125" style="101" customWidth="1"/>
    <col min="12795" max="12795" width="11.28515625" style="101" customWidth="1"/>
    <col min="12796" max="12797" width="9.140625" style="101" bestFit="1" customWidth="1"/>
    <col min="12798" max="12799" width="11.140625" style="101" bestFit="1" customWidth="1"/>
    <col min="12800" max="12800" width="11.5703125" style="101" bestFit="1" customWidth="1"/>
    <col min="12801" max="12801" width="9.140625" style="101" bestFit="1" customWidth="1"/>
    <col min="12802" max="12802" width="10.28515625" style="101" customWidth="1"/>
    <col min="12803" max="13041" width="9.140625" style="101" customWidth="1"/>
    <col min="13042" max="13042" width="4.28515625" style="101" bestFit="1" customWidth="1"/>
    <col min="13043" max="13043" width="6.85546875" style="101" bestFit="1" customWidth="1"/>
    <col min="13044" max="13044" width="11" style="101" customWidth="1"/>
    <col min="13045" max="13045" width="11.140625" style="101" bestFit="1" customWidth="1"/>
    <col min="13046" max="13046" width="10.85546875" style="101" customWidth="1"/>
    <col min="13047" max="13047" width="11.5703125" style="101" customWidth="1"/>
    <col min="13048" max="13048" width="11.140625" style="101" bestFit="1" customWidth="1"/>
    <col min="13049" max="13049" width="11" style="101" customWidth="1"/>
    <col min="13050" max="13050" width="10.42578125" style="101" customWidth="1"/>
    <col min="13051" max="13051" width="11.28515625" style="101" customWidth="1"/>
    <col min="13052" max="13053" width="9.140625" style="101" bestFit="1" customWidth="1"/>
    <col min="13054" max="13055" width="11.140625" style="101" bestFit="1" customWidth="1"/>
    <col min="13056" max="13056" width="11.5703125" style="101" bestFit="1" customWidth="1"/>
    <col min="13057" max="13057" width="9.140625" style="101" bestFit="1" customWidth="1"/>
    <col min="13058" max="13058" width="10.28515625" style="101" customWidth="1"/>
    <col min="13059" max="13297" width="9.140625" style="101" customWidth="1"/>
    <col min="13298" max="13298" width="4.28515625" style="101" bestFit="1" customWidth="1"/>
    <col min="13299" max="13299" width="6.85546875" style="101" bestFit="1" customWidth="1"/>
    <col min="13300" max="13300" width="11" style="101" customWidth="1"/>
    <col min="13301" max="13301" width="11.140625" style="101" bestFit="1" customWidth="1"/>
    <col min="13302" max="13302" width="10.85546875" style="101" customWidth="1"/>
    <col min="13303" max="13303" width="11.5703125" style="101" customWidth="1"/>
    <col min="13304" max="13304" width="11.140625" style="101" bestFit="1" customWidth="1"/>
    <col min="13305" max="13305" width="11" style="101" customWidth="1"/>
    <col min="13306" max="13306" width="10.42578125" style="101" customWidth="1"/>
    <col min="13307" max="13307" width="11.28515625" style="101" customWidth="1"/>
    <col min="13308" max="13309" width="9.140625" style="101" bestFit="1" customWidth="1"/>
    <col min="13310" max="13311" width="11.140625" style="101" bestFit="1" customWidth="1"/>
    <col min="13312" max="13312" width="11.5703125" style="101" bestFit="1" customWidth="1"/>
    <col min="13313" max="13313" width="9.140625" style="101" bestFit="1" customWidth="1"/>
    <col min="13314" max="13314" width="10.28515625" style="101" customWidth="1"/>
    <col min="13315" max="13553" width="9.140625" style="101" customWidth="1"/>
    <col min="13554" max="13554" width="4.28515625" style="101" bestFit="1" customWidth="1"/>
    <col min="13555" max="13555" width="6.85546875" style="101" bestFit="1" customWidth="1"/>
    <col min="13556" max="13556" width="11" style="101" customWidth="1"/>
    <col min="13557" max="13557" width="11.140625" style="101" bestFit="1" customWidth="1"/>
    <col min="13558" max="13558" width="10.85546875" style="101" customWidth="1"/>
    <col min="13559" max="13559" width="11.5703125" style="101" customWidth="1"/>
    <col min="13560" max="13560" width="11.140625" style="101" bestFit="1" customWidth="1"/>
    <col min="13561" max="13561" width="11" style="101" customWidth="1"/>
    <col min="13562" max="13562" width="10.42578125" style="101" customWidth="1"/>
    <col min="13563" max="13563" width="11.28515625" style="101" customWidth="1"/>
    <col min="13564" max="13565" width="9.140625" style="101" bestFit="1" customWidth="1"/>
    <col min="13566" max="13567" width="11.140625" style="101" bestFit="1" customWidth="1"/>
    <col min="13568" max="13568" width="11.5703125" style="101" bestFit="1" customWidth="1"/>
    <col min="13569" max="13569" width="9.140625" style="101" bestFit="1" customWidth="1"/>
    <col min="13570" max="13570" width="10.28515625" style="101" customWidth="1"/>
    <col min="13571" max="13809" width="9.140625" style="101" customWidth="1"/>
    <col min="13810" max="13810" width="4.28515625" style="101" bestFit="1" customWidth="1"/>
    <col min="13811" max="13811" width="6.85546875" style="101" bestFit="1" customWidth="1"/>
    <col min="13812" max="13812" width="11" style="101" customWidth="1"/>
    <col min="13813" max="13813" width="11.140625" style="101" bestFit="1" customWidth="1"/>
    <col min="13814" max="13814" width="10.85546875" style="101" customWidth="1"/>
    <col min="13815" max="13815" width="11.5703125" style="101" customWidth="1"/>
    <col min="13816" max="13816" width="11.140625" style="101" bestFit="1" customWidth="1"/>
    <col min="13817" max="13817" width="11" style="101" customWidth="1"/>
    <col min="13818" max="13818" width="10.42578125" style="101" customWidth="1"/>
    <col min="13819" max="13819" width="11.28515625" style="101" customWidth="1"/>
    <col min="13820" max="13821" width="9.140625" style="101" bestFit="1" customWidth="1"/>
    <col min="13822" max="13823" width="11.140625" style="101" bestFit="1" customWidth="1"/>
    <col min="13824" max="13824" width="11.5703125" style="101" bestFit="1" customWidth="1"/>
    <col min="13825" max="13825" width="9.140625" style="101" bestFit="1" customWidth="1"/>
    <col min="13826" max="13826" width="10.28515625" style="101" customWidth="1"/>
    <col min="13827" max="14065" width="9.140625" style="101" customWidth="1"/>
    <col min="14066" max="14066" width="4.28515625" style="101" bestFit="1" customWidth="1"/>
    <col min="14067" max="14067" width="6.85546875" style="101" bestFit="1" customWidth="1"/>
    <col min="14068" max="14068" width="11" style="101" customWidth="1"/>
    <col min="14069" max="14069" width="11.140625" style="101" bestFit="1" customWidth="1"/>
    <col min="14070" max="14070" width="10.85546875" style="101" customWidth="1"/>
    <col min="14071" max="14071" width="11.5703125" style="101" customWidth="1"/>
    <col min="14072" max="14072" width="11.140625" style="101" bestFit="1" customWidth="1"/>
    <col min="14073" max="14073" width="11" style="101" customWidth="1"/>
    <col min="14074" max="14074" width="10.42578125" style="101" customWidth="1"/>
    <col min="14075" max="14075" width="11.28515625" style="101" customWidth="1"/>
    <col min="14076" max="14077" width="9.140625" style="101" bestFit="1" customWidth="1"/>
    <col min="14078" max="14079" width="11.140625" style="101" bestFit="1" customWidth="1"/>
    <col min="14080" max="14080" width="11.5703125" style="101" bestFit="1" customWidth="1"/>
    <col min="14081" max="14081" width="9.140625" style="101" bestFit="1" customWidth="1"/>
    <col min="14082" max="14082" width="10.28515625" style="101" customWidth="1"/>
    <col min="14083" max="14321" width="9.140625" style="101" customWidth="1"/>
    <col min="14322" max="14322" width="4.28515625" style="101" bestFit="1" customWidth="1"/>
    <col min="14323" max="14323" width="6.85546875" style="101" bestFit="1" customWidth="1"/>
    <col min="14324" max="14324" width="11" style="101" customWidth="1"/>
    <col min="14325" max="14325" width="11.140625" style="101" bestFit="1" customWidth="1"/>
    <col min="14326" max="14326" width="10.85546875" style="101" customWidth="1"/>
    <col min="14327" max="14327" width="11.5703125" style="101" customWidth="1"/>
    <col min="14328" max="14328" width="11.140625" style="101" bestFit="1" customWidth="1"/>
    <col min="14329" max="14329" width="11" style="101" customWidth="1"/>
    <col min="14330" max="14330" width="10.42578125" style="101" customWidth="1"/>
    <col min="14331" max="14331" width="11.28515625" style="101" customWidth="1"/>
    <col min="14332" max="14333" width="9.140625" style="101" bestFit="1" customWidth="1"/>
    <col min="14334" max="14335" width="11.140625" style="101" bestFit="1" customWidth="1"/>
    <col min="14336" max="14336" width="11.5703125" style="101" bestFit="1" customWidth="1"/>
    <col min="14337" max="14337" width="9.140625" style="101" bestFit="1" customWidth="1"/>
    <col min="14338" max="14338" width="10.28515625" style="101" customWidth="1"/>
    <col min="14339" max="14577" width="9.140625" style="101" customWidth="1"/>
    <col min="14578" max="14578" width="4.28515625" style="101" bestFit="1" customWidth="1"/>
    <col min="14579" max="14579" width="6.85546875" style="101" bestFit="1" customWidth="1"/>
    <col min="14580" max="14580" width="11" style="101" customWidth="1"/>
    <col min="14581" max="14581" width="11.140625" style="101" bestFit="1" customWidth="1"/>
    <col min="14582" max="14582" width="10.85546875" style="101" customWidth="1"/>
    <col min="14583" max="14583" width="11.5703125" style="101" customWidth="1"/>
    <col min="14584" max="14584" width="11.140625" style="101" bestFit="1" customWidth="1"/>
    <col min="14585" max="14585" width="11" style="101" customWidth="1"/>
    <col min="14586" max="14586" width="10.42578125" style="101" customWidth="1"/>
    <col min="14587" max="14587" width="11.28515625" style="101" customWidth="1"/>
    <col min="14588" max="14589" width="9.140625" style="101" bestFit="1" customWidth="1"/>
    <col min="14590" max="14591" width="11.140625" style="101" bestFit="1" customWidth="1"/>
    <col min="14592" max="14592" width="11.5703125" style="101" bestFit="1" customWidth="1"/>
    <col min="14593" max="14593" width="9.140625" style="101" bestFit="1" customWidth="1"/>
    <col min="14594" max="14594" width="10.28515625" style="101" customWidth="1"/>
    <col min="14595" max="14833" width="9.140625" style="101" customWidth="1"/>
    <col min="14834" max="14834" width="4.28515625" style="101" bestFit="1" customWidth="1"/>
    <col min="14835" max="14835" width="6.85546875" style="101" bestFit="1" customWidth="1"/>
    <col min="14836" max="14836" width="11" style="101" customWidth="1"/>
    <col min="14837" max="14837" width="11.140625" style="101" bestFit="1" customWidth="1"/>
    <col min="14838" max="14838" width="10.85546875" style="101" customWidth="1"/>
    <col min="14839" max="14839" width="11.5703125" style="101" customWidth="1"/>
    <col min="14840" max="14840" width="11.140625" style="101" bestFit="1" customWidth="1"/>
    <col min="14841" max="14841" width="11" style="101" customWidth="1"/>
    <col min="14842" max="14842" width="10.42578125" style="101" customWidth="1"/>
    <col min="14843" max="14843" width="11.28515625" style="101" customWidth="1"/>
    <col min="14844" max="14845" width="9.140625" style="101" bestFit="1" customWidth="1"/>
    <col min="14846" max="14847" width="11.140625" style="101" bestFit="1" customWidth="1"/>
    <col min="14848" max="14848" width="11.5703125" style="101" bestFit="1" customWidth="1"/>
    <col min="14849" max="14849" width="9.140625" style="101" bestFit="1" customWidth="1"/>
    <col min="14850" max="14850" width="10.28515625" style="101" customWidth="1"/>
    <col min="14851" max="15089" width="9.140625" style="101" customWidth="1"/>
    <col min="15090" max="15090" width="4.28515625" style="101" bestFit="1" customWidth="1"/>
    <col min="15091" max="15091" width="6.85546875" style="101" bestFit="1" customWidth="1"/>
    <col min="15092" max="15092" width="11" style="101" customWidth="1"/>
    <col min="15093" max="15093" width="11.140625" style="101" bestFit="1" customWidth="1"/>
    <col min="15094" max="15094" width="10.85546875" style="101" customWidth="1"/>
    <col min="15095" max="15095" width="11.5703125" style="101" customWidth="1"/>
    <col min="15096" max="15096" width="11.140625" style="101" bestFit="1" customWidth="1"/>
    <col min="15097" max="15097" width="11" style="101" customWidth="1"/>
    <col min="15098" max="15098" width="10.42578125" style="101" customWidth="1"/>
    <col min="15099" max="15099" width="11.28515625" style="101" customWidth="1"/>
    <col min="15100" max="15101" width="9.140625" style="101" bestFit="1" customWidth="1"/>
    <col min="15102" max="15103" width="11.140625" style="101" bestFit="1" customWidth="1"/>
    <col min="15104" max="15104" width="11.5703125" style="101" bestFit="1" customWidth="1"/>
    <col min="15105" max="15105" width="9.140625" style="101" bestFit="1" customWidth="1"/>
    <col min="15106" max="15106" width="10.28515625" style="101" customWidth="1"/>
    <col min="15107" max="15345" width="9.140625" style="101" customWidth="1"/>
    <col min="15346" max="15346" width="4.28515625" style="101" bestFit="1" customWidth="1"/>
    <col min="15347" max="15347" width="6.85546875" style="101" bestFit="1" customWidth="1"/>
    <col min="15348" max="15348" width="11" style="101" customWidth="1"/>
    <col min="15349" max="15349" width="11.140625" style="101" bestFit="1" customWidth="1"/>
    <col min="15350" max="15350" width="10.85546875" style="101" customWidth="1"/>
    <col min="15351" max="15351" width="11.5703125" style="101" customWidth="1"/>
    <col min="15352" max="15352" width="11.140625" style="101" bestFit="1" customWidth="1"/>
    <col min="15353" max="15353" width="11" style="101" customWidth="1"/>
    <col min="15354" max="15354" width="10.42578125" style="101" customWidth="1"/>
    <col min="15355" max="15355" width="11.28515625" style="101" customWidth="1"/>
    <col min="15356" max="15357" width="9.140625" style="101" bestFit="1" customWidth="1"/>
    <col min="15358" max="15359" width="11.140625" style="101" bestFit="1" customWidth="1"/>
    <col min="15360" max="15360" width="11.5703125" style="101" bestFit="1" customWidth="1"/>
    <col min="15361" max="15361" width="9.140625" style="101" bestFit="1" customWidth="1"/>
    <col min="15362" max="15362" width="10.28515625" style="101" customWidth="1"/>
    <col min="15363" max="15601" width="9.140625" style="101" customWidth="1"/>
    <col min="15602" max="15602" width="4.28515625" style="101" bestFit="1" customWidth="1"/>
    <col min="15603" max="15603" width="6.85546875" style="101" bestFit="1" customWidth="1"/>
    <col min="15604" max="15604" width="11" style="101" customWidth="1"/>
    <col min="15605" max="15605" width="11.140625" style="101" bestFit="1" customWidth="1"/>
    <col min="15606" max="15606" width="10.85546875" style="101" customWidth="1"/>
    <col min="15607" max="15607" width="11.5703125" style="101" customWidth="1"/>
    <col min="15608" max="15608" width="11.140625" style="101" bestFit="1" customWidth="1"/>
    <col min="15609" max="15609" width="11" style="101" customWidth="1"/>
    <col min="15610" max="15610" width="10.42578125" style="101" customWidth="1"/>
    <col min="15611" max="15611" width="11.28515625" style="101" customWidth="1"/>
    <col min="15612" max="15613" width="9.140625" style="101" bestFit="1" customWidth="1"/>
    <col min="15614" max="15615" width="11.140625" style="101" bestFit="1" customWidth="1"/>
    <col min="15616" max="15616" width="11.5703125" style="101" bestFit="1" customWidth="1"/>
    <col min="15617" max="15617" width="9.140625" style="101" bestFit="1" customWidth="1"/>
    <col min="15618" max="15618" width="10.28515625" style="101" customWidth="1"/>
    <col min="15619" max="15857" width="9.140625" style="101" customWidth="1"/>
    <col min="15858" max="15858" width="4.28515625" style="101" bestFit="1" customWidth="1"/>
    <col min="15859" max="15859" width="6.85546875" style="101" bestFit="1" customWidth="1"/>
    <col min="15860" max="15860" width="11" style="101" customWidth="1"/>
    <col min="15861" max="15861" width="11.140625" style="101" bestFit="1" customWidth="1"/>
    <col min="15862" max="15862" width="10.85546875" style="101" customWidth="1"/>
    <col min="15863" max="15863" width="11.5703125" style="101" customWidth="1"/>
    <col min="15864" max="15864" width="11.140625" style="101" bestFit="1" customWidth="1"/>
    <col min="15865" max="15865" width="11" style="101" customWidth="1"/>
    <col min="15866" max="15866" width="10.42578125" style="101" customWidth="1"/>
    <col min="15867" max="15867" width="11.28515625" style="101" customWidth="1"/>
    <col min="15868" max="15869" width="9.140625" style="101" bestFit="1" customWidth="1"/>
    <col min="15870" max="15871" width="11.140625" style="101" bestFit="1" customWidth="1"/>
    <col min="15872" max="15872" width="11.5703125" style="101" bestFit="1" customWidth="1"/>
    <col min="15873" max="15873" width="9.140625" style="101" bestFit="1" customWidth="1"/>
    <col min="15874" max="15874" width="10.28515625" style="101" customWidth="1"/>
    <col min="15875" max="16113" width="9.140625" style="101" customWidth="1"/>
    <col min="16114" max="16114" width="4.28515625" style="101" bestFit="1" customWidth="1"/>
    <col min="16115" max="16115" width="6.85546875" style="101" bestFit="1" customWidth="1"/>
    <col min="16116" max="16116" width="11" style="101" customWidth="1"/>
    <col min="16117" max="16117" width="11.140625" style="101" bestFit="1" customWidth="1"/>
    <col min="16118" max="16118" width="10.85546875" style="101" customWidth="1"/>
    <col min="16119" max="16119" width="11.5703125" style="101" customWidth="1"/>
    <col min="16120" max="16120" width="11.140625" style="101" bestFit="1" customWidth="1"/>
    <col min="16121" max="16121" width="11" style="101" customWidth="1"/>
    <col min="16122" max="16122" width="10.42578125" style="101" customWidth="1"/>
    <col min="16123" max="16123" width="11.28515625" style="101" customWidth="1"/>
    <col min="16124" max="16125" width="9.140625" style="101" bestFit="1" customWidth="1"/>
    <col min="16126" max="16127" width="11.140625" style="101" bestFit="1" customWidth="1"/>
    <col min="16128" max="16128" width="11.5703125" style="101" bestFit="1" customWidth="1"/>
    <col min="16129" max="16129" width="9.140625" style="101" bestFit="1" customWidth="1"/>
    <col min="16130" max="16130" width="10.28515625" style="101" customWidth="1"/>
    <col min="16131" max="16379" width="9.140625" style="101" customWidth="1"/>
    <col min="16380" max="16384" width="9.140625" style="101"/>
  </cols>
  <sheetData>
    <row r="1" spans="1:12" ht="69" customHeight="1">
      <c r="A1" s="2235" t="s">
        <v>170</v>
      </c>
      <c r="B1" s="2235"/>
      <c r="C1" s="2235"/>
      <c r="D1" s="2235"/>
      <c r="E1" s="2235"/>
      <c r="F1" s="2235"/>
      <c r="G1" s="2235"/>
      <c r="H1" s="2235"/>
      <c r="I1" s="2235"/>
      <c r="J1" s="2235"/>
      <c r="K1" s="2235"/>
      <c r="L1" s="2235"/>
    </row>
    <row r="2" spans="1:12" ht="16.5" customHeight="1" thickBot="1">
      <c r="A2" s="100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520" t="s">
        <v>0</v>
      </c>
    </row>
    <row r="3" spans="1:12" s="103" customFormat="1" ht="12.75" customHeight="1" thickBot="1">
      <c r="A3" s="2236" t="s">
        <v>37</v>
      </c>
      <c r="B3" s="2236" t="s">
        <v>3</v>
      </c>
      <c r="C3" s="2236"/>
      <c r="D3" s="2237" t="s">
        <v>4</v>
      </c>
      <c r="E3" s="2238" t="s">
        <v>148</v>
      </c>
      <c r="F3" s="2239" t="s">
        <v>149</v>
      </c>
      <c r="G3" s="2239" t="s">
        <v>84</v>
      </c>
      <c r="H3" s="2239" t="s">
        <v>179</v>
      </c>
      <c r="I3" s="2239" t="s">
        <v>39</v>
      </c>
      <c r="J3" s="2239" t="s">
        <v>178</v>
      </c>
      <c r="K3" s="2239" t="s">
        <v>151</v>
      </c>
      <c r="L3" s="2240" t="s">
        <v>188</v>
      </c>
    </row>
    <row r="4" spans="1:12" s="103" customFormat="1" ht="78.75" customHeight="1" thickBot="1">
      <c r="A4" s="2236"/>
      <c r="B4" s="2236"/>
      <c r="C4" s="2236"/>
      <c r="D4" s="2237"/>
      <c r="E4" s="2238"/>
      <c r="F4" s="2239"/>
      <c r="G4" s="2239"/>
      <c r="H4" s="2239"/>
      <c r="I4" s="2239"/>
      <c r="J4" s="2239"/>
      <c r="K4" s="2239"/>
      <c r="L4" s="2240"/>
    </row>
    <row r="5" spans="1:12" s="104" customFormat="1" ht="12" customHeight="1" thickBot="1">
      <c r="A5" s="309" t="s">
        <v>6</v>
      </c>
      <c r="B5" s="2241" t="s">
        <v>7</v>
      </c>
      <c r="C5" s="2241"/>
      <c r="D5" s="309" t="s">
        <v>8</v>
      </c>
      <c r="E5" s="309" t="s">
        <v>9</v>
      </c>
      <c r="F5" s="310" t="s">
        <v>10</v>
      </c>
      <c r="G5" s="310" t="s">
        <v>11</v>
      </c>
      <c r="H5" s="311" t="s">
        <v>10</v>
      </c>
      <c r="I5" s="310" t="s">
        <v>12</v>
      </c>
      <c r="J5" s="310" t="s">
        <v>11</v>
      </c>
      <c r="K5" s="310" t="s">
        <v>11</v>
      </c>
      <c r="L5" s="312" t="s">
        <v>12</v>
      </c>
    </row>
    <row r="6" spans="1:12" s="110" customFormat="1">
      <c r="A6" s="313" t="s">
        <v>40</v>
      </c>
      <c r="B6" s="314"/>
      <c r="C6" s="315" t="s">
        <v>41</v>
      </c>
      <c r="D6" s="314"/>
      <c r="E6" s="316">
        <f>SUM(E7,E46,E68)</f>
        <v>36420950</v>
      </c>
      <c r="F6" s="316">
        <f>SUM(F7,F46,F68)</f>
        <v>45503136</v>
      </c>
      <c r="G6" s="316">
        <f>SUM(G7,G46,G68)</f>
        <v>4365250</v>
      </c>
      <c r="H6" s="316">
        <f>SUM(H7,H46,H68)</f>
        <v>39100186</v>
      </c>
      <c r="I6" s="317">
        <f t="shared" ref="I6:I21" si="0">H6/E6</f>
        <v>1.073563045444998</v>
      </c>
      <c r="J6" s="316">
        <f>SUM(J7,J46,J68)</f>
        <v>1024000</v>
      </c>
      <c r="K6" s="316">
        <f>SUM(K7,K46,K68)</f>
        <v>40124186</v>
      </c>
      <c r="L6" s="318"/>
    </row>
    <row r="7" spans="1:12" s="116" customFormat="1" ht="14.25" customHeight="1">
      <c r="A7" s="2253"/>
      <c r="B7" s="2231" t="s">
        <v>85</v>
      </c>
      <c r="C7" s="112" t="s">
        <v>86</v>
      </c>
      <c r="D7" s="113"/>
      <c r="E7" s="114">
        <f>SUM(E8,E41)</f>
        <v>16805767</v>
      </c>
      <c r="F7" s="114">
        <f>SUM(F8,F41)</f>
        <v>17504018</v>
      </c>
      <c r="G7" s="114">
        <f>SUM(G8,G41)</f>
        <v>0</v>
      </c>
      <c r="H7" s="114">
        <f>SUM(H8,H41)</f>
        <v>19928501</v>
      </c>
      <c r="I7" s="115">
        <f t="shared" si="0"/>
        <v>1.1858132389911153</v>
      </c>
      <c r="J7" s="114">
        <f>SUM(J8,J41)</f>
        <v>1024000</v>
      </c>
      <c r="K7" s="114">
        <f>SUM(K8,K41)</f>
        <v>20952501</v>
      </c>
      <c r="L7" s="2233" t="s">
        <v>189</v>
      </c>
    </row>
    <row r="8" spans="1:12" s="116" customFormat="1" ht="12.75" customHeight="1">
      <c r="A8" s="2254"/>
      <c r="B8" s="2231"/>
      <c r="C8" s="117" t="s">
        <v>18</v>
      </c>
      <c r="D8" s="111"/>
      <c r="E8" s="118">
        <f>SUM(E9,E36,E37,E38,E39,E40)</f>
        <v>16005767</v>
      </c>
      <c r="F8" s="118">
        <f>SUM(F9,F36,F37,F38,F39,F40)</f>
        <v>16704018</v>
      </c>
      <c r="G8" s="118">
        <f>SUM(G9,G36,G37,G38,G39,G40)</f>
        <v>0</v>
      </c>
      <c r="H8" s="118">
        <f>SUM(H9,H36,H37,H38,H39,H40)</f>
        <v>19048501</v>
      </c>
      <c r="I8" s="119">
        <f t="shared" si="0"/>
        <v>1.1901023549824261</v>
      </c>
      <c r="J8" s="118">
        <f>SUM(J9,J36,J37,J38,J39,J40)</f>
        <v>1000000</v>
      </c>
      <c r="K8" s="118">
        <f>SUM(K9,K36,K37,K38,K39,K40)</f>
        <v>20048501</v>
      </c>
      <c r="L8" s="2233"/>
    </row>
    <row r="9" spans="1:12" ht="12.75" customHeight="1">
      <c r="A9" s="2254"/>
      <c r="B9" s="2231"/>
      <c r="C9" s="120" t="s">
        <v>19</v>
      </c>
      <c r="D9" s="121"/>
      <c r="E9" s="122">
        <f>SUM(E10,E17)</f>
        <v>15888740</v>
      </c>
      <c r="F9" s="122">
        <f>SUM(F10,F17)</f>
        <v>16576841</v>
      </c>
      <c r="G9" s="122">
        <f>SUM(G10,G17)</f>
        <v>0</v>
      </c>
      <c r="H9" s="122">
        <f>SUM(H10,H17)</f>
        <v>18904786</v>
      </c>
      <c r="I9" s="123">
        <f t="shared" si="0"/>
        <v>1.1898228556827035</v>
      </c>
      <c r="J9" s="122">
        <f>SUM(J10,J17)</f>
        <v>1000000</v>
      </c>
      <c r="K9" s="122">
        <f>SUM(K10,K17)</f>
        <v>19904786</v>
      </c>
      <c r="L9" s="2233"/>
    </row>
    <row r="10" spans="1:12" ht="12.75" customHeight="1">
      <c r="A10" s="2254"/>
      <c r="B10" s="2231"/>
      <c r="C10" s="2249" t="s">
        <v>20</v>
      </c>
      <c r="D10" s="121" t="s">
        <v>22</v>
      </c>
      <c r="E10" s="122">
        <f>SUM(E11:E16)</f>
        <v>12426840</v>
      </c>
      <c r="F10" s="122">
        <f>SUM(F11:F16)</f>
        <v>12815334</v>
      </c>
      <c r="G10" s="122">
        <f>SUM(G11:G15)</f>
        <v>0</v>
      </c>
      <c r="H10" s="122">
        <f>SUM(H11:H16)</f>
        <v>14614652</v>
      </c>
      <c r="I10" s="123">
        <f t="shared" si="0"/>
        <v>1.1760553769099786</v>
      </c>
      <c r="J10" s="122">
        <f>SUM(J11:J16)</f>
        <v>500000</v>
      </c>
      <c r="K10" s="122">
        <f>SUM(K11:K16)</f>
        <v>15114652</v>
      </c>
      <c r="L10" s="2233"/>
    </row>
    <row r="11" spans="1:12" ht="12.75" customHeight="1">
      <c r="A11" s="2254"/>
      <c r="B11" s="2231"/>
      <c r="C11" s="2250"/>
      <c r="D11" s="124">
        <v>4010</v>
      </c>
      <c r="E11" s="125">
        <v>9550979</v>
      </c>
      <c r="F11" s="125">
        <v>9874111</v>
      </c>
      <c r="G11" s="126"/>
      <c r="H11" s="126">
        <v>11225499</v>
      </c>
      <c r="I11" s="127">
        <f t="shared" si="0"/>
        <v>1.1753244353275198</v>
      </c>
      <c r="J11" s="126">
        <v>417050</v>
      </c>
      <c r="K11" s="126">
        <f>H11+J11</f>
        <v>11642549</v>
      </c>
      <c r="L11" s="2233"/>
    </row>
    <row r="12" spans="1:12" ht="12.75" customHeight="1">
      <c r="A12" s="2254"/>
      <c r="B12" s="2231"/>
      <c r="C12" s="2250"/>
      <c r="D12" s="124">
        <v>4040</v>
      </c>
      <c r="E12" s="125">
        <v>686820</v>
      </c>
      <c r="F12" s="125">
        <v>686820</v>
      </c>
      <c r="G12" s="126"/>
      <c r="H12" s="126">
        <v>767345</v>
      </c>
      <c r="I12" s="127">
        <f t="shared" si="0"/>
        <v>1.1172432369470895</v>
      </c>
      <c r="J12" s="126"/>
      <c r="K12" s="126">
        <f t="shared" ref="K12:K16" si="1">H12+J12</f>
        <v>767345</v>
      </c>
      <c r="L12" s="2233"/>
    </row>
    <row r="13" spans="1:12" ht="12.75" customHeight="1">
      <c r="A13" s="2254"/>
      <c r="B13" s="2231"/>
      <c r="C13" s="2250"/>
      <c r="D13" s="124">
        <v>4110</v>
      </c>
      <c r="E13" s="125">
        <v>1745133</v>
      </c>
      <c r="F13" s="125">
        <v>1800680</v>
      </c>
      <c r="G13" s="126"/>
      <c r="H13" s="126">
        <v>2070798</v>
      </c>
      <c r="I13" s="127">
        <f t="shared" si="0"/>
        <v>1.1866132839158965</v>
      </c>
      <c r="J13" s="126">
        <v>71690</v>
      </c>
      <c r="K13" s="126">
        <f t="shared" si="1"/>
        <v>2142488</v>
      </c>
      <c r="L13" s="2233"/>
    </row>
    <row r="14" spans="1:12" ht="12.75" customHeight="1">
      <c r="A14" s="2254"/>
      <c r="B14" s="2231"/>
      <c r="C14" s="2250"/>
      <c r="D14" s="124">
        <v>4120</v>
      </c>
      <c r="E14" s="125">
        <v>247548</v>
      </c>
      <c r="F14" s="125">
        <v>255300</v>
      </c>
      <c r="G14" s="126"/>
      <c r="H14" s="126">
        <v>265869</v>
      </c>
      <c r="I14" s="127">
        <f t="shared" si="0"/>
        <v>1.074009888991226</v>
      </c>
      <c r="J14" s="126">
        <v>9175</v>
      </c>
      <c r="K14" s="126">
        <f t="shared" si="1"/>
        <v>275044</v>
      </c>
      <c r="L14" s="2233"/>
    </row>
    <row r="15" spans="1:12" ht="12.75" customHeight="1">
      <c r="A15" s="2254"/>
      <c r="B15" s="2231"/>
      <c r="C15" s="2250"/>
      <c r="D15" s="124">
        <v>4170</v>
      </c>
      <c r="E15" s="125">
        <v>142260</v>
      </c>
      <c r="F15" s="125">
        <v>142260</v>
      </c>
      <c r="G15" s="126"/>
      <c r="H15" s="126">
        <v>225200</v>
      </c>
      <c r="I15" s="127">
        <f t="shared" si="0"/>
        <v>1.5830170111064248</v>
      </c>
      <c r="J15" s="126"/>
      <c r="K15" s="126">
        <f t="shared" si="1"/>
        <v>225200</v>
      </c>
      <c r="L15" s="2233"/>
    </row>
    <row r="16" spans="1:12" ht="12.75" customHeight="1">
      <c r="A16" s="2254"/>
      <c r="B16" s="2231"/>
      <c r="C16" s="2251"/>
      <c r="D16" s="124">
        <v>4710</v>
      </c>
      <c r="E16" s="125">
        <v>54100</v>
      </c>
      <c r="F16" s="125">
        <v>56163</v>
      </c>
      <c r="G16" s="126"/>
      <c r="H16" s="126">
        <v>59941</v>
      </c>
      <c r="I16" s="127">
        <f t="shared" si="0"/>
        <v>1.1079667282809611</v>
      </c>
      <c r="J16" s="126">
        <v>2085</v>
      </c>
      <c r="K16" s="126">
        <f t="shared" si="1"/>
        <v>62026</v>
      </c>
      <c r="L16" s="2233"/>
    </row>
    <row r="17" spans="1:12" ht="13.5" customHeight="1">
      <c r="A17" s="2254"/>
      <c r="B17" s="2231"/>
      <c r="C17" s="2242" t="s">
        <v>21</v>
      </c>
      <c r="D17" s="129" t="s">
        <v>22</v>
      </c>
      <c r="E17" s="130">
        <f>SUM(E18:E35)</f>
        <v>3461900</v>
      </c>
      <c r="F17" s="130">
        <f>SUM(F18:F35)</f>
        <v>3761507</v>
      </c>
      <c r="G17" s="130"/>
      <c r="H17" s="130">
        <f>SUM(H18:H35)</f>
        <v>4290134</v>
      </c>
      <c r="I17" s="123">
        <f t="shared" si="0"/>
        <v>1.2392426124382565</v>
      </c>
      <c r="J17" s="130">
        <f>SUM(J18:J35)</f>
        <v>500000</v>
      </c>
      <c r="K17" s="130">
        <f>SUM(K18:K35)</f>
        <v>4790134</v>
      </c>
      <c r="L17" s="2233"/>
    </row>
    <row r="18" spans="1:12" ht="12.75" customHeight="1">
      <c r="A18" s="2254"/>
      <c r="B18" s="2231"/>
      <c r="C18" s="2242"/>
      <c r="D18" s="131">
        <v>4140</v>
      </c>
      <c r="E18" s="132">
        <v>144000</v>
      </c>
      <c r="F18" s="132">
        <v>144000</v>
      </c>
      <c r="G18" s="126"/>
      <c r="H18" s="133">
        <v>175000</v>
      </c>
      <c r="I18" s="127">
        <f t="shared" si="0"/>
        <v>1.2152777777777777</v>
      </c>
      <c r="J18" s="126"/>
      <c r="K18" s="126">
        <f>H18+J18</f>
        <v>175000</v>
      </c>
      <c r="L18" s="2233"/>
    </row>
    <row r="19" spans="1:12" customFormat="1" ht="15">
      <c r="A19" s="2254"/>
      <c r="B19" s="2231"/>
      <c r="C19" s="2242"/>
      <c r="D19" s="131">
        <v>4210</v>
      </c>
      <c r="E19" s="132">
        <v>1964600</v>
      </c>
      <c r="F19" s="132">
        <v>1914767</v>
      </c>
      <c r="G19" s="126"/>
      <c r="H19" s="133">
        <v>1908048</v>
      </c>
      <c r="I19" s="127">
        <f t="shared" si="0"/>
        <v>0.97121449658963654</v>
      </c>
      <c r="J19" s="126"/>
      <c r="K19" s="126">
        <f t="shared" ref="K19:K35" si="2">H19+J19</f>
        <v>1908048</v>
      </c>
      <c r="L19" s="2233"/>
    </row>
    <row r="20" spans="1:12" customFormat="1" ht="15">
      <c r="A20" s="2254"/>
      <c r="B20" s="2231"/>
      <c r="C20" s="2242"/>
      <c r="D20" s="131">
        <v>4220</v>
      </c>
      <c r="E20" s="132">
        <v>6500</v>
      </c>
      <c r="F20" s="132">
        <v>6500</v>
      </c>
      <c r="G20" s="126"/>
      <c r="H20" s="133">
        <v>7500</v>
      </c>
      <c r="I20" s="127">
        <f t="shared" si="0"/>
        <v>1.1538461538461537</v>
      </c>
      <c r="J20" s="126"/>
      <c r="K20" s="126">
        <f t="shared" si="2"/>
        <v>7500</v>
      </c>
      <c r="L20" s="2233"/>
    </row>
    <row r="21" spans="1:12" customFormat="1" ht="15">
      <c r="A21" s="2254"/>
      <c r="B21" s="2231"/>
      <c r="C21" s="2242"/>
      <c r="D21" s="131">
        <v>4260</v>
      </c>
      <c r="E21" s="132">
        <v>160000</v>
      </c>
      <c r="F21" s="132">
        <v>259108</v>
      </c>
      <c r="G21" s="126"/>
      <c r="H21" s="133">
        <v>416481</v>
      </c>
      <c r="I21" s="127">
        <f t="shared" si="0"/>
        <v>2.60300625</v>
      </c>
      <c r="J21" s="126"/>
      <c r="K21" s="126">
        <f t="shared" si="2"/>
        <v>416481</v>
      </c>
      <c r="L21" s="2233"/>
    </row>
    <row r="22" spans="1:12" customFormat="1" ht="15">
      <c r="A22" s="2254"/>
      <c r="B22" s="2231"/>
      <c r="C22" s="2242"/>
      <c r="D22" s="131">
        <v>4270</v>
      </c>
      <c r="E22" s="132">
        <v>184300</v>
      </c>
      <c r="F22" s="132">
        <v>217941</v>
      </c>
      <c r="G22" s="126"/>
      <c r="H22" s="133">
        <v>251513</v>
      </c>
      <c r="I22" s="127">
        <f t="shared" ref="I22:I33" si="3">H22/E22</f>
        <v>1.3646934346174715</v>
      </c>
      <c r="J22" s="126"/>
      <c r="K22" s="126">
        <f t="shared" si="2"/>
        <v>251513</v>
      </c>
      <c r="L22" s="2233"/>
    </row>
    <row r="23" spans="1:12" customFormat="1" ht="15">
      <c r="A23" s="2254"/>
      <c r="B23" s="2231"/>
      <c r="C23" s="2242"/>
      <c r="D23" s="131">
        <v>4280</v>
      </c>
      <c r="E23" s="132">
        <v>18200</v>
      </c>
      <c r="F23" s="132">
        <v>18200</v>
      </c>
      <c r="G23" s="126"/>
      <c r="H23" s="133">
        <v>32640</v>
      </c>
      <c r="I23" s="127">
        <f t="shared" si="3"/>
        <v>1.7934065934065935</v>
      </c>
      <c r="J23" s="126"/>
      <c r="K23" s="126">
        <f t="shared" si="2"/>
        <v>32640</v>
      </c>
      <c r="L23" s="2233"/>
    </row>
    <row r="24" spans="1:12" customFormat="1" ht="15">
      <c r="A24" s="2254"/>
      <c r="B24" s="2231"/>
      <c r="C24" s="2242"/>
      <c r="D24" s="131">
        <v>4300</v>
      </c>
      <c r="E24" s="132">
        <v>407740</v>
      </c>
      <c r="F24" s="132">
        <v>557877</v>
      </c>
      <c r="G24" s="126"/>
      <c r="H24" s="133">
        <v>772054</v>
      </c>
      <c r="I24" s="127">
        <f t="shared" si="3"/>
        <v>1.8934958552018444</v>
      </c>
      <c r="J24" s="126">
        <v>500000</v>
      </c>
      <c r="K24" s="126">
        <f t="shared" si="2"/>
        <v>1272054</v>
      </c>
      <c r="L24" s="2233"/>
    </row>
    <row r="25" spans="1:12" customFormat="1" ht="15">
      <c r="A25" s="2254"/>
      <c r="B25" s="2231"/>
      <c r="C25" s="2242"/>
      <c r="D25" s="131">
        <v>4360</v>
      </c>
      <c r="E25" s="132">
        <v>45150</v>
      </c>
      <c r="F25" s="132">
        <v>45150</v>
      </c>
      <c r="G25" s="126"/>
      <c r="H25" s="133">
        <v>59140</v>
      </c>
      <c r="I25" s="127">
        <f t="shared" si="3"/>
        <v>1.3098560354374307</v>
      </c>
      <c r="J25" s="126"/>
      <c r="K25" s="126">
        <f t="shared" si="2"/>
        <v>59140</v>
      </c>
      <c r="L25" s="2233"/>
    </row>
    <row r="26" spans="1:12" customFormat="1" ht="15">
      <c r="A26" s="2254"/>
      <c r="B26" s="2231"/>
      <c r="C26" s="2242"/>
      <c r="D26" s="131">
        <v>4390</v>
      </c>
      <c r="E26" s="132">
        <v>9160</v>
      </c>
      <c r="F26" s="132">
        <v>9160</v>
      </c>
      <c r="G26" s="126"/>
      <c r="H26" s="133">
        <v>6800</v>
      </c>
      <c r="I26" s="127">
        <f t="shared" si="3"/>
        <v>0.74235807860262004</v>
      </c>
      <c r="J26" s="126"/>
      <c r="K26" s="126">
        <f t="shared" si="2"/>
        <v>6800</v>
      </c>
      <c r="L26" s="2233"/>
    </row>
    <row r="27" spans="1:12" customFormat="1" ht="15">
      <c r="A27" s="2254"/>
      <c r="B27" s="2231"/>
      <c r="C27" s="2242"/>
      <c r="D27" s="131">
        <v>4400</v>
      </c>
      <c r="E27" s="132">
        <v>150000</v>
      </c>
      <c r="F27" s="132">
        <v>185287</v>
      </c>
      <c r="G27" s="126"/>
      <c r="H27" s="133">
        <v>240000</v>
      </c>
      <c r="I27" s="127">
        <f t="shared" si="3"/>
        <v>1.6</v>
      </c>
      <c r="J27" s="126"/>
      <c r="K27" s="126">
        <f t="shared" si="2"/>
        <v>240000</v>
      </c>
      <c r="L27" s="2233"/>
    </row>
    <row r="28" spans="1:12" customFormat="1" ht="15">
      <c r="A28" s="2254"/>
      <c r="B28" s="2231"/>
      <c r="C28" s="2242"/>
      <c r="D28" s="131">
        <v>4410</v>
      </c>
      <c r="E28" s="132">
        <v>5000</v>
      </c>
      <c r="F28" s="132">
        <v>5000</v>
      </c>
      <c r="G28" s="126"/>
      <c r="H28" s="133">
        <v>5000</v>
      </c>
      <c r="I28" s="127">
        <f t="shared" si="3"/>
        <v>1</v>
      </c>
      <c r="J28" s="126"/>
      <c r="K28" s="126">
        <f t="shared" si="2"/>
        <v>5000</v>
      </c>
      <c r="L28" s="2233"/>
    </row>
    <row r="29" spans="1:12" customFormat="1" ht="15">
      <c r="A29" s="2254"/>
      <c r="B29" s="2231"/>
      <c r="C29" s="2242"/>
      <c r="D29" s="131">
        <v>4430</v>
      </c>
      <c r="E29" s="132">
        <v>120000</v>
      </c>
      <c r="F29" s="132">
        <v>120000</v>
      </c>
      <c r="G29" s="126"/>
      <c r="H29" s="133">
        <v>110150</v>
      </c>
      <c r="I29" s="127">
        <f t="shared" si="3"/>
        <v>0.91791666666666671</v>
      </c>
      <c r="J29" s="126"/>
      <c r="K29" s="126">
        <f t="shared" si="2"/>
        <v>110150</v>
      </c>
      <c r="L29" s="2233"/>
    </row>
    <row r="30" spans="1:12" customFormat="1" ht="15">
      <c r="A30" s="2254"/>
      <c r="B30" s="2231"/>
      <c r="C30" s="2242"/>
      <c r="D30" s="131">
        <v>4440</v>
      </c>
      <c r="E30" s="132">
        <v>209210</v>
      </c>
      <c r="F30" s="132">
        <v>209210</v>
      </c>
      <c r="G30" s="126"/>
      <c r="H30" s="133">
        <v>210532</v>
      </c>
      <c r="I30" s="127">
        <f t="shared" si="3"/>
        <v>1.0063190096075714</v>
      </c>
      <c r="J30" s="126"/>
      <c r="K30" s="126">
        <f t="shared" si="2"/>
        <v>210532</v>
      </c>
      <c r="L30" s="2233"/>
    </row>
    <row r="31" spans="1:12" customFormat="1" ht="15">
      <c r="A31" s="2254"/>
      <c r="B31" s="2231"/>
      <c r="C31" s="2242"/>
      <c r="D31" s="131">
        <v>4480</v>
      </c>
      <c r="E31" s="132">
        <v>9500</v>
      </c>
      <c r="F31" s="132">
        <v>16556</v>
      </c>
      <c r="G31" s="126"/>
      <c r="H31" s="133">
        <v>20000</v>
      </c>
      <c r="I31" s="127">
        <f t="shared" si="3"/>
        <v>2.1052631578947367</v>
      </c>
      <c r="J31" s="126"/>
      <c r="K31" s="126">
        <f t="shared" si="2"/>
        <v>20000</v>
      </c>
      <c r="L31" s="2233"/>
    </row>
    <row r="32" spans="1:12" customFormat="1" ht="15">
      <c r="A32" s="2254"/>
      <c r="B32" s="2231"/>
      <c r="C32" s="2242"/>
      <c r="D32" s="131">
        <v>4510</v>
      </c>
      <c r="E32" s="132"/>
      <c r="F32" s="132">
        <v>700</v>
      </c>
      <c r="G32" s="126"/>
      <c r="H32" s="133"/>
      <c r="I32" s="127"/>
      <c r="J32" s="126"/>
      <c r="K32" s="126">
        <f t="shared" si="2"/>
        <v>0</v>
      </c>
      <c r="L32" s="2233"/>
    </row>
    <row r="33" spans="1:12" customFormat="1" ht="15">
      <c r="A33" s="2254"/>
      <c r="B33" s="2231"/>
      <c r="C33" s="2242"/>
      <c r="D33" s="131">
        <v>4520</v>
      </c>
      <c r="E33" s="132">
        <v>2540</v>
      </c>
      <c r="F33" s="132">
        <v>10835</v>
      </c>
      <c r="G33" s="126"/>
      <c r="H33" s="133">
        <v>14951</v>
      </c>
      <c r="I33" s="127">
        <f t="shared" si="3"/>
        <v>5.8862204724409448</v>
      </c>
      <c r="J33" s="126"/>
      <c r="K33" s="126">
        <f t="shared" si="2"/>
        <v>14951</v>
      </c>
      <c r="L33" s="2233"/>
    </row>
    <row r="34" spans="1:12" customFormat="1" ht="15">
      <c r="A34" s="2254"/>
      <c r="B34" s="2231"/>
      <c r="C34" s="2242"/>
      <c r="D34" s="131">
        <v>4530</v>
      </c>
      <c r="E34" s="132"/>
      <c r="F34" s="132">
        <v>216</v>
      </c>
      <c r="G34" s="126"/>
      <c r="H34" s="133"/>
      <c r="I34" s="127"/>
      <c r="J34" s="126"/>
      <c r="K34" s="126">
        <f t="shared" si="2"/>
        <v>0</v>
      </c>
      <c r="L34" s="2233"/>
    </row>
    <row r="35" spans="1:12" customFormat="1" ht="15">
      <c r="A35" s="2254"/>
      <c r="B35" s="2231"/>
      <c r="C35" s="2242"/>
      <c r="D35" s="131">
        <v>4700</v>
      </c>
      <c r="E35" s="132">
        <v>26000</v>
      </c>
      <c r="F35" s="132">
        <v>41000</v>
      </c>
      <c r="G35" s="126"/>
      <c r="H35" s="133">
        <v>60325</v>
      </c>
      <c r="I35" s="127">
        <f>H35/E35</f>
        <v>2.3201923076923077</v>
      </c>
      <c r="J35" s="126"/>
      <c r="K35" s="126">
        <f t="shared" si="2"/>
        <v>60325</v>
      </c>
      <c r="L35" s="2233"/>
    </row>
    <row r="36" spans="1:12" customFormat="1" ht="15">
      <c r="A36" s="2254"/>
      <c r="B36" s="2231"/>
      <c r="C36" s="120" t="s">
        <v>23</v>
      </c>
      <c r="D36" s="121"/>
      <c r="E36" s="122"/>
      <c r="F36" s="122"/>
      <c r="G36" s="134"/>
      <c r="H36" s="134"/>
      <c r="I36" s="123"/>
      <c r="J36" s="134"/>
      <c r="K36" s="134"/>
      <c r="L36" s="2233"/>
    </row>
    <row r="37" spans="1:12" customFormat="1" ht="15">
      <c r="A37" s="2254"/>
      <c r="B37" s="2231"/>
      <c r="C37" s="120" t="s">
        <v>24</v>
      </c>
      <c r="D37" s="121">
        <v>3020</v>
      </c>
      <c r="E37" s="122">
        <v>117027</v>
      </c>
      <c r="F37" s="122">
        <v>127177</v>
      </c>
      <c r="G37" s="134"/>
      <c r="H37" s="134">
        <v>143715</v>
      </c>
      <c r="I37" s="123">
        <f>H37/E37</f>
        <v>1.2280499371939808</v>
      </c>
      <c r="J37" s="134"/>
      <c r="K37" s="134">
        <f>H37+J37</f>
        <v>143715</v>
      </c>
      <c r="L37" s="2233"/>
    </row>
    <row r="38" spans="1:12" customFormat="1" ht="26.25" customHeight="1">
      <c r="A38" s="2254"/>
      <c r="B38" s="2231"/>
      <c r="C38" s="135" t="s">
        <v>54</v>
      </c>
      <c r="D38" s="129"/>
      <c r="E38" s="130"/>
      <c r="F38" s="130"/>
      <c r="G38" s="134"/>
      <c r="H38" s="134"/>
      <c r="I38" s="123"/>
      <c r="J38" s="134"/>
      <c r="K38" s="134"/>
      <c r="L38" s="2233"/>
    </row>
    <row r="39" spans="1:12" customFormat="1" ht="15">
      <c r="A39" s="2254"/>
      <c r="B39" s="2231"/>
      <c r="C39" s="120" t="s">
        <v>26</v>
      </c>
      <c r="D39" s="121"/>
      <c r="E39" s="122"/>
      <c r="F39" s="122"/>
      <c r="G39" s="134"/>
      <c r="H39" s="134"/>
      <c r="I39" s="123"/>
      <c r="J39" s="134"/>
      <c r="K39" s="134"/>
      <c r="L39" s="2233"/>
    </row>
    <row r="40" spans="1:12" customFormat="1" ht="15">
      <c r="A40" s="2254"/>
      <c r="B40" s="2231"/>
      <c r="C40" s="120" t="s">
        <v>27</v>
      </c>
      <c r="D40" s="121"/>
      <c r="E40" s="122"/>
      <c r="F40" s="122"/>
      <c r="G40" s="134"/>
      <c r="H40" s="134"/>
      <c r="I40" s="123"/>
      <c r="J40" s="134"/>
      <c r="K40" s="134"/>
      <c r="L40" s="2233"/>
    </row>
    <row r="41" spans="1:12" customFormat="1" ht="15">
      <c r="A41" s="2254"/>
      <c r="B41" s="2231"/>
      <c r="C41" s="136" t="s">
        <v>28</v>
      </c>
      <c r="D41" s="137"/>
      <c r="E41" s="138">
        <f>SUM(E42,E44,E45)</f>
        <v>800000</v>
      </c>
      <c r="F41" s="138">
        <f>SUM(F42,F44,F45)</f>
        <v>800000</v>
      </c>
      <c r="G41" s="138">
        <f>SUM(G42,G44,G45)</f>
        <v>0</v>
      </c>
      <c r="H41" s="138">
        <f>SUM(H42,H44,H45)</f>
        <v>880000</v>
      </c>
      <c r="I41" s="119">
        <f>H41/E41</f>
        <v>1.1000000000000001</v>
      </c>
      <c r="J41" s="138">
        <f>SUM(J42,J44,J45)</f>
        <v>24000</v>
      </c>
      <c r="K41" s="138">
        <f>SUM(K42,K44,K45)</f>
        <v>904000</v>
      </c>
      <c r="L41" s="2233"/>
    </row>
    <row r="42" spans="1:12" customFormat="1" ht="12.75" customHeight="1">
      <c r="A42" s="2254"/>
      <c r="B42" s="2231"/>
      <c r="C42" s="218" t="s">
        <v>29</v>
      </c>
      <c r="D42" s="121">
        <v>6060</v>
      </c>
      <c r="E42" s="122">
        <v>800000</v>
      </c>
      <c r="F42" s="122">
        <v>800000</v>
      </c>
      <c r="G42" s="122"/>
      <c r="H42" s="122">
        <v>880000</v>
      </c>
      <c r="I42" s="123">
        <f>H42/E42</f>
        <v>1.1000000000000001</v>
      </c>
      <c r="J42" s="122">
        <f>180000-156000</f>
        <v>24000</v>
      </c>
      <c r="K42" s="122">
        <f>H42+J42</f>
        <v>904000</v>
      </c>
      <c r="L42" s="2233"/>
    </row>
    <row r="43" spans="1:12" customFormat="1" ht="22.5">
      <c r="A43" s="2254"/>
      <c r="B43" s="2231"/>
      <c r="C43" s="135" t="s">
        <v>87</v>
      </c>
      <c r="D43" s="129"/>
      <c r="E43" s="130"/>
      <c r="F43" s="130"/>
      <c r="G43" s="134"/>
      <c r="H43" s="134"/>
      <c r="I43" s="123"/>
      <c r="J43" s="134"/>
      <c r="K43" s="134"/>
      <c r="L43" s="2233"/>
    </row>
    <row r="44" spans="1:12" customFormat="1" ht="15">
      <c r="A44" s="2254"/>
      <c r="B44" s="2231"/>
      <c r="C44" s="120" t="s">
        <v>31</v>
      </c>
      <c r="D44" s="121"/>
      <c r="E44" s="122"/>
      <c r="F44" s="122"/>
      <c r="G44" s="134"/>
      <c r="H44" s="134"/>
      <c r="I44" s="123"/>
      <c r="J44" s="134"/>
      <c r="K44" s="134"/>
      <c r="L44" s="2233"/>
    </row>
    <row r="45" spans="1:12" s="116" customFormat="1" ht="12.75" customHeight="1" thickBot="1">
      <c r="A45" s="2255"/>
      <c r="B45" s="2232"/>
      <c r="C45" s="319" t="s">
        <v>32</v>
      </c>
      <c r="D45" s="320"/>
      <c r="E45" s="321"/>
      <c r="F45" s="321"/>
      <c r="G45" s="322"/>
      <c r="H45" s="322"/>
      <c r="I45" s="323"/>
      <c r="J45" s="322"/>
      <c r="K45" s="322"/>
      <c r="L45" s="2234"/>
    </row>
    <row r="46" spans="1:12" s="116" customFormat="1" ht="12.75" customHeight="1">
      <c r="A46" s="2256"/>
      <c r="B46" s="2244" t="s">
        <v>91</v>
      </c>
      <c r="C46" s="324" t="s">
        <v>92</v>
      </c>
      <c r="D46" s="325"/>
      <c r="E46" s="326">
        <f>SUM(E47,E60)</f>
        <v>12500000</v>
      </c>
      <c r="F46" s="326">
        <f>SUM(F47,F60)</f>
        <v>20678132</v>
      </c>
      <c r="G46" s="326">
        <f>SUM(G47,G60)</f>
        <v>4365250</v>
      </c>
      <c r="H46" s="326">
        <f>SUM(H47,H60)</f>
        <v>12000000</v>
      </c>
      <c r="I46" s="327">
        <f>H46/E46</f>
        <v>0.96</v>
      </c>
      <c r="J46" s="326">
        <f>J47+J60</f>
        <v>0</v>
      </c>
      <c r="K46" s="326">
        <f>SUM(K47,K60)</f>
        <v>12000000</v>
      </c>
      <c r="L46" s="2245" t="s">
        <v>191</v>
      </c>
    </row>
    <row r="47" spans="1:12" s="116" customFormat="1" ht="39.75" customHeight="1">
      <c r="A47" s="2254"/>
      <c r="B47" s="2231"/>
      <c r="C47" s="117" t="s">
        <v>18</v>
      </c>
      <c r="D47" s="111"/>
      <c r="E47" s="118">
        <f>SUM(E48,E53,E56,E57,E58,E59)</f>
        <v>4595000</v>
      </c>
      <c r="F47" s="118">
        <f>SUM(F48,F53,F56,F57,F58,F59)</f>
        <v>4843132</v>
      </c>
      <c r="G47" s="118">
        <f>SUM(G48,G53,G56,G57,G58,G59)</f>
        <v>4365250</v>
      </c>
      <c r="H47" s="118">
        <f>SUM(H48,H53,H56,H57,H58,H59)</f>
        <v>4306000</v>
      </c>
      <c r="I47" s="119">
        <f>H47/E47</f>
        <v>0.93710554951033731</v>
      </c>
      <c r="J47" s="118">
        <f>SUM(J48,J53,J56,J57,J58,J59)</f>
        <v>-51000</v>
      </c>
      <c r="K47" s="118">
        <f>SUM(K48,K53,K56,K57,K58,K59)</f>
        <v>4255000</v>
      </c>
      <c r="L47" s="2246"/>
    </row>
    <row r="48" spans="1:12" s="116" customFormat="1" ht="36" customHeight="1">
      <c r="A48" s="2254"/>
      <c r="B48" s="2231"/>
      <c r="C48" s="120" t="s">
        <v>19</v>
      </c>
      <c r="D48" s="121"/>
      <c r="E48" s="122">
        <f>SUM(E49:E50)</f>
        <v>380000</v>
      </c>
      <c r="F48" s="122">
        <f>SUM(F49:F50)</f>
        <v>420000</v>
      </c>
      <c r="G48" s="122">
        <f>SUM(G49:G50)</f>
        <v>361000</v>
      </c>
      <c r="H48" s="122">
        <f>SUM(H49:H50)</f>
        <v>166000</v>
      </c>
      <c r="I48" s="123">
        <f>H48/E48</f>
        <v>0.43684210526315792</v>
      </c>
      <c r="J48" s="122">
        <f>SUM(J49:J50)</f>
        <v>-26000</v>
      </c>
      <c r="K48" s="122">
        <f>SUM(K49:K50)</f>
        <v>140000</v>
      </c>
      <c r="L48" s="2246"/>
    </row>
    <row r="49" spans="1:12" s="116" customFormat="1" ht="36.75" customHeight="1">
      <c r="A49" s="2254"/>
      <c r="B49" s="2231"/>
      <c r="C49" s="120" t="s">
        <v>20</v>
      </c>
      <c r="D49" s="121"/>
      <c r="E49" s="122"/>
      <c r="F49" s="122"/>
      <c r="G49" s="134"/>
      <c r="H49" s="134"/>
      <c r="I49" s="123"/>
      <c r="J49" s="134"/>
      <c r="K49" s="134"/>
      <c r="L49" s="2246"/>
    </row>
    <row r="50" spans="1:12" s="116" customFormat="1" ht="22.5" customHeight="1">
      <c r="A50" s="2254"/>
      <c r="B50" s="2231"/>
      <c r="C50" s="2242" t="s">
        <v>21</v>
      </c>
      <c r="D50" s="129" t="s">
        <v>22</v>
      </c>
      <c r="E50" s="130">
        <f>SUM(E51:E52)</f>
        <v>380000</v>
      </c>
      <c r="F50" s="130">
        <f>SUM(F51:F52)</f>
        <v>420000</v>
      </c>
      <c r="G50" s="130">
        <f>E50*0.95</f>
        <v>361000</v>
      </c>
      <c r="H50" s="130">
        <f>SUM(H51:H52)</f>
        <v>166000</v>
      </c>
      <c r="I50" s="123">
        <f t="shared" ref="I50:I55" si="4">H50/E50</f>
        <v>0.43684210526315792</v>
      </c>
      <c r="J50" s="130">
        <f>SUM(J51:J52)</f>
        <v>-26000</v>
      </c>
      <c r="K50" s="130">
        <f>SUM(K51:K52)</f>
        <v>140000</v>
      </c>
      <c r="L50" s="2246"/>
    </row>
    <row r="51" spans="1:12" s="116" customFormat="1" ht="15" customHeight="1">
      <c r="A51" s="2254"/>
      <c r="B51" s="2231"/>
      <c r="C51" s="2242"/>
      <c r="D51" s="131">
        <v>4210</v>
      </c>
      <c r="E51" s="132">
        <f>100000+250000</f>
        <v>350000</v>
      </c>
      <c r="F51" s="132">
        <f>140000+250000</f>
        <v>390000</v>
      </c>
      <c r="G51" s="126"/>
      <c r="H51" s="126">
        <f>130000+6000</f>
        <v>136000</v>
      </c>
      <c r="I51" s="127">
        <f t="shared" si="4"/>
        <v>0.38857142857142857</v>
      </c>
      <c r="J51" s="126">
        <f>-6000-20000</f>
        <v>-26000</v>
      </c>
      <c r="K51" s="126">
        <f>H51+J51</f>
        <v>110000</v>
      </c>
      <c r="L51" s="2246"/>
    </row>
    <row r="52" spans="1:12" s="116" customFormat="1" ht="17.25" customHeight="1">
      <c r="A52" s="2254"/>
      <c r="B52" s="2231"/>
      <c r="C52" s="2242"/>
      <c r="D52" s="131">
        <v>4300</v>
      </c>
      <c r="E52" s="132">
        <v>30000</v>
      </c>
      <c r="F52" s="132">
        <v>30000</v>
      </c>
      <c r="G52" s="126"/>
      <c r="H52" s="126">
        <v>30000</v>
      </c>
      <c r="I52" s="127">
        <f t="shared" si="4"/>
        <v>1</v>
      </c>
      <c r="J52" s="126"/>
      <c r="K52" s="126">
        <f>H52+J52</f>
        <v>30000</v>
      </c>
      <c r="L52" s="2246"/>
    </row>
    <row r="53" spans="1:12" s="116" customFormat="1" ht="21.75" customHeight="1">
      <c r="A53" s="2254"/>
      <c r="B53" s="2231"/>
      <c r="C53" s="2248" t="s">
        <v>23</v>
      </c>
      <c r="D53" s="121" t="s">
        <v>22</v>
      </c>
      <c r="E53" s="122">
        <f>SUM(E54:E55)</f>
        <v>4215000</v>
      </c>
      <c r="F53" s="122">
        <f>SUM(F54:F55)</f>
        <v>4423132</v>
      </c>
      <c r="G53" s="122">
        <f>E53*0.95</f>
        <v>4004250</v>
      </c>
      <c r="H53" s="122">
        <f>SUM(H54:H55)</f>
        <v>4140000</v>
      </c>
      <c r="I53" s="123">
        <f t="shared" si="4"/>
        <v>0.98220640569395012</v>
      </c>
      <c r="J53" s="122">
        <f>SUM(J54:J55)</f>
        <v>-25000</v>
      </c>
      <c r="K53" s="122">
        <f>SUM(K54:K55)</f>
        <v>4115000</v>
      </c>
      <c r="L53" s="2246"/>
    </row>
    <row r="54" spans="1:12" s="116" customFormat="1" ht="16.5" customHeight="1">
      <c r="A54" s="2254"/>
      <c r="B54" s="2231"/>
      <c r="C54" s="2248"/>
      <c r="D54" s="124">
        <v>2310</v>
      </c>
      <c r="E54" s="125">
        <v>4140000</v>
      </c>
      <c r="F54" s="125">
        <v>4386632</v>
      </c>
      <c r="G54" s="126"/>
      <c r="H54" s="126">
        <v>4065000</v>
      </c>
      <c r="I54" s="127">
        <f t="shared" si="4"/>
        <v>0.98188405797101452</v>
      </c>
      <c r="J54" s="126"/>
      <c r="K54" s="126">
        <f>H54+J54</f>
        <v>4065000</v>
      </c>
      <c r="L54" s="2246"/>
    </row>
    <row r="55" spans="1:12" s="116" customFormat="1" ht="16.5" customHeight="1">
      <c r="A55" s="2254"/>
      <c r="B55" s="2231"/>
      <c r="C55" s="2248"/>
      <c r="D55" s="124">
        <v>2320</v>
      </c>
      <c r="E55" s="125">
        <v>75000</v>
      </c>
      <c r="F55" s="125">
        <v>36500</v>
      </c>
      <c r="G55" s="126"/>
      <c r="H55" s="126">
        <v>75000</v>
      </c>
      <c r="I55" s="127">
        <f t="shared" si="4"/>
        <v>1</v>
      </c>
      <c r="J55" s="126">
        <v>-25000</v>
      </c>
      <c r="K55" s="126">
        <f>H55+J55</f>
        <v>50000</v>
      </c>
      <c r="L55" s="2246"/>
    </row>
    <row r="56" spans="1:12" s="116" customFormat="1" ht="36" customHeight="1">
      <c r="A56" s="2254"/>
      <c r="B56" s="2231"/>
      <c r="C56" s="120" t="s">
        <v>24</v>
      </c>
      <c r="D56" s="121"/>
      <c r="E56" s="122"/>
      <c r="F56" s="122"/>
      <c r="G56" s="134"/>
      <c r="H56" s="134"/>
      <c r="I56" s="123"/>
      <c r="J56" s="134"/>
      <c r="K56" s="134"/>
      <c r="L56" s="2246"/>
    </row>
    <row r="57" spans="1:12" s="116" customFormat="1" ht="42.75" customHeight="1">
      <c r="A57" s="2254"/>
      <c r="B57" s="2231"/>
      <c r="C57" s="135" t="s">
        <v>88</v>
      </c>
      <c r="D57" s="129"/>
      <c r="E57" s="130"/>
      <c r="F57" s="130"/>
      <c r="G57" s="134"/>
      <c r="H57" s="134"/>
      <c r="I57" s="123"/>
      <c r="J57" s="134"/>
      <c r="K57" s="134"/>
      <c r="L57" s="2246"/>
    </row>
    <row r="58" spans="1:12" s="116" customFormat="1" ht="36" customHeight="1">
      <c r="A58" s="2254"/>
      <c r="B58" s="2231"/>
      <c r="C58" s="120" t="s">
        <v>26</v>
      </c>
      <c r="D58" s="121"/>
      <c r="E58" s="122"/>
      <c r="F58" s="122"/>
      <c r="G58" s="134"/>
      <c r="H58" s="134"/>
      <c r="I58" s="123"/>
      <c r="J58" s="134"/>
      <c r="K58" s="134"/>
      <c r="L58" s="2246"/>
    </row>
    <row r="59" spans="1:12" s="116" customFormat="1" ht="30.75" customHeight="1">
      <c r="A59" s="2254"/>
      <c r="B59" s="2231"/>
      <c r="C59" s="120" t="s">
        <v>27</v>
      </c>
      <c r="D59" s="121"/>
      <c r="E59" s="122"/>
      <c r="F59" s="122"/>
      <c r="G59" s="134"/>
      <c r="H59" s="134"/>
      <c r="I59" s="123"/>
      <c r="J59" s="134"/>
      <c r="K59" s="134"/>
      <c r="L59" s="2246"/>
    </row>
    <row r="60" spans="1:12" s="116" customFormat="1" ht="38.25" customHeight="1">
      <c r="A60" s="2254"/>
      <c r="B60" s="2231"/>
      <c r="C60" s="136" t="s">
        <v>28</v>
      </c>
      <c r="D60" s="137"/>
      <c r="E60" s="138">
        <f>SUM(E61,E66,E67)</f>
        <v>7905000</v>
      </c>
      <c r="F60" s="138">
        <f>SUM(F61,F66,F67)</f>
        <v>15835000</v>
      </c>
      <c r="G60" s="138">
        <f>SUM(G61,G66,G67)</f>
        <v>0</v>
      </c>
      <c r="H60" s="138">
        <f>SUM(H61,H66,H67)</f>
        <v>7694000</v>
      </c>
      <c r="I60" s="119">
        <f>H60/E60</f>
        <v>0.97330803289057555</v>
      </c>
      <c r="J60" s="138">
        <f>SUM(J61,J66,J67)</f>
        <v>51000</v>
      </c>
      <c r="K60" s="138">
        <f>SUM(K61,K66,K67)</f>
        <v>7745000</v>
      </c>
      <c r="L60" s="2246"/>
    </row>
    <row r="61" spans="1:12" s="116" customFormat="1" ht="29.25" customHeight="1">
      <c r="A61" s="2254"/>
      <c r="B61" s="2231"/>
      <c r="C61" s="2248" t="s">
        <v>29</v>
      </c>
      <c r="D61" s="121" t="s">
        <v>22</v>
      </c>
      <c r="E61" s="122">
        <f>SUM(E62:E64)</f>
        <v>7905000</v>
      </c>
      <c r="F61" s="122">
        <f>SUM(F62:F64)</f>
        <v>15835000</v>
      </c>
      <c r="G61" s="122">
        <f>SUM(G62:G64)</f>
        <v>0</v>
      </c>
      <c r="H61" s="122">
        <f>SUM(H62:H64)</f>
        <v>7694000</v>
      </c>
      <c r="I61" s="123">
        <f>H61/E61</f>
        <v>0.97330803289057555</v>
      </c>
      <c r="J61" s="122">
        <f>SUM(J62:J64)</f>
        <v>51000</v>
      </c>
      <c r="K61" s="122">
        <f>SUM(K62:K64)</f>
        <v>7745000</v>
      </c>
      <c r="L61" s="2246"/>
    </row>
    <row r="62" spans="1:12" s="116" customFormat="1" ht="18.75" customHeight="1">
      <c r="A62" s="2254"/>
      <c r="B62" s="2231"/>
      <c r="C62" s="2248"/>
      <c r="D62" s="124">
        <v>6060</v>
      </c>
      <c r="E62" s="125">
        <v>170000</v>
      </c>
      <c r="F62" s="125">
        <f>59300+110700</f>
        <v>170000</v>
      </c>
      <c r="G62" s="126"/>
      <c r="H62" s="126">
        <f>25000+274000</f>
        <v>299000</v>
      </c>
      <c r="I62" s="127">
        <f>H62/E62</f>
        <v>1.7588235294117647</v>
      </c>
      <c r="J62" s="126">
        <f>-5000+126000</f>
        <v>121000</v>
      </c>
      <c r="K62" s="126">
        <f>H62+J62</f>
        <v>420000</v>
      </c>
      <c r="L62" s="2246"/>
    </row>
    <row r="63" spans="1:12" s="116" customFormat="1" ht="18.75" customHeight="1">
      <c r="A63" s="2254"/>
      <c r="B63" s="2231"/>
      <c r="C63" s="2248"/>
      <c r="D63" s="124">
        <v>6610</v>
      </c>
      <c r="E63" s="125">
        <v>7660000</v>
      </c>
      <c r="F63" s="125">
        <v>15590000</v>
      </c>
      <c r="G63" s="126"/>
      <c r="H63" s="126">
        <v>7370000</v>
      </c>
      <c r="I63" s="127">
        <f>H63/E63</f>
        <v>0.96214099216710181</v>
      </c>
      <c r="J63" s="126">
        <v>-65000</v>
      </c>
      <c r="K63" s="126">
        <f t="shared" ref="K63:K64" si="5">H63+J63</f>
        <v>7305000</v>
      </c>
      <c r="L63" s="2246"/>
    </row>
    <row r="64" spans="1:12" s="116" customFormat="1" ht="18.75" customHeight="1">
      <c r="A64" s="2254"/>
      <c r="B64" s="2231"/>
      <c r="C64" s="2248"/>
      <c r="D64" s="124">
        <v>6620</v>
      </c>
      <c r="E64" s="125">
        <v>75000</v>
      </c>
      <c r="F64" s="125">
        <v>75000</v>
      </c>
      <c r="G64" s="126"/>
      <c r="H64" s="126">
        <v>25000</v>
      </c>
      <c r="I64" s="127">
        <f>H64/E64</f>
        <v>0.33333333333333331</v>
      </c>
      <c r="J64" s="126">
        <v>-5000</v>
      </c>
      <c r="K64" s="126">
        <f t="shared" si="5"/>
        <v>20000</v>
      </c>
      <c r="L64" s="2246"/>
    </row>
    <row r="65" spans="1:12" s="116" customFormat="1" ht="35.25" customHeight="1">
      <c r="A65" s="2254"/>
      <c r="B65" s="2231"/>
      <c r="C65" s="135" t="s">
        <v>93</v>
      </c>
      <c r="D65" s="129"/>
      <c r="E65" s="130"/>
      <c r="F65" s="130"/>
      <c r="G65" s="134"/>
      <c r="H65" s="134"/>
      <c r="I65" s="123"/>
      <c r="J65" s="134"/>
      <c r="K65" s="134"/>
      <c r="L65" s="2246"/>
    </row>
    <row r="66" spans="1:12" s="116" customFormat="1">
      <c r="A66" s="2254"/>
      <c r="B66" s="2231"/>
      <c r="C66" s="120" t="s">
        <v>31</v>
      </c>
      <c r="D66" s="121"/>
      <c r="E66" s="122"/>
      <c r="F66" s="122"/>
      <c r="G66" s="134"/>
      <c r="H66" s="134"/>
      <c r="I66" s="123"/>
      <c r="J66" s="134"/>
      <c r="K66" s="134"/>
      <c r="L66" s="2246"/>
    </row>
    <row r="67" spans="1:12" s="116" customFormat="1" ht="13.5" thickBot="1">
      <c r="A67" s="2255"/>
      <c r="B67" s="2232"/>
      <c r="C67" s="319" t="s">
        <v>32</v>
      </c>
      <c r="D67" s="320"/>
      <c r="E67" s="321"/>
      <c r="F67" s="321"/>
      <c r="G67" s="322"/>
      <c r="H67" s="322"/>
      <c r="I67" s="323"/>
      <c r="J67" s="322"/>
      <c r="K67" s="322"/>
      <c r="L67" s="2247"/>
    </row>
    <row r="68" spans="1:12" customFormat="1" ht="15">
      <c r="A68" s="2256"/>
      <c r="B68" s="2244" t="s">
        <v>49</v>
      </c>
      <c r="C68" s="328" t="s">
        <v>17</v>
      </c>
      <c r="D68" s="325"/>
      <c r="E68" s="329">
        <f>SUM(E69,E86)</f>
        <v>7115183</v>
      </c>
      <c r="F68" s="329">
        <f>SUM(F69,F86)</f>
        <v>7320986</v>
      </c>
      <c r="G68" s="329">
        <f>SUM(G69,G86)</f>
        <v>0</v>
      </c>
      <c r="H68" s="329">
        <f>SUM(H69,H86)</f>
        <v>7171685</v>
      </c>
      <c r="I68" s="327">
        <f>H68/E68</f>
        <v>1.0079410466322511</v>
      </c>
      <c r="J68" s="329">
        <f>SUM(J69,J86)</f>
        <v>0</v>
      </c>
      <c r="K68" s="329">
        <f>SUM(K69,K86)</f>
        <v>7171685</v>
      </c>
      <c r="L68" s="2243" t="s">
        <v>194</v>
      </c>
    </row>
    <row r="69" spans="1:12" customFormat="1" ht="42.75" customHeight="1">
      <c r="A69" s="2254"/>
      <c r="B69" s="2231"/>
      <c r="C69" s="117" t="s">
        <v>18</v>
      </c>
      <c r="D69" s="111"/>
      <c r="E69" s="118">
        <f>SUM(E70,E79,E82,E83,E84,E85)</f>
        <v>7115183</v>
      </c>
      <c r="F69" s="118">
        <f>SUM(F70,F79,F82,F83,F84,F85)</f>
        <v>7320986</v>
      </c>
      <c r="G69" s="118">
        <f>SUM(G70,G79,G82,G83,G84,G85)</f>
        <v>0</v>
      </c>
      <c r="H69" s="118">
        <f>SUM(H70,H79,H82,H83,H84,H85)</f>
        <v>7171685</v>
      </c>
      <c r="I69" s="119">
        <f>H69/E69</f>
        <v>1.0079410466322511</v>
      </c>
      <c r="J69" s="118">
        <f>SUM(J70,J79,J82,J83,J84,J85)</f>
        <v>0</v>
      </c>
      <c r="K69" s="118">
        <f>SUM(K70,K79,K82,K83,K84,K85)</f>
        <v>7171685</v>
      </c>
      <c r="L69" s="2233"/>
    </row>
    <row r="70" spans="1:12" customFormat="1" ht="33.75" customHeight="1">
      <c r="A70" s="2254"/>
      <c r="B70" s="2231"/>
      <c r="C70" s="120" t="s">
        <v>19</v>
      </c>
      <c r="D70" s="121"/>
      <c r="E70" s="122">
        <f>SUM(E71,E72)</f>
        <v>3743683</v>
      </c>
      <c r="F70" s="122">
        <f>SUM(F71,F72)</f>
        <v>3833683</v>
      </c>
      <c r="G70" s="122">
        <f>SUM(G71,G72)</f>
        <v>0</v>
      </c>
      <c r="H70" s="122">
        <f>SUM(H71,H72)</f>
        <v>3800185</v>
      </c>
      <c r="I70" s="123">
        <f>H70/E70</f>
        <v>1.0150926240282632</v>
      </c>
      <c r="J70" s="122">
        <f>SUM(J71,J72)</f>
        <v>0</v>
      </c>
      <c r="K70" s="122">
        <f>SUM(K71,K72)</f>
        <v>3800185</v>
      </c>
      <c r="L70" s="2233"/>
    </row>
    <row r="71" spans="1:12" customFormat="1" ht="36.75" customHeight="1">
      <c r="A71" s="2254"/>
      <c r="B71" s="2231"/>
      <c r="C71" s="120" t="s">
        <v>20</v>
      </c>
      <c r="D71" s="121"/>
      <c r="E71" s="122"/>
      <c r="F71" s="134"/>
      <c r="G71" s="134"/>
      <c r="H71" s="134"/>
      <c r="I71" s="123"/>
      <c r="J71" s="134"/>
      <c r="K71" s="134"/>
      <c r="L71" s="2233"/>
    </row>
    <row r="72" spans="1:12" customFormat="1" ht="33" customHeight="1">
      <c r="A72" s="2254"/>
      <c r="B72" s="2231"/>
      <c r="C72" s="2242" t="s">
        <v>21</v>
      </c>
      <c r="D72" s="129" t="s">
        <v>22</v>
      </c>
      <c r="E72" s="130">
        <f>SUM(E73:E78)</f>
        <v>3743683</v>
      </c>
      <c r="F72" s="130">
        <f>SUM(F73:F78)</f>
        <v>3833683</v>
      </c>
      <c r="G72" s="130">
        <f>SUM(G73:G78)</f>
        <v>0</v>
      </c>
      <c r="H72" s="233">
        <f>SUM(H73:H78)</f>
        <v>3800185</v>
      </c>
      <c r="I72" s="123">
        <f>H72/E72</f>
        <v>1.0150926240282632</v>
      </c>
      <c r="J72" s="130">
        <f>SUM(J73:J78)</f>
        <v>0</v>
      </c>
      <c r="K72" s="130">
        <f>SUM(K73:K78)</f>
        <v>3800185</v>
      </c>
      <c r="L72" s="2233"/>
    </row>
    <row r="73" spans="1:12" customFormat="1" ht="22.5" customHeight="1">
      <c r="A73" s="2254"/>
      <c r="B73" s="2231"/>
      <c r="C73" s="2242"/>
      <c r="D73" s="131">
        <v>4190</v>
      </c>
      <c r="E73" s="132">
        <v>16500</v>
      </c>
      <c r="F73" s="132">
        <v>18281</v>
      </c>
      <c r="G73" s="132"/>
      <c r="H73" s="132">
        <v>34000</v>
      </c>
      <c r="I73" s="127">
        <f t="shared" ref="I73:I75" si="6">H73/E73</f>
        <v>2.0606060606060606</v>
      </c>
      <c r="J73" s="132"/>
      <c r="K73" s="132">
        <f>H73+J73</f>
        <v>34000</v>
      </c>
      <c r="L73" s="2233"/>
    </row>
    <row r="74" spans="1:12" customFormat="1" ht="20.25" customHeight="1">
      <c r="A74" s="2254"/>
      <c r="B74" s="2231"/>
      <c r="C74" s="2242"/>
      <c r="D74" s="131">
        <v>4210</v>
      </c>
      <c r="E74" s="132">
        <v>46000</v>
      </c>
      <c r="F74" s="132">
        <v>116000</v>
      </c>
      <c r="G74" s="132"/>
      <c r="H74" s="132">
        <f>32000+45000</f>
        <v>77000</v>
      </c>
      <c r="I74" s="127">
        <f t="shared" si="6"/>
        <v>1.673913043478261</v>
      </c>
      <c r="J74" s="132"/>
      <c r="K74" s="132">
        <f t="shared" ref="K74:K78" si="7">H74+J74</f>
        <v>77000</v>
      </c>
      <c r="L74" s="2233"/>
    </row>
    <row r="75" spans="1:12" customFormat="1" ht="21.75" customHeight="1">
      <c r="A75" s="2254"/>
      <c r="B75" s="2231"/>
      <c r="C75" s="2242"/>
      <c r="D75" s="131">
        <v>4300</v>
      </c>
      <c r="E75" s="132">
        <v>201183</v>
      </c>
      <c r="F75" s="126">
        <v>219402</v>
      </c>
      <c r="G75" s="126"/>
      <c r="H75" s="126">
        <f>154185+55000</f>
        <v>209185</v>
      </c>
      <c r="I75" s="127">
        <f t="shared" si="6"/>
        <v>1.0397747324575137</v>
      </c>
      <c r="J75" s="126">
        <v>0</v>
      </c>
      <c r="K75" s="132">
        <f t="shared" si="7"/>
        <v>209185</v>
      </c>
      <c r="L75" s="2233"/>
    </row>
    <row r="76" spans="1:12" customFormat="1" ht="22.5" customHeight="1">
      <c r="A76" s="2254"/>
      <c r="B76" s="2231"/>
      <c r="C76" s="2242"/>
      <c r="D76" s="131">
        <v>4390</v>
      </c>
      <c r="E76" s="132">
        <v>208000</v>
      </c>
      <c r="F76" s="126">
        <v>208000</v>
      </c>
      <c r="G76" s="126"/>
      <c r="H76" s="126">
        <v>208000</v>
      </c>
      <c r="I76" s="127">
        <f t="shared" ref="I76:I78" si="8">H76/E76</f>
        <v>1</v>
      </c>
      <c r="J76" s="126">
        <v>0</v>
      </c>
      <c r="K76" s="132">
        <f t="shared" si="7"/>
        <v>208000</v>
      </c>
      <c r="L76" s="2233"/>
    </row>
    <row r="77" spans="1:12" customFormat="1" ht="23.25" customHeight="1">
      <c r="A77" s="2254"/>
      <c r="B77" s="2231"/>
      <c r="C77" s="2242"/>
      <c r="D77" s="131">
        <v>4590</v>
      </c>
      <c r="E77" s="132">
        <v>3267000</v>
      </c>
      <c r="F77" s="126">
        <v>3267000</v>
      </c>
      <c r="G77" s="126"/>
      <c r="H77" s="126">
        <v>3267000</v>
      </c>
      <c r="I77" s="127">
        <f t="shared" si="8"/>
        <v>1</v>
      </c>
      <c r="J77" s="126"/>
      <c r="K77" s="132">
        <f t="shared" si="7"/>
        <v>3267000</v>
      </c>
      <c r="L77" s="2233"/>
    </row>
    <row r="78" spans="1:12" customFormat="1" ht="22.5" customHeight="1">
      <c r="A78" s="2254"/>
      <c r="B78" s="2231"/>
      <c r="C78" s="2242"/>
      <c r="D78" s="131">
        <v>4610</v>
      </c>
      <c r="E78" s="132">
        <v>5000</v>
      </c>
      <c r="F78" s="126">
        <v>5000</v>
      </c>
      <c r="G78" s="126"/>
      <c r="H78" s="126">
        <v>5000</v>
      </c>
      <c r="I78" s="127">
        <f t="shared" si="8"/>
        <v>1</v>
      </c>
      <c r="J78" s="126"/>
      <c r="K78" s="132">
        <f t="shared" si="7"/>
        <v>5000</v>
      </c>
      <c r="L78" s="2233"/>
    </row>
    <row r="79" spans="1:12" customFormat="1" ht="32.25" customHeight="1">
      <c r="A79" s="2254"/>
      <c r="B79" s="2231"/>
      <c r="C79" s="2249" t="s">
        <v>23</v>
      </c>
      <c r="D79" s="121" t="s">
        <v>22</v>
      </c>
      <c r="E79" s="122">
        <f>SUM(E80:E81)</f>
        <v>3371500</v>
      </c>
      <c r="F79" s="122">
        <f t="shared" ref="F79:H79" si="9">SUM(F80:F81)</f>
        <v>3487303</v>
      </c>
      <c r="G79" s="122">
        <f t="shared" si="9"/>
        <v>0</v>
      </c>
      <c r="H79" s="122">
        <f t="shared" si="9"/>
        <v>3371500</v>
      </c>
      <c r="I79" s="123">
        <f>H79/E79</f>
        <v>1</v>
      </c>
      <c r="J79" s="134">
        <v>0</v>
      </c>
      <c r="K79" s="134">
        <f>H79+J79</f>
        <v>3371500</v>
      </c>
      <c r="L79" s="2233"/>
    </row>
    <row r="80" spans="1:12" customFormat="1" ht="24" customHeight="1">
      <c r="A80" s="2254"/>
      <c r="B80" s="2231"/>
      <c r="C80" s="2250"/>
      <c r="D80" s="124">
        <v>2360</v>
      </c>
      <c r="E80" s="125">
        <v>3371500</v>
      </c>
      <c r="F80" s="126">
        <v>3487303</v>
      </c>
      <c r="G80" s="126"/>
      <c r="H80" s="126">
        <v>3371500</v>
      </c>
      <c r="I80" s="127">
        <f>H80/E80</f>
        <v>1</v>
      </c>
      <c r="J80" s="126"/>
      <c r="K80" s="126">
        <f>H80+J80</f>
        <v>3371500</v>
      </c>
      <c r="L80" s="2233"/>
    </row>
    <row r="81" spans="1:12" customFormat="1" ht="23.25" hidden="1" customHeight="1">
      <c r="A81" s="2254"/>
      <c r="B81" s="2231"/>
      <c r="C81" s="2251"/>
      <c r="D81" s="124"/>
      <c r="E81" s="125"/>
      <c r="F81" s="126"/>
      <c r="G81" s="126"/>
      <c r="H81" s="126"/>
      <c r="I81" s="127"/>
      <c r="J81" s="126"/>
      <c r="K81" s="126"/>
      <c r="L81" s="2233"/>
    </row>
    <row r="82" spans="1:12" customFormat="1" ht="27" customHeight="1">
      <c r="A82" s="2254"/>
      <c r="B82" s="2231"/>
      <c r="C82" s="120" t="s">
        <v>24</v>
      </c>
      <c r="D82" s="121"/>
      <c r="E82" s="122"/>
      <c r="F82" s="134"/>
      <c r="G82" s="134"/>
      <c r="H82" s="134"/>
      <c r="I82" s="123"/>
      <c r="J82" s="134"/>
      <c r="K82" s="134"/>
      <c r="L82" s="2233"/>
    </row>
    <row r="83" spans="1:12" customFormat="1" ht="30.75" customHeight="1">
      <c r="A83" s="2254"/>
      <c r="B83" s="2231"/>
      <c r="C83" s="135" t="s">
        <v>88</v>
      </c>
      <c r="D83" s="129"/>
      <c r="E83" s="130"/>
      <c r="F83" s="134"/>
      <c r="G83" s="134"/>
      <c r="H83" s="134"/>
      <c r="I83" s="123"/>
      <c r="J83" s="134"/>
      <c r="K83" s="134"/>
      <c r="L83" s="2233"/>
    </row>
    <row r="84" spans="1:12" customFormat="1" ht="26.25" customHeight="1">
      <c r="A84" s="2254"/>
      <c r="B84" s="2231"/>
      <c r="C84" s="120" t="s">
        <v>26</v>
      </c>
      <c r="D84" s="121"/>
      <c r="E84" s="122"/>
      <c r="F84" s="134"/>
      <c r="G84" s="134"/>
      <c r="H84" s="134"/>
      <c r="I84" s="123"/>
      <c r="J84" s="134"/>
      <c r="K84" s="134"/>
      <c r="L84" s="2233"/>
    </row>
    <row r="85" spans="1:12" customFormat="1" ht="27" customHeight="1">
      <c r="A85" s="2254"/>
      <c r="B85" s="2231"/>
      <c r="C85" s="120" t="s">
        <v>27</v>
      </c>
      <c r="D85" s="121"/>
      <c r="E85" s="122"/>
      <c r="F85" s="134"/>
      <c r="G85" s="134"/>
      <c r="H85" s="134"/>
      <c r="I85" s="123"/>
      <c r="J85" s="134"/>
      <c r="K85" s="134"/>
      <c r="L85" s="2233"/>
    </row>
    <row r="86" spans="1:12" customFormat="1" ht="39.75" customHeight="1">
      <c r="A86" s="2254"/>
      <c r="B86" s="2231"/>
      <c r="C86" s="136" t="s">
        <v>28</v>
      </c>
      <c r="D86" s="137"/>
      <c r="E86" s="138">
        <f>SUM(E87,E89,E90)</f>
        <v>0</v>
      </c>
      <c r="F86" s="138">
        <f>SUM(F87,F89,F90)</f>
        <v>0</v>
      </c>
      <c r="G86" s="138">
        <f>SUM(G87,G89,G90)</f>
        <v>0</v>
      </c>
      <c r="H86" s="138">
        <f>SUM(H87,H89,H90)</f>
        <v>0</v>
      </c>
      <c r="I86" s="119"/>
      <c r="J86" s="138">
        <f>SUM(J87,J89,J90)</f>
        <v>0</v>
      </c>
      <c r="K86" s="138">
        <f>SUM(K87,K89,K90)</f>
        <v>0</v>
      </c>
      <c r="L86" s="2233"/>
    </row>
    <row r="87" spans="1:12" customFormat="1" ht="27.75" customHeight="1">
      <c r="A87" s="2254"/>
      <c r="B87" s="2231"/>
      <c r="C87" s="120" t="s">
        <v>29</v>
      </c>
      <c r="D87" s="121"/>
      <c r="E87" s="122"/>
      <c r="F87" s="134"/>
      <c r="G87" s="134"/>
      <c r="H87" s="134"/>
      <c r="I87" s="123"/>
      <c r="J87" s="134"/>
      <c r="K87" s="134"/>
      <c r="L87" s="2233"/>
    </row>
    <row r="88" spans="1:12" customFormat="1" ht="36" customHeight="1">
      <c r="A88" s="2254"/>
      <c r="B88" s="2231"/>
      <c r="C88" s="135" t="s">
        <v>87</v>
      </c>
      <c r="D88" s="129"/>
      <c r="E88" s="130"/>
      <c r="F88" s="134"/>
      <c r="G88" s="134"/>
      <c r="H88" s="134"/>
      <c r="I88" s="123"/>
      <c r="J88" s="134"/>
      <c r="K88" s="134"/>
      <c r="L88" s="2233"/>
    </row>
    <row r="89" spans="1:12" customFormat="1" ht="23.25" customHeight="1">
      <c r="A89" s="2254"/>
      <c r="B89" s="2231"/>
      <c r="C89" s="120" t="s">
        <v>31</v>
      </c>
      <c r="D89" s="121"/>
      <c r="E89" s="122"/>
      <c r="F89" s="134"/>
      <c r="G89" s="134"/>
      <c r="H89" s="134"/>
      <c r="I89" s="123"/>
      <c r="J89" s="134"/>
      <c r="K89" s="134"/>
      <c r="L89" s="2233"/>
    </row>
    <row r="90" spans="1:12" customFormat="1" ht="24.75" customHeight="1" thickBot="1">
      <c r="A90" s="2255"/>
      <c r="B90" s="2232"/>
      <c r="C90" s="319" t="s">
        <v>32</v>
      </c>
      <c r="D90" s="320"/>
      <c r="E90" s="321"/>
      <c r="F90" s="322"/>
      <c r="G90" s="322"/>
      <c r="H90" s="322"/>
      <c r="I90" s="323"/>
      <c r="J90" s="322"/>
      <c r="K90" s="322"/>
      <c r="L90" s="2234"/>
    </row>
    <row r="91" spans="1:12" customFormat="1" ht="15">
      <c r="A91" s="313" t="s">
        <v>60</v>
      </c>
      <c r="B91" s="314"/>
      <c r="C91" s="315" t="s">
        <v>61</v>
      </c>
      <c r="D91" s="314"/>
      <c r="E91" s="316">
        <f>SUM(E92)</f>
        <v>441050</v>
      </c>
      <c r="F91" s="316">
        <f>SUM(F92)</f>
        <v>13531662</v>
      </c>
      <c r="G91" s="316" t="e">
        <f>SUM(G92)</f>
        <v>#REF!</v>
      </c>
      <c r="H91" s="316">
        <f>SUM(H92)</f>
        <v>369350</v>
      </c>
      <c r="I91" s="317">
        <f>H91/E91</f>
        <v>0.83743339757397117</v>
      </c>
      <c r="J91" s="316">
        <f>SUM(J92)</f>
        <v>0</v>
      </c>
      <c r="K91" s="316">
        <f>SUM(K92)</f>
        <v>369350</v>
      </c>
      <c r="L91" s="318"/>
    </row>
    <row r="92" spans="1:12" customFormat="1" ht="15">
      <c r="A92" s="2229"/>
      <c r="B92" s="2252" t="s">
        <v>62</v>
      </c>
      <c r="C92" s="142" t="s">
        <v>63</v>
      </c>
      <c r="D92" s="113"/>
      <c r="E92" s="141">
        <f>SUM(E93,E111)</f>
        <v>441050</v>
      </c>
      <c r="F92" s="141">
        <f>SUM(F93,F111)</f>
        <v>13531662</v>
      </c>
      <c r="G92" s="141" t="e">
        <f>SUM(G93,G111)</f>
        <v>#REF!</v>
      </c>
      <c r="H92" s="141">
        <f>SUM(H93,H111)</f>
        <v>369350</v>
      </c>
      <c r="I92" s="115">
        <f>H92/E92</f>
        <v>0.83743339757397117</v>
      </c>
      <c r="J92" s="141">
        <f>SUM(J93,J111)</f>
        <v>0</v>
      </c>
      <c r="K92" s="141">
        <f>SUM(K93,K111)</f>
        <v>369350</v>
      </c>
      <c r="L92" s="2257" t="s">
        <v>186</v>
      </c>
    </row>
    <row r="93" spans="1:12" customFormat="1" ht="15">
      <c r="A93" s="2229"/>
      <c r="B93" s="2252"/>
      <c r="C93" s="117" t="s">
        <v>18</v>
      </c>
      <c r="D93" s="111"/>
      <c r="E93" s="118">
        <f>SUM(E94,E106,E107,E108,E109,E110)</f>
        <v>441050</v>
      </c>
      <c r="F93" s="118">
        <f>SUM(F94,F106,F107,F108,F109,F110)</f>
        <v>1375662</v>
      </c>
      <c r="G93" s="118" t="e">
        <f>SUM(G94,G106,G107,G108,G109,G110)</f>
        <v>#REF!</v>
      </c>
      <c r="H93" s="118">
        <f>SUM(H94,H106,H107,H108,H109,H110)</f>
        <v>369350</v>
      </c>
      <c r="I93" s="119">
        <f>H93/E93</f>
        <v>0.83743339757397117</v>
      </c>
      <c r="J93" s="118">
        <f>SUM(J94,J106,J107,J108,J109,J110)</f>
        <v>0</v>
      </c>
      <c r="K93" s="118">
        <f>SUM(K94,K106,K107,K108,K109,K110)</f>
        <v>369350</v>
      </c>
      <c r="L93" s="2257"/>
    </row>
    <row r="94" spans="1:12" customFormat="1" ht="15">
      <c r="A94" s="2229"/>
      <c r="B94" s="2252"/>
      <c r="C94" s="120" t="s">
        <v>19</v>
      </c>
      <c r="D94" s="121"/>
      <c r="E94" s="134">
        <f>SUM(E95,E96)</f>
        <v>441050</v>
      </c>
      <c r="F94" s="134">
        <f>SUM(F95,F96)</f>
        <v>1375662</v>
      </c>
      <c r="G94" s="134" t="e">
        <f>SUM(G95,G96)</f>
        <v>#REF!</v>
      </c>
      <c r="H94" s="134">
        <f>SUM(H95,H96)</f>
        <v>369350</v>
      </c>
      <c r="I94" s="123">
        <f>H94/E94</f>
        <v>0.83743339757397117</v>
      </c>
      <c r="J94" s="134">
        <f>SUM(J95:J96)</f>
        <v>0</v>
      </c>
      <c r="K94" s="134">
        <f>SUM(K95:K96)</f>
        <v>369350</v>
      </c>
      <c r="L94" s="2257"/>
    </row>
    <row r="95" spans="1:12" customFormat="1" ht="15">
      <c r="A95" s="2229"/>
      <c r="B95" s="2252"/>
      <c r="C95" s="218" t="s">
        <v>20</v>
      </c>
      <c r="D95" s="121"/>
      <c r="E95" s="122"/>
      <c r="F95" s="147"/>
      <c r="G95" s="147" t="e">
        <f>SUM(#REF!)</f>
        <v>#REF!</v>
      </c>
      <c r="H95" s="147"/>
      <c r="I95" s="123"/>
      <c r="J95" s="147"/>
      <c r="K95" s="147"/>
      <c r="L95" s="2257"/>
    </row>
    <row r="96" spans="1:12" customFormat="1" ht="12.75" customHeight="1">
      <c r="A96" s="2229"/>
      <c r="B96" s="2252"/>
      <c r="C96" s="2242" t="s">
        <v>21</v>
      </c>
      <c r="D96" s="129" t="s">
        <v>22</v>
      </c>
      <c r="E96" s="130">
        <f>SUM(E97:E105)</f>
        <v>441050</v>
      </c>
      <c r="F96" s="130">
        <f>SUM(F97:F105)</f>
        <v>1375662</v>
      </c>
      <c r="G96" s="130">
        <f>SUM(G97:G105)</f>
        <v>0</v>
      </c>
      <c r="H96" s="130">
        <f>SUM(H97:H105)</f>
        <v>369350</v>
      </c>
      <c r="I96" s="123">
        <f>H96/E96</f>
        <v>0.83743339757397117</v>
      </c>
      <c r="J96" s="147"/>
      <c r="K96" s="147">
        <f>H96+J96</f>
        <v>369350</v>
      </c>
      <c r="L96" s="2257"/>
    </row>
    <row r="97" spans="1:12" customFormat="1" ht="12.75" customHeight="1">
      <c r="A97" s="2229"/>
      <c r="B97" s="2252"/>
      <c r="C97" s="2242"/>
      <c r="D97" s="131">
        <v>4210</v>
      </c>
      <c r="E97" s="132">
        <v>10000</v>
      </c>
      <c r="F97" s="133">
        <v>10000</v>
      </c>
      <c r="G97" s="133"/>
      <c r="H97" s="126">
        <v>10000</v>
      </c>
      <c r="I97" s="127">
        <f>H97/E97</f>
        <v>1</v>
      </c>
      <c r="J97" s="133"/>
      <c r="K97" s="133">
        <f>H97+J97</f>
        <v>10000</v>
      </c>
      <c r="L97" s="2257"/>
    </row>
    <row r="98" spans="1:12" customFormat="1" ht="12.75" customHeight="1">
      <c r="A98" s="2229"/>
      <c r="B98" s="2252"/>
      <c r="C98" s="2242"/>
      <c r="D98" s="131">
        <v>4260</v>
      </c>
      <c r="E98" s="132">
        <v>25000</v>
      </c>
      <c r="F98" s="133">
        <v>25000</v>
      </c>
      <c r="G98" s="133"/>
      <c r="H98" s="126">
        <v>25000</v>
      </c>
      <c r="I98" s="127">
        <f t="shared" ref="I98:I99" si="10">H98/E98</f>
        <v>1</v>
      </c>
      <c r="J98" s="133"/>
      <c r="K98" s="133">
        <f t="shared" ref="K98:K105" si="11">H98+J98</f>
        <v>25000</v>
      </c>
      <c r="L98" s="2257"/>
    </row>
    <row r="99" spans="1:12" customFormat="1" ht="12.75" customHeight="1">
      <c r="A99" s="2229"/>
      <c r="B99" s="2252"/>
      <c r="C99" s="2242"/>
      <c r="D99" s="131">
        <v>4270</v>
      </c>
      <c r="E99" s="132">
        <v>95000</v>
      </c>
      <c r="F99" s="133">
        <v>95000</v>
      </c>
      <c r="G99" s="133"/>
      <c r="H99" s="126">
        <v>20000</v>
      </c>
      <c r="I99" s="127">
        <f t="shared" si="10"/>
        <v>0.21052631578947367</v>
      </c>
      <c r="J99" s="133"/>
      <c r="K99" s="133">
        <f t="shared" si="11"/>
        <v>20000</v>
      </c>
      <c r="L99" s="2257"/>
    </row>
    <row r="100" spans="1:12" customFormat="1" ht="12.75" customHeight="1">
      <c r="A100" s="2229"/>
      <c r="B100" s="2252"/>
      <c r="C100" s="2242"/>
      <c r="D100" s="131">
        <v>4300</v>
      </c>
      <c r="E100" s="132">
        <v>170000</v>
      </c>
      <c r="F100" s="133">
        <v>162040</v>
      </c>
      <c r="G100" s="133"/>
      <c r="H100" s="126">
        <v>170000</v>
      </c>
      <c r="I100" s="127">
        <f>H100/E100</f>
        <v>1</v>
      </c>
      <c r="J100" s="133"/>
      <c r="K100" s="133">
        <f t="shared" si="11"/>
        <v>170000</v>
      </c>
      <c r="L100" s="2257"/>
    </row>
    <row r="101" spans="1:12" customFormat="1" ht="12.75" customHeight="1">
      <c r="A101" s="2229"/>
      <c r="B101" s="2252"/>
      <c r="C101" s="2242"/>
      <c r="D101" s="131">
        <v>4480</v>
      </c>
      <c r="E101" s="132">
        <v>100000</v>
      </c>
      <c r="F101" s="133">
        <v>96700</v>
      </c>
      <c r="G101" s="133"/>
      <c r="H101" s="126">
        <v>100000</v>
      </c>
      <c r="I101" s="127">
        <f t="shared" ref="I101:I105" si="12">H101/E101</f>
        <v>1</v>
      </c>
      <c r="J101" s="133"/>
      <c r="K101" s="133">
        <f t="shared" si="11"/>
        <v>100000</v>
      </c>
      <c r="L101" s="2257"/>
    </row>
    <row r="102" spans="1:12" customFormat="1" ht="12.75" customHeight="1">
      <c r="A102" s="2229"/>
      <c r="B102" s="2252"/>
      <c r="C102" s="2242"/>
      <c r="D102" s="131">
        <v>4520</v>
      </c>
      <c r="E102" s="132">
        <v>1050</v>
      </c>
      <c r="F102" s="133">
        <v>4350</v>
      </c>
      <c r="G102" s="133"/>
      <c r="H102" s="126">
        <v>4350</v>
      </c>
      <c r="I102" s="127">
        <f t="shared" si="12"/>
        <v>4.1428571428571432</v>
      </c>
      <c r="J102" s="133"/>
      <c r="K102" s="133">
        <f t="shared" si="11"/>
        <v>4350</v>
      </c>
      <c r="L102" s="2257"/>
    </row>
    <row r="103" spans="1:12" customFormat="1" ht="12.75" customHeight="1">
      <c r="A103" s="2229"/>
      <c r="B103" s="2252"/>
      <c r="C103" s="2242"/>
      <c r="D103" s="131">
        <v>4590</v>
      </c>
      <c r="E103" s="132"/>
      <c r="F103" s="133">
        <v>7960</v>
      </c>
      <c r="G103" s="133"/>
      <c r="H103" s="126"/>
      <c r="I103" s="127"/>
      <c r="J103" s="133"/>
      <c r="K103" s="133">
        <f t="shared" si="11"/>
        <v>0</v>
      </c>
      <c r="L103" s="2257"/>
    </row>
    <row r="104" spans="1:12" customFormat="1" ht="12.75" customHeight="1">
      <c r="A104" s="2229"/>
      <c r="B104" s="2252"/>
      <c r="C104" s="2242"/>
      <c r="D104" s="131">
        <v>4600</v>
      </c>
      <c r="E104" s="132"/>
      <c r="F104" s="133">
        <v>934612</v>
      </c>
      <c r="G104" s="133"/>
      <c r="H104" s="126"/>
      <c r="I104" s="127"/>
      <c r="J104" s="133"/>
      <c r="K104" s="133">
        <f t="shared" si="11"/>
        <v>0</v>
      </c>
      <c r="L104" s="2257"/>
    </row>
    <row r="105" spans="1:12" customFormat="1" ht="12.75" customHeight="1">
      <c r="A105" s="2229"/>
      <c r="B105" s="2252"/>
      <c r="C105" s="2242"/>
      <c r="D105" s="131">
        <v>4610</v>
      </c>
      <c r="E105" s="132">
        <v>40000</v>
      </c>
      <c r="F105" s="133">
        <v>40000</v>
      </c>
      <c r="G105" s="133"/>
      <c r="H105" s="126">
        <v>40000</v>
      </c>
      <c r="I105" s="127">
        <f t="shared" si="12"/>
        <v>1</v>
      </c>
      <c r="J105" s="133"/>
      <c r="K105" s="133">
        <f t="shared" si="11"/>
        <v>40000</v>
      </c>
      <c r="L105" s="2257"/>
    </row>
    <row r="106" spans="1:12" customFormat="1" ht="15">
      <c r="A106" s="2229"/>
      <c r="B106" s="2252"/>
      <c r="C106" s="120" t="s">
        <v>23</v>
      </c>
      <c r="D106" s="121"/>
      <c r="E106" s="122"/>
      <c r="F106" s="147"/>
      <c r="G106" s="147"/>
      <c r="H106" s="147"/>
      <c r="I106" s="119"/>
      <c r="J106" s="147"/>
      <c r="K106" s="147"/>
      <c r="L106" s="2257"/>
    </row>
    <row r="107" spans="1:12" customFormat="1" ht="15">
      <c r="A107" s="2229"/>
      <c r="B107" s="2252"/>
      <c r="C107" s="120" t="s">
        <v>24</v>
      </c>
      <c r="D107" s="121"/>
      <c r="E107" s="122"/>
      <c r="F107" s="147"/>
      <c r="G107" s="147"/>
      <c r="H107" s="147"/>
      <c r="I107" s="119"/>
      <c r="J107" s="147"/>
      <c r="K107" s="147"/>
      <c r="L107" s="2257"/>
    </row>
    <row r="108" spans="1:12" customFormat="1" ht="22.5" customHeight="1">
      <c r="A108" s="2229"/>
      <c r="B108" s="2252"/>
      <c r="C108" s="135" t="s">
        <v>54</v>
      </c>
      <c r="D108" s="129"/>
      <c r="E108" s="130"/>
      <c r="F108" s="147"/>
      <c r="G108" s="147"/>
      <c r="H108" s="147"/>
      <c r="I108" s="119"/>
      <c r="J108" s="147"/>
      <c r="K108" s="147"/>
      <c r="L108" s="2257"/>
    </row>
    <row r="109" spans="1:12" customFormat="1" ht="15">
      <c r="A109" s="2229"/>
      <c r="B109" s="2252"/>
      <c r="C109" s="120" t="s">
        <v>26</v>
      </c>
      <c r="D109" s="121"/>
      <c r="E109" s="122"/>
      <c r="F109" s="147"/>
      <c r="G109" s="147"/>
      <c r="H109" s="147"/>
      <c r="I109" s="119"/>
      <c r="J109" s="147"/>
      <c r="K109" s="147"/>
      <c r="L109" s="2257"/>
    </row>
    <row r="110" spans="1:12" customFormat="1" ht="15">
      <c r="A110" s="2229"/>
      <c r="B110" s="2252"/>
      <c r="C110" s="120" t="s">
        <v>27</v>
      </c>
      <c r="D110" s="121"/>
      <c r="E110" s="122"/>
      <c r="F110" s="147"/>
      <c r="G110" s="147"/>
      <c r="H110" s="147"/>
      <c r="I110" s="119"/>
      <c r="J110" s="147"/>
      <c r="K110" s="147"/>
      <c r="L110" s="2257"/>
    </row>
    <row r="111" spans="1:12" customFormat="1" ht="15">
      <c r="A111" s="2229"/>
      <c r="B111" s="2252"/>
      <c r="C111" s="136" t="s">
        <v>28</v>
      </c>
      <c r="D111" s="137"/>
      <c r="E111" s="138">
        <f>SUM(E112,E114,E115)</f>
        <v>0</v>
      </c>
      <c r="F111" s="138">
        <f>SUM(F112,F114,F115)</f>
        <v>12156000</v>
      </c>
      <c r="G111" s="138">
        <f>SUM(G112,G114,G115)</f>
        <v>0</v>
      </c>
      <c r="H111" s="138">
        <f>SUM(H112,H114,H115)</f>
        <v>0</v>
      </c>
      <c r="I111" s="119"/>
      <c r="J111" s="138">
        <f>SUM(J112,J114,J115)</f>
        <v>0</v>
      </c>
      <c r="K111" s="138">
        <f>SUM(K112,K114,K115)</f>
        <v>0</v>
      </c>
      <c r="L111" s="2257"/>
    </row>
    <row r="112" spans="1:12" customFormat="1" ht="15">
      <c r="A112" s="2229"/>
      <c r="B112" s="2252"/>
      <c r="C112" s="120" t="s">
        <v>29</v>
      </c>
      <c r="D112" s="121">
        <v>6490</v>
      </c>
      <c r="E112" s="122"/>
      <c r="F112" s="147">
        <v>12156000</v>
      </c>
      <c r="G112" s="147"/>
      <c r="H112" s="147"/>
      <c r="I112" s="119"/>
      <c r="J112" s="147"/>
      <c r="K112" s="147"/>
      <c r="L112" s="2257"/>
    </row>
    <row r="113" spans="1:12" customFormat="1" ht="22.5">
      <c r="A113" s="2229"/>
      <c r="B113" s="2252"/>
      <c r="C113" s="135" t="s">
        <v>87</v>
      </c>
      <c r="D113" s="129"/>
      <c r="E113" s="130"/>
      <c r="F113" s="147"/>
      <c r="G113" s="147"/>
      <c r="H113" s="147"/>
      <c r="I113" s="119"/>
      <c r="J113" s="147"/>
      <c r="K113" s="147"/>
      <c r="L113" s="2257"/>
    </row>
    <row r="114" spans="1:12" customFormat="1" ht="15">
      <c r="A114" s="2229"/>
      <c r="B114" s="2252"/>
      <c r="C114" s="120" t="s">
        <v>31</v>
      </c>
      <c r="D114" s="121"/>
      <c r="E114" s="122"/>
      <c r="F114" s="147"/>
      <c r="G114" s="147"/>
      <c r="H114" s="147"/>
      <c r="I114" s="119"/>
      <c r="J114" s="147"/>
      <c r="K114" s="147"/>
      <c r="L114" s="2257"/>
    </row>
    <row r="115" spans="1:12" customFormat="1" ht="15">
      <c r="A115" s="2229"/>
      <c r="B115" s="2252"/>
      <c r="C115" s="120" t="s">
        <v>32</v>
      </c>
      <c r="D115" s="121"/>
      <c r="E115" s="122"/>
      <c r="F115" s="147"/>
      <c r="G115" s="147"/>
      <c r="H115" s="147"/>
      <c r="I115" s="119"/>
      <c r="J115" s="147"/>
      <c r="K115" s="147"/>
      <c r="L115" s="2257"/>
    </row>
    <row r="116" spans="1:12" customFormat="1" ht="15">
      <c r="A116" s="330" t="s">
        <v>65</v>
      </c>
      <c r="B116" s="143"/>
      <c r="C116" s="144" t="s">
        <v>66</v>
      </c>
      <c r="D116" s="143"/>
      <c r="E116" s="145">
        <f>SUM(E117)</f>
        <v>443000</v>
      </c>
      <c r="F116" s="145">
        <f>SUM(F117)</f>
        <v>443000</v>
      </c>
      <c r="G116" s="145" t="e">
        <f>SUM(G117,#REF!)</f>
        <v>#REF!</v>
      </c>
      <c r="H116" s="145">
        <f>SUM(H117)</f>
        <v>449750</v>
      </c>
      <c r="I116" s="146">
        <f t="shared" ref="I116:I126" si="13">H116/E116</f>
        <v>1.015237020316027</v>
      </c>
      <c r="J116" s="145">
        <f>SUM(J117)</f>
        <v>-51000</v>
      </c>
      <c r="K116" s="145">
        <f>SUM(K117)</f>
        <v>398750</v>
      </c>
      <c r="L116" s="331"/>
    </row>
    <row r="117" spans="1:12" customFormat="1" ht="15">
      <c r="A117" s="2260"/>
      <c r="B117" s="2231" t="s">
        <v>94</v>
      </c>
      <c r="C117" s="142" t="s">
        <v>120</v>
      </c>
      <c r="D117" s="113"/>
      <c r="E117" s="141">
        <f>SUM(E118,E133)</f>
        <v>443000</v>
      </c>
      <c r="F117" s="141">
        <f>SUM(F118,F133)</f>
        <v>443000</v>
      </c>
      <c r="G117" s="141" t="e">
        <f>SUM(G118,G133)</f>
        <v>#REF!</v>
      </c>
      <c r="H117" s="141">
        <f>SUM(H118,H133)</f>
        <v>449750</v>
      </c>
      <c r="I117" s="115">
        <f t="shared" si="13"/>
        <v>1.015237020316027</v>
      </c>
      <c r="J117" s="141">
        <f>SUM(J118,J133)</f>
        <v>-51000</v>
      </c>
      <c r="K117" s="141">
        <f>SUM(K118,K133)</f>
        <v>398750</v>
      </c>
      <c r="L117" s="2246" t="s">
        <v>195</v>
      </c>
    </row>
    <row r="118" spans="1:12" customFormat="1" ht="15.75" customHeight="1">
      <c r="A118" s="2260"/>
      <c r="B118" s="2231"/>
      <c r="C118" s="117" t="s">
        <v>18</v>
      </c>
      <c r="D118" s="111"/>
      <c r="E118" s="118">
        <f>SUM(E119,E128,E129,E130,E131,E132)</f>
        <v>443000</v>
      </c>
      <c r="F118" s="118">
        <f>SUM(F119,F128,F129,F130,F131,F132)</f>
        <v>443000</v>
      </c>
      <c r="G118" s="118" t="e">
        <f>SUM(G119,G128,G129,G130,G131,G132)</f>
        <v>#REF!</v>
      </c>
      <c r="H118" s="118">
        <f>SUM(H119,H128,H129,H130,H131,H132)</f>
        <v>449750</v>
      </c>
      <c r="I118" s="119">
        <f t="shared" si="13"/>
        <v>1.015237020316027</v>
      </c>
      <c r="J118" s="118">
        <f>SUM(J119,J128,J129,J130,J131,J132)</f>
        <v>-51000</v>
      </c>
      <c r="K118" s="118">
        <f>SUM(K119,K128,K129,K130,K131,K132)</f>
        <v>398750</v>
      </c>
      <c r="L118" s="2233"/>
    </row>
    <row r="119" spans="1:12" customFormat="1" ht="13.5" customHeight="1">
      <c r="A119" s="2260"/>
      <c r="B119" s="2231"/>
      <c r="C119" s="120" t="s">
        <v>19</v>
      </c>
      <c r="D119" s="121"/>
      <c r="E119" s="122">
        <f>SUM(E120,E124)</f>
        <v>443000</v>
      </c>
      <c r="F119" s="122">
        <f>SUM(F120,F124)</f>
        <v>443000</v>
      </c>
      <c r="G119" s="122">
        <f>SUM(G120,G124)</f>
        <v>0</v>
      </c>
      <c r="H119" s="122">
        <f>SUM(H120,H124)</f>
        <v>449750</v>
      </c>
      <c r="I119" s="123">
        <f t="shared" si="13"/>
        <v>1.015237020316027</v>
      </c>
      <c r="J119" s="122">
        <f>SUM(J120,J124)</f>
        <v>-51000</v>
      </c>
      <c r="K119" s="122">
        <f>SUM(K120,K124)</f>
        <v>398750</v>
      </c>
      <c r="L119" s="2233"/>
    </row>
    <row r="120" spans="1:12" customFormat="1" ht="15">
      <c r="A120" s="2260"/>
      <c r="B120" s="2231"/>
      <c r="C120" s="2249" t="s">
        <v>20</v>
      </c>
      <c r="D120" s="121" t="s">
        <v>22</v>
      </c>
      <c r="E120" s="122">
        <f>SUM(E121:E123)</f>
        <v>338000</v>
      </c>
      <c r="F120" s="122">
        <f>SUM(F121:F123)</f>
        <v>338000</v>
      </c>
      <c r="G120" s="122">
        <f>SUM(G121:G123)</f>
        <v>0</v>
      </c>
      <c r="H120" s="122">
        <f>SUM(H121:H123)</f>
        <v>338000</v>
      </c>
      <c r="I120" s="123">
        <f>H120/E120</f>
        <v>1</v>
      </c>
      <c r="J120" s="122">
        <f>SUM(J121:J123)</f>
        <v>-51000</v>
      </c>
      <c r="K120" s="122">
        <f>SUM(K121:K123)</f>
        <v>287000</v>
      </c>
      <c r="L120" s="2233"/>
    </row>
    <row r="121" spans="1:12" customFormat="1" ht="15">
      <c r="A121" s="2260"/>
      <c r="B121" s="2231"/>
      <c r="C121" s="2250"/>
      <c r="D121" s="124">
        <v>4010</v>
      </c>
      <c r="E121" s="125">
        <v>280780</v>
      </c>
      <c r="F121" s="125">
        <v>280780</v>
      </c>
      <c r="G121" s="126"/>
      <c r="H121" s="126">
        <v>280780</v>
      </c>
      <c r="I121" s="127">
        <f t="shared" si="13"/>
        <v>1</v>
      </c>
      <c r="J121" s="126">
        <v>-42370</v>
      </c>
      <c r="K121" s="126">
        <f>H121+J121</f>
        <v>238410</v>
      </c>
      <c r="L121" s="2233"/>
    </row>
    <row r="122" spans="1:12" customFormat="1" ht="15">
      <c r="A122" s="2260"/>
      <c r="B122" s="2231"/>
      <c r="C122" s="2250"/>
      <c r="D122" s="124">
        <v>4110</v>
      </c>
      <c r="E122" s="125">
        <v>50340</v>
      </c>
      <c r="F122" s="125">
        <v>50340</v>
      </c>
      <c r="G122" s="126"/>
      <c r="H122" s="126">
        <v>50340</v>
      </c>
      <c r="I122" s="127">
        <f t="shared" si="13"/>
        <v>1</v>
      </c>
      <c r="J122" s="126">
        <v>-7600</v>
      </c>
      <c r="K122" s="126">
        <f t="shared" ref="K122:K123" si="14">H122+J122</f>
        <v>42740</v>
      </c>
      <c r="L122" s="2233"/>
    </row>
    <row r="123" spans="1:12" customFormat="1" ht="15">
      <c r="A123" s="2260"/>
      <c r="B123" s="2231"/>
      <c r="C123" s="2250"/>
      <c r="D123" s="124">
        <v>4120</v>
      </c>
      <c r="E123" s="125">
        <v>6880</v>
      </c>
      <c r="F123" s="125">
        <v>6880</v>
      </c>
      <c r="G123" s="126"/>
      <c r="H123" s="126">
        <v>6880</v>
      </c>
      <c r="I123" s="127">
        <f t="shared" si="13"/>
        <v>1</v>
      </c>
      <c r="J123" s="126">
        <v>-1030</v>
      </c>
      <c r="K123" s="126">
        <f t="shared" si="14"/>
        <v>5850</v>
      </c>
      <c r="L123" s="2233"/>
    </row>
    <row r="124" spans="1:12" customFormat="1" ht="15" customHeight="1">
      <c r="A124" s="2260"/>
      <c r="B124" s="2231"/>
      <c r="C124" s="2265" t="s">
        <v>21</v>
      </c>
      <c r="D124" s="129" t="s">
        <v>22</v>
      </c>
      <c r="E124" s="130">
        <f>SUM(E125:E127)</f>
        <v>105000</v>
      </c>
      <c r="F124" s="130">
        <f>SUM(F125:F127)</f>
        <v>105000</v>
      </c>
      <c r="G124" s="130">
        <f>SUM(G125:G126)</f>
        <v>0</v>
      </c>
      <c r="H124" s="130">
        <f>SUM(H125:H127)</f>
        <v>111750</v>
      </c>
      <c r="I124" s="123">
        <f t="shared" si="13"/>
        <v>1.0642857142857143</v>
      </c>
      <c r="J124" s="130">
        <f>SUM(J125:J126)</f>
        <v>0</v>
      </c>
      <c r="K124" s="130">
        <f>SUM(K125:K127)</f>
        <v>111750</v>
      </c>
      <c r="L124" s="2233"/>
    </row>
    <row r="125" spans="1:12" customFormat="1" ht="15">
      <c r="A125" s="2260"/>
      <c r="B125" s="2231"/>
      <c r="C125" s="2266"/>
      <c r="D125" s="131">
        <v>4210</v>
      </c>
      <c r="E125" s="132"/>
      <c r="F125" s="132"/>
      <c r="G125" s="126"/>
      <c r="H125" s="126">
        <v>5750</v>
      </c>
      <c r="I125" s="127"/>
      <c r="J125" s="126"/>
      <c r="K125" s="126">
        <f>H125+J125</f>
        <v>5750</v>
      </c>
      <c r="L125" s="2233"/>
    </row>
    <row r="126" spans="1:12" customFormat="1" ht="15">
      <c r="A126" s="2260"/>
      <c r="B126" s="2231"/>
      <c r="C126" s="2266"/>
      <c r="D126" s="131">
        <v>4300</v>
      </c>
      <c r="E126" s="132">
        <v>105000</v>
      </c>
      <c r="F126" s="132">
        <v>105000</v>
      </c>
      <c r="G126" s="126"/>
      <c r="H126" s="126">
        <f>60000+36000</f>
        <v>96000</v>
      </c>
      <c r="I126" s="127">
        <f t="shared" si="13"/>
        <v>0.91428571428571426</v>
      </c>
      <c r="J126" s="126"/>
      <c r="K126" s="126">
        <f t="shared" ref="K126:K127" si="15">H126+J126</f>
        <v>96000</v>
      </c>
      <c r="L126" s="2233"/>
    </row>
    <row r="127" spans="1:12" customFormat="1" ht="15">
      <c r="A127" s="2260"/>
      <c r="B127" s="2231"/>
      <c r="C127" s="2267"/>
      <c r="D127" s="131">
        <v>4700</v>
      </c>
      <c r="E127" s="132"/>
      <c r="F127" s="132"/>
      <c r="G127" s="126"/>
      <c r="H127" s="126">
        <v>10000</v>
      </c>
      <c r="I127" s="127"/>
      <c r="J127" s="126"/>
      <c r="K127" s="126">
        <f t="shared" si="15"/>
        <v>10000</v>
      </c>
      <c r="L127" s="2233"/>
    </row>
    <row r="128" spans="1:12" customFormat="1" ht="15">
      <c r="A128" s="2260"/>
      <c r="B128" s="2231"/>
      <c r="C128" s="120" t="s">
        <v>23</v>
      </c>
      <c r="D128" s="121"/>
      <c r="E128" s="122"/>
      <c r="F128" s="122"/>
      <c r="G128" s="134"/>
      <c r="H128" s="134"/>
      <c r="I128" s="123"/>
      <c r="J128" s="134"/>
      <c r="K128" s="134"/>
      <c r="L128" s="2233"/>
    </row>
    <row r="129" spans="1:12" customFormat="1" ht="15">
      <c r="A129" s="2260"/>
      <c r="B129" s="2231"/>
      <c r="C129" s="120" t="s">
        <v>24</v>
      </c>
      <c r="D129" s="121"/>
      <c r="E129" s="122"/>
      <c r="F129" s="122"/>
      <c r="G129" s="134"/>
      <c r="H129" s="134"/>
      <c r="I129" s="123"/>
      <c r="J129" s="134"/>
      <c r="K129" s="134"/>
      <c r="L129" s="2233"/>
    </row>
    <row r="130" spans="1:12" customFormat="1" ht="25.5" customHeight="1">
      <c r="A130" s="2260"/>
      <c r="B130" s="2231"/>
      <c r="C130" s="148" t="s">
        <v>54</v>
      </c>
      <c r="D130" s="129"/>
      <c r="E130" s="130"/>
      <c r="F130" s="130"/>
      <c r="G130" s="130" t="e">
        <f>SUM(#REF!)</f>
        <v>#REF!</v>
      </c>
      <c r="H130" s="130"/>
      <c r="I130" s="123"/>
      <c r="J130" s="134"/>
      <c r="K130" s="134"/>
      <c r="L130" s="2233"/>
    </row>
    <row r="131" spans="1:12" customFormat="1" ht="15">
      <c r="A131" s="2260"/>
      <c r="B131" s="2231"/>
      <c r="C131" s="120" t="s">
        <v>26</v>
      </c>
      <c r="D131" s="121"/>
      <c r="E131" s="122"/>
      <c r="F131" s="122"/>
      <c r="G131" s="134"/>
      <c r="H131" s="134"/>
      <c r="I131" s="123"/>
      <c r="J131" s="134"/>
      <c r="K131" s="134"/>
      <c r="L131" s="2233"/>
    </row>
    <row r="132" spans="1:12" customFormat="1" ht="15">
      <c r="A132" s="2260"/>
      <c r="B132" s="2231"/>
      <c r="C132" s="120" t="s">
        <v>27</v>
      </c>
      <c r="D132" s="121"/>
      <c r="E132" s="122"/>
      <c r="F132" s="122"/>
      <c r="G132" s="134"/>
      <c r="H132" s="134"/>
      <c r="I132" s="123"/>
      <c r="J132" s="134"/>
      <c r="K132" s="134"/>
      <c r="L132" s="2233"/>
    </row>
    <row r="133" spans="1:12" customFormat="1" ht="18.75" customHeight="1">
      <c r="A133" s="2260"/>
      <c r="B133" s="2231"/>
      <c r="C133" s="136" t="s">
        <v>28</v>
      </c>
      <c r="D133" s="137"/>
      <c r="E133" s="138">
        <f>SUM(E134,E136,E137)</f>
        <v>0</v>
      </c>
      <c r="F133" s="138">
        <f>SUM(F134,F136,F137)</f>
        <v>0</v>
      </c>
      <c r="G133" s="138">
        <f>SUM(G134,G136,G137)</f>
        <v>0</v>
      </c>
      <c r="H133" s="138">
        <f>SUM(H134,H136,H137)</f>
        <v>0</v>
      </c>
      <c r="I133" s="119"/>
      <c r="J133" s="138">
        <f>SUM(J134,J136,J137)</f>
        <v>0</v>
      </c>
      <c r="K133" s="138">
        <f>SUM(K134,K136,K137)</f>
        <v>0</v>
      </c>
      <c r="L133" s="2233"/>
    </row>
    <row r="134" spans="1:12" customFormat="1" ht="15">
      <c r="A134" s="2260"/>
      <c r="B134" s="2231"/>
      <c r="C134" s="120" t="s">
        <v>29</v>
      </c>
      <c r="D134" s="121"/>
      <c r="E134" s="122"/>
      <c r="F134" s="122"/>
      <c r="G134" s="134"/>
      <c r="H134" s="134"/>
      <c r="I134" s="123"/>
      <c r="J134" s="134"/>
      <c r="K134" s="134"/>
      <c r="L134" s="2233"/>
    </row>
    <row r="135" spans="1:12" customFormat="1" ht="22.5">
      <c r="A135" s="2260"/>
      <c r="B135" s="2231"/>
      <c r="C135" s="135" t="s">
        <v>89</v>
      </c>
      <c r="D135" s="129"/>
      <c r="E135" s="130"/>
      <c r="F135" s="130"/>
      <c r="G135" s="134"/>
      <c r="H135" s="134"/>
      <c r="I135" s="123"/>
      <c r="J135" s="134"/>
      <c r="K135" s="134"/>
      <c r="L135" s="2233"/>
    </row>
    <row r="136" spans="1:12" customFormat="1" ht="16.5" customHeight="1">
      <c r="A136" s="2260"/>
      <c r="B136" s="2231"/>
      <c r="C136" s="120" t="s">
        <v>31</v>
      </c>
      <c r="D136" s="121"/>
      <c r="E136" s="122"/>
      <c r="F136" s="122"/>
      <c r="G136" s="134"/>
      <c r="H136" s="134"/>
      <c r="I136" s="123"/>
      <c r="J136" s="134"/>
      <c r="K136" s="134"/>
      <c r="L136" s="2233"/>
    </row>
    <row r="137" spans="1:12" customFormat="1" ht="15" customHeight="1" thickBot="1">
      <c r="A137" s="2261"/>
      <c r="B137" s="2232"/>
      <c r="C137" s="319" t="s">
        <v>32</v>
      </c>
      <c r="D137" s="320"/>
      <c r="E137" s="321"/>
      <c r="F137" s="321"/>
      <c r="G137" s="322"/>
      <c r="H137" s="322"/>
      <c r="I137" s="323"/>
      <c r="J137" s="322"/>
      <c r="K137" s="322"/>
      <c r="L137" s="2234"/>
    </row>
    <row r="138" spans="1:12" customFormat="1" ht="15.75" hidden="1" thickBot="1">
      <c r="A138" s="105" t="s">
        <v>95</v>
      </c>
      <c r="B138" s="106"/>
      <c r="C138" s="107" t="s">
        <v>96</v>
      </c>
      <c r="D138" s="106"/>
      <c r="E138" s="108">
        <f>SUM(E139)</f>
        <v>0</v>
      </c>
      <c r="F138" s="108">
        <f>SUM(F139)</f>
        <v>0</v>
      </c>
      <c r="G138" s="108" t="e">
        <f>SUM(G139)</f>
        <v>#REF!</v>
      </c>
      <c r="H138" s="108">
        <f>SUM(H139)</f>
        <v>0</v>
      </c>
      <c r="I138" s="109" t="e">
        <f>H138/E138</f>
        <v>#DIV/0!</v>
      </c>
      <c r="J138" s="108">
        <f>SUM(J139)</f>
        <v>0</v>
      </c>
      <c r="K138" s="108">
        <f>SUM(K139)</f>
        <v>0</v>
      </c>
      <c r="L138" s="238"/>
    </row>
    <row r="139" spans="1:12" customFormat="1" ht="15.75" hidden="1" thickBot="1">
      <c r="A139" s="2262"/>
      <c r="B139" s="2231" t="s">
        <v>97</v>
      </c>
      <c r="C139" s="112" t="s">
        <v>17</v>
      </c>
      <c r="D139" s="113"/>
      <c r="E139" s="114">
        <f>SUM(E140,E149)</f>
        <v>0</v>
      </c>
      <c r="F139" s="114">
        <f>SUM(F140,F149)</f>
        <v>0</v>
      </c>
      <c r="G139" s="114" t="e">
        <f>SUM(G140,G149)</f>
        <v>#REF!</v>
      </c>
      <c r="H139" s="114">
        <f>SUM(H140,H149)</f>
        <v>0</v>
      </c>
      <c r="I139" s="115" t="e">
        <f>H139/E139</f>
        <v>#DIV/0!</v>
      </c>
      <c r="J139" s="114">
        <f>SUM(J140,J149)</f>
        <v>0</v>
      </c>
      <c r="K139" s="114">
        <f>SUM(K140,K149)</f>
        <v>0</v>
      </c>
      <c r="L139" s="2258"/>
    </row>
    <row r="140" spans="1:12" customFormat="1" ht="15.75" hidden="1" thickBot="1">
      <c r="A140" s="2262"/>
      <c r="B140" s="2231"/>
      <c r="C140" s="117" t="s">
        <v>18</v>
      </c>
      <c r="D140" s="111"/>
      <c r="E140" s="118">
        <f>SUM(E141,E144,E145,E146,E147,E148)</f>
        <v>0</v>
      </c>
      <c r="F140" s="118">
        <f>SUM(F141,F144,F145,F146,F147,F148)</f>
        <v>0</v>
      </c>
      <c r="G140" s="118" t="e">
        <f>SUM(G141,G144,G145,G146,G147,G148)</f>
        <v>#REF!</v>
      </c>
      <c r="H140" s="118">
        <f>SUM(H141,H144,H145,H146,H147,H148)</f>
        <v>0</v>
      </c>
      <c r="I140" s="119"/>
      <c r="J140" s="118">
        <f>SUM(J141,J144,J145,J146,J147,J148)</f>
        <v>0</v>
      </c>
      <c r="K140" s="118">
        <f>SUM(K141,K144,K145,K146,K147,K148)</f>
        <v>0</v>
      </c>
      <c r="L140" s="2258"/>
    </row>
    <row r="141" spans="1:12" customFormat="1" ht="15.75" hidden="1" thickBot="1">
      <c r="A141" s="2262"/>
      <c r="B141" s="2231"/>
      <c r="C141" s="120" t="s">
        <v>19</v>
      </c>
      <c r="D141" s="121"/>
      <c r="E141" s="122"/>
      <c r="F141" s="122"/>
      <c r="G141" s="122" t="e">
        <f>SUM(G142,G143)</f>
        <v>#REF!</v>
      </c>
      <c r="H141" s="122"/>
      <c r="I141" s="123"/>
      <c r="J141" s="122"/>
      <c r="K141" s="122"/>
      <c r="L141" s="2258"/>
    </row>
    <row r="142" spans="1:12" customFormat="1" ht="15.75" hidden="1" thickBot="1">
      <c r="A142" s="2262"/>
      <c r="B142" s="2231"/>
      <c r="C142" s="120" t="s">
        <v>20</v>
      </c>
      <c r="D142" s="121"/>
      <c r="E142" s="120"/>
      <c r="F142" s="134"/>
      <c r="G142" s="134"/>
      <c r="H142" s="134"/>
      <c r="I142" s="123"/>
      <c r="J142" s="134"/>
      <c r="K142" s="134"/>
      <c r="L142" s="2258"/>
    </row>
    <row r="143" spans="1:12" customFormat="1" ht="12.75" hidden="1" customHeight="1">
      <c r="A143" s="2262"/>
      <c r="B143" s="2231"/>
      <c r="C143" s="148" t="s">
        <v>21</v>
      </c>
      <c r="D143" s="129"/>
      <c r="E143" s="130"/>
      <c r="F143" s="130"/>
      <c r="G143" s="130" t="e">
        <f>SUM(#REF!)</f>
        <v>#REF!</v>
      </c>
      <c r="H143" s="130"/>
      <c r="I143" s="123"/>
      <c r="J143" s="130"/>
      <c r="K143" s="130"/>
      <c r="L143" s="2258"/>
    </row>
    <row r="144" spans="1:12" customFormat="1" ht="15.75" hidden="1" thickBot="1">
      <c r="A144" s="2262"/>
      <c r="B144" s="2231"/>
      <c r="C144" s="120" t="s">
        <v>23</v>
      </c>
      <c r="D144" s="121"/>
      <c r="E144" s="120"/>
      <c r="F144" s="134"/>
      <c r="G144" s="134"/>
      <c r="H144" s="134"/>
      <c r="I144" s="123"/>
      <c r="J144" s="134"/>
      <c r="K144" s="134"/>
      <c r="L144" s="2258"/>
    </row>
    <row r="145" spans="1:12" customFormat="1" ht="15.75" hidden="1" thickBot="1">
      <c r="A145" s="2262"/>
      <c r="B145" s="2231"/>
      <c r="C145" s="120" t="s">
        <v>24</v>
      </c>
      <c r="D145" s="121"/>
      <c r="E145" s="120"/>
      <c r="F145" s="134"/>
      <c r="G145" s="134"/>
      <c r="H145" s="134"/>
      <c r="I145" s="123"/>
      <c r="J145" s="134"/>
      <c r="K145" s="134"/>
      <c r="L145" s="2258"/>
    </row>
    <row r="146" spans="1:12" customFormat="1" ht="24.75" hidden="1" customHeight="1">
      <c r="A146" s="2262"/>
      <c r="B146" s="2231"/>
      <c r="C146" s="135" t="s">
        <v>90</v>
      </c>
      <c r="D146" s="129"/>
      <c r="E146" s="135"/>
      <c r="F146" s="134"/>
      <c r="G146" s="134"/>
      <c r="H146" s="134"/>
      <c r="I146" s="123"/>
      <c r="J146" s="134"/>
      <c r="K146" s="134"/>
      <c r="L146" s="2258"/>
    </row>
    <row r="147" spans="1:12" customFormat="1" ht="15.75" hidden="1" thickBot="1">
      <c r="A147" s="2262"/>
      <c r="B147" s="2231"/>
      <c r="C147" s="120" t="s">
        <v>26</v>
      </c>
      <c r="D147" s="121"/>
      <c r="E147" s="120"/>
      <c r="F147" s="134"/>
      <c r="G147" s="134"/>
      <c r="H147" s="134"/>
      <c r="I147" s="123"/>
      <c r="J147" s="134"/>
      <c r="K147" s="134"/>
      <c r="L147" s="2258"/>
    </row>
    <row r="148" spans="1:12" customFormat="1" ht="15.75" hidden="1" thickBot="1">
      <c r="A148" s="2262"/>
      <c r="B148" s="2231"/>
      <c r="C148" s="120" t="s">
        <v>27</v>
      </c>
      <c r="D148" s="121"/>
      <c r="E148" s="120"/>
      <c r="F148" s="134"/>
      <c r="G148" s="134"/>
      <c r="H148" s="134"/>
      <c r="I148" s="123"/>
      <c r="J148" s="134"/>
      <c r="K148" s="134"/>
      <c r="L148" s="2258"/>
    </row>
    <row r="149" spans="1:12" customFormat="1" ht="15.75" hidden="1" thickBot="1">
      <c r="A149" s="2262"/>
      <c r="B149" s="2231"/>
      <c r="C149" s="136" t="s">
        <v>28</v>
      </c>
      <c r="D149" s="137"/>
      <c r="E149" s="138">
        <f>SUM(E150,E158,E159)</f>
        <v>0</v>
      </c>
      <c r="F149" s="138">
        <f>SUM(F150,F158,F159)</f>
        <v>0</v>
      </c>
      <c r="G149" s="136">
        <f>SUM(G150,G158,G159)</f>
        <v>0</v>
      </c>
      <c r="H149" s="138">
        <f>SUM(H150,H158,H159)</f>
        <v>0</v>
      </c>
      <c r="I149" s="119" t="e">
        <f>H149/E149</f>
        <v>#DIV/0!</v>
      </c>
      <c r="J149" s="138">
        <f>SUM(J150,J158,J159)</f>
        <v>0</v>
      </c>
      <c r="K149" s="136">
        <f>SUM(K150,K158,K159)</f>
        <v>0</v>
      </c>
      <c r="L149" s="2258"/>
    </row>
    <row r="150" spans="1:12" customFormat="1" ht="15.75" hidden="1" thickBot="1">
      <c r="A150" s="2262"/>
      <c r="B150" s="2231"/>
      <c r="C150" s="2248" t="s">
        <v>29</v>
      </c>
      <c r="D150" s="121" t="s">
        <v>22</v>
      </c>
      <c r="E150" s="122">
        <f>SUM(E151:E153)</f>
        <v>0</v>
      </c>
      <c r="F150" s="122">
        <f t="shared" ref="F150:H150" si="16">SUM(F151:F153)</f>
        <v>0</v>
      </c>
      <c r="G150" s="122">
        <f t="shared" si="16"/>
        <v>0</v>
      </c>
      <c r="H150" s="122">
        <f t="shared" si="16"/>
        <v>0</v>
      </c>
      <c r="I150" s="123" t="e">
        <f t="shared" ref="I150:I157" si="17">H150/E150</f>
        <v>#DIV/0!</v>
      </c>
      <c r="J150" s="134">
        <f>SUM(J152:J153)</f>
        <v>0</v>
      </c>
      <c r="K150" s="134">
        <f>SUM(K152:K153)</f>
        <v>0</v>
      </c>
      <c r="L150" s="2258"/>
    </row>
    <row r="151" spans="1:12" customFormat="1" ht="15.75" hidden="1" thickBot="1">
      <c r="A151" s="2262"/>
      <c r="B151" s="2231"/>
      <c r="C151" s="2248"/>
      <c r="D151" s="124">
        <v>6050</v>
      </c>
      <c r="E151" s="125"/>
      <c r="F151" s="126"/>
      <c r="G151" s="126"/>
      <c r="H151" s="126"/>
      <c r="I151" s="123"/>
      <c r="J151" s="134"/>
      <c r="K151" s="134"/>
      <c r="L151" s="2258"/>
    </row>
    <row r="152" spans="1:12" customFormat="1" ht="15.75" hidden="1" thickBot="1">
      <c r="A152" s="2262"/>
      <c r="B152" s="2231"/>
      <c r="C152" s="2248"/>
      <c r="D152" s="124">
        <v>6057</v>
      </c>
      <c r="E152" s="125"/>
      <c r="F152" s="126"/>
      <c r="G152" s="126"/>
      <c r="H152" s="126"/>
      <c r="I152" s="127" t="e">
        <f t="shared" si="17"/>
        <v>#DIV/0!</v>
      </c>
      <c r="J152" s="126"/>
      <c r="K152" s="126"/>
      <c r="L152" s="2258"/>
    </row>
    <row r="153" spans="1:12" customFormat="1" ht="15.75" hidden="1" thickBot="1">
      <c r="A153" s="2262"/>
      <c r="B153" s="2231"/>
      <c r="C153" s="2248"/>
      <c r="D153" s="124">
        <v>6059</v>
      </c>
      <c r="E153" s="125"/>
      <c r="F153" s="126"/>
      <c r="G153" s="126"/>
      <c r="H153" s="126"/>
      <c r="I153" s="127" t="e">
        <f t="shared" si="17"/>
        <v>#DIV/0!</v>
      </c>
      <c r="J153" s="126"/>
      <c r="K153" s="126"/>
      <c r="L153" s="2258"/>
    </row>
    <row r="154" spans="1:12" customFormat="1" ht="15.75" hidden="1" thickBot="1">
      <c r="A154" s="2262"/>
      <c r="B154" s="2231"/>
      <c r="C154" s="2242" t="s">
        <v>87</v>
      </c>
      <c r="D154" s="129" t="s">
        <v>22</v>
      </c>
      <c r="E154" s="130">
        <f>SUM(E155:E157)</f>
        <v>0</v>
      </c>
      <c r="F154" s="130">
        <f t="shared" ref="F154:H154" si="18">SUM(F155:F157)</f>
        <v>0</v>
      </c>
      <c r="G154" s="130">
        <f t="shared" si="18"/>
        <v>0</v>
      </c>
      <c r="H154" s="130">
        <f t="shared" si="18"/>
        <v>0</v>
      </c>
      <c r="I154" s="123" t="e">
        <f t="shared" si="17"/>
        <v>#DIV/0!</v>
      </c>
      <c r="J154" s="134">
        <f>SUM(J156:J157)</f>
        <v>0</v>
      </c>
      <c r="K154" s="134">
        <f>SUM(K156:K157)</f>
        <v>0</v>
      </c>
      <c r="L154" s="2258"/>
    </row>
    <row r="155" spans="1:12" s="240" customFormat="1" ht="15.75" hidden="1" thickBot="1">
      <c r="A155" s="2262"/>
      <c r="B155" s="2231"/>
      <c r="C155" s="2242"/>
      <c r="D155" s="131">
        <v>6050</v>
      </c>
      <c r="E155" s="132"/>
      <c r="F155" s="132"/>
      <c r="G155" s="132"/>
      <c r="H155" s="132"/>
      <c r="I155" s="127"/>
      <c r="J155" s="126"/>
      <c r="K155" s="126"/>
      <c r="L155" s="2258"/>
    </row>
    <row r="156" spans="1:12" customFormat="1" ht="15.75" hidden="1" thickBot="1">
      <c r="A156" s="2262"/>
      <c r="B156" s="2231"/>
      <c r="C156" s="2242"/>
      <c r="D156" s="131">
        <v>6057</v>
      </c>
      <c r="E156" s="132"/>
      <c r="F156" s="126"/>
      <c r="G156" s="126"/>
      <c r="H156" s="126"/>
      <c r="I156" s="127" t="e">
        <f t="shared" si="17"/>
        <v>#DIV/0!</v>
      </c>
      <c r="J156" s="126"/>
      <c r="K156" s="126"/>
      <c r="L156" s="2258"/>
    </row>
    <row r="157" spans="1:12" customFormat="1" ht="15.75" hidden="1" thickBot="1">
      <c r="A157" s="2262"/>
      <c r="B157" s="2231"/>
      <c r="C157" s="2242"/>
      <c r="D157" s="131">
        <v>6059</v>
      </c>
      <c r="E157" s="132"/>
      <c r="F157" s="126"/>
      <c r="G157" s="126"/>
      <c r="H157" s="126"/>
      <c r="I157" s="127" t="e">
        <f t="shared" si="17"/>
        <v>#DIV/0!</v>
      </c>
      <c r="J157" s="126"/>
      <c r="K157" s="126"/>
      <c r="L157" s="2258"/>
    </row>
    <row r="158" spans="1:12" customFormat="1" ht="15.75" hidden="1" thickBot="1">
      <c r="A158" s="2262"/>
      <c r="B158" s="2231"/>
      <c r="C158" s="120" t="s">
        <v>31</v>
      </c>
      <c r="D158" s="121"/>
      <c r="E158" s="120"/>
      <c r="F158" s="134"/>
      <c r="G158" s="134"/>
      <c r="H158" s="134"/>
      <c r="I158" s="123"/>
      <c r="J158" s="134"/>
      <c r="K158" s="134"/>
      <c r="L158" s="2258"/>
    </row>
    <row r="159" spans="1:12" customFormat="1" ht="15.75" hidden="1" thickBot="1">
      <c r="A159" s="2263"/>
      <c r="B159" s="2264"/>
      <c r="C159" s="149" t="s">
        <v>32</v>
      </c>
      <c r="D159" s="332"/>
      <c r="E159" s="149"/>
      <c r="F159" s="150"/>
      <c r="G159" s="150"/>
      <c r="H159" s="150"/>
      <c r="I159" s="333"/>
      <c r="J159" s="150"/>
      <c r="K159" s="150"/>
      <c r="L159" s="2259"/>
    </row>
    <row r="160" spans="1:12" customFormat="1" ht="15">
      <c r="A160" s="313" t="s">
        <v>14</v>
      </c>
      <c r="B160" s="314"/>
      <c r="C160" s="315" t="s">
        <v>15</v>
      </c>
      <c r="D160" s="314"/>
      <c r="E160" s="316">
        <f>SUM(E194,E161)</f>
        <v>980213</v>
      </c>
      <c r="F160" s="316">
        <f>SUM(F194,F161)</f>
        <v>1005213</v>
      </c>
      <c r="G160" s="316">
        <f>SUM(G194,G161)</f>
        <v>0</v>
      </c>
      <c r="H160" s="316">
        <f>SUM(H194,H161)</f>
        <v>1125595</v>
      </c>
      <c r="I160" s="317">
        <f>H160/E160</f>
        <v>1.1483167434016892</v>
      </c>
      <c r="J160" s="316">
        <f>J161+J194</f>
        <v>113000</v>
      </c>
      <c r="K160" s="316">
        <f>SUM(K194,K161)</f>
        <v>1238595</v>
      </c>
      <c r="L160" s="318"/>
    </row>
    <row r="161" spans="1:12" customFormat="1" ht="15">
      <c r="A161" s="2229"/>
      <c r="B161" s="2231" t="s">
        <v>114</v>
      </c>
      <c r="C161" s="112" t="s">
        <v>106</v>
      </c>
      <c r="D161" s="113"/>
      <c r="E161" s="114">
        <f>E162+E189</f>
        <v>746560</v>
      </c>
      <c r="F161" s="114">
        <f>F162+F189</f>
        <v>746560</v>
      </c>
      <c r="G161" s="114">
        <f>G162+G189</f>
        <v>0</v>
      </c>
      <c r="H161" s="114">
        <f>H162+H189</f>
        <v>856894</v>
      </c>
      <c r="I161" s="115">
        <f>H161/E161</f>
        <v>1.1477898628375482</v>
      </c>
      <c r="J161" s="114">
        <f>J162+J189</f>
        <v>113000</v>
      </c>
      <c r="K161" s="114">
        <f>K162+K189</f>
        <v>969894</v>
      </c>
      <c r="L161" s="2233" t="s">
        <v>187</v>
      </c>
    </row>
    <row r="162" spans="1:12" customFormat="1" ht="15.75" customHeight="1">
      <c r="A162" s="2229"/>
      <c r="B162" s="2231"/>
      <c r="C162" s="117" t="s">
        <v>18</v>
      </c>
      <c r="D162" s="111"/>
      <c r="E162" s="118">
        <f>SUM(E163,E184,E185,E186,E187,E188)</f>
        <v>713560</v>
      </c>
      <c r="F162" s="118">
        <f>SUM(F163,F184,F185,F186,F187,F188)</f>
        <v>713560</v>
      </c>
      <c r="G162" s="118">
        <f>SUM(G163,G184,G185,G186,G187,G188)</f>
        <v>0</v>
      </c>
      <c r="H162" s="118">
        <f>SUM(H163,H184,H185,H186,H187,H188)</f>
        <v>820594</v>
      </c>
      <c r="I162" s="119">
        <f t="shared" ref="I162:I163" si="19">H162/E162</f>
        <v>1.1499999999999999</v>
      </c>
      <c r="J162" s="118">
        <f>SUM(J163,J184,J185,J186,J187,J188)</f>
        <v>113000</v>
      </c>
      <c r="K162" s="118">
        <f>SUM(K163,K184,K185,K186,K187,K188)</f>
        <v>933594</v>
      </c>
      <c r="L162" s="2233"/>
    </row>
    <row r="163" spans="1:12" customFormat="1" ht="13.5" customHeight="1">
      <c r="A163" s="2229"/>
      <c r="B163" s="2231"/>
      <c r="C163" s="120" t="s">
        <v>19</v>
      </c>
      <c r="D163" s="121"/>
      <c r="E163" s="122">
        <f>SUM(E164,E171)</f>
        <v>712660</v>
      </c>
      <c r="F163" s="122">
        <f>SUM(F164,F171)</f>
        <v>712660</v>
      </c>
      <c r="G163" s="122">
        <f>SUM(G164,G171)</f>
        <v>0</v>
      </c>
      <c r="H163" s="122">
        <f>SUM(H164,H171)</f>
        <v>819594</v>
      </c>
      <c r="I163" s="123">
        <f t="shared" si="19"/>
        <v>1.1500491117784077</v>
      </c>
      <c r="J163" s="122">
        <f>SUM(J164,J171)</f>
        <v>113000</v>
      </c>
      <c r="K163" s="122">
        <f>SUM(K164,K171)</f>
        <v>932594</v>
      </c>
      <c r="L163" s="2233"/>
    </row>
    <row r="164" spans="1:12" customFormat="1" ht="15">
      <c r="A164" s="2229"/>
      <c r="B164" s="2231"/>
      <c r="C164" s="2249" t="s">
        <v>20</v>
      </c>
      <c r="D164" s="121" t="s">
        <v>22</v>
      </c>
      <c r="E164" s="122">
        <f>SUM(E165:E170)</f>
        <v>498598</v>
      </c>
      <c r="F164" s="122">
        <f>SUM(F165:F170)</f>
        <v>498598</v>
      </c>
      <c r="G164" s="122">
        <f>SUM(G165:G169)</f>
        <v>0</v>
      </c>
      <c r="H164" s="122">
        <f>SUM(H165:H170)</f>
        <v>573388</v>
      </c>
      <c r="I164" s="123">
        <f>H164/E164</f>
        <v>1.1500006016871307</v>
      </c>
      <c r="J164" s="122">
        <f>SUM(J165:J170)</f>
        <v>113000</v>
      </c>
      <c r="K164" s="122">
        <f>SUM(K165:K170)</f>
        <v>686388</v>
      </c>
      <c r="L164" s="2233"/>
    </row>
    <row r="165" spans="1:12" customFormat="1" ht="15">
      <c r="A165" s="2229"/>
      <c r="B165" s="2231"/>
      <c r="C165" s="2250"/>
      <c r="D165" s="124">
        <v>4010</v>
      </c>
      <c r="E165" s="125">
        <v>347841</v>
      </c>
      <c r="F165" s="125">
        <v>347841</v>
      </c>
      <c r="G165" s="126"/>
      <c r="H165" s="126">
        <v>407290</v>
      </c>
      <c r="I165" s="127">
        <f t="shared" ref="I165:I170" si="20">H165/E165</f>
        <v>1.1709085472960348</v>
      </c>
      <c r="J165" s="126">
        <f>54020+42370</f>
        <v>96390</v>
      </c>
      <c r="K165" s="126">
        <f>H165+J165</f>
        <v>503680</v>
      </c>
      <c r="L165" s="2233"/>
    </row>
    <row r="166" spans="1:12" customFormat="1" ht="12.75" customHeight="1">
      <c r="A166" s="2229"/>
      <c r="B166" s="2231"/>
      <c r="C166" s="2250"/>
      <c r="D166" s="124">
        <v>4040</v>
      </c>
      <c r="E166" s="125">
        <v>45710</v>
      </c>
      <c r="F166" s="125">
        <v>45710</v>
      </c>
      <c r="G166" s="126"/>
      <c r="H166" s="126">
        <v>48370</v>
      </c>
      <c r="I166" s="127">
        <f t="shared" si="20"/>
        <v>1.0581929555895866</v>
      </c>
      <c r="J166" s="126">
        <v>2200</v>
      </c>
      <c r="K166" s="126">
        <f t="shared" ref="K166:K170" si="21">H166+J166</f>
        <v>50570</v>
      </c>
      <c r="L166" s="2233"/>
    </row>
    <row r="167" spans="1:12" customFormat="1" ht="15">
      <c r="A167" s="2229"/>
      <c r="B167" s="2231"/>
      <c r="C167" s="2250"/>
      <c r="D167" s="124">
        <v>4110</v>
      </c>
      <c r="E167" s="125">
        <v>70568</v>
      </c>
      <c r="F167" s="125">
        <v>70568</v>
      </c>
      <c r="G167" s="126"/>
      <c r="H167" s="126">
        <v>81700</v>
      </c>
      <c r="I167" s="127">
        <f t="shared" si="20"/>
        <v>1.1577485545856478</v>
      </c>
      <c r="J167" s="126">
        <f>5040+7600</f>
        <v>12640</v>
      </c>
      <c r="K167" s="126">
        <f t="shared" si="21"/>
        <v>94340</v>
      </c>
      <c r="L167" s="2233"/>
    </row>
    <row r="168" spans="1:12" customFormat="1" ht="15">
      <c r="A168" s="2229"/>
      <c r="B168" s="2231"/>
      <c r="C168" s="2250"/>
      <c r="D168" s="124">
        <v>4120</v>
      </c>
      <c r="E168" s="125">
        <v>4863</v>
      </c>
      <c r="F168" s="125">
        <v>4863</v>
      </c>
      <c r="G168" s="126"/>
      <c r="H168" s="126">
        <v>5168</v>
      </c>
      <c r="I168" s="127">
        <f t="shared" si="20"/>
        <v>1.062718486530948</v>
      </c>
      <c r="J168" s="126">
        <f>530+1030</f>
        <v>1560</v>
      </c>
      <c r="K168" s="126">
        <f t="shared" si="21"/>
        <v>6728</v>
      </c>
      <c r="L168" s="2233"/>
    </row>
    <row r="169" spans="1:12" customFormat="1" ht="15">
      <c r="A169" s="2229"/>
      <c r="B169" s="2231"/>
      <c r="C169" s="2250"/>
      <c r="D169" s="124">
        <v>4170</v>
      </c>
      <c r="E169" s="125">
        <v>19500</v>
      </c>
      <c r="F169" s="125">
        <v>19500</v>
      </c>
      <c r="G169" s="126"/>
      <c r="H169" s="126">
        <v>20000</v>
      </c>
      <c r="I169" s="127">
        <f t="shared" si="20"/>
        <v>1.0256410256410255</v>
      </c>
      <c r="J169" s="126"/>
      <c r="K169" s="126">
        <f t="shared" si="21"/>
        <v>20000</v>
      </c>
      <c r="L169" s="2233"/>
    </row>
    <row r="170" spans="1:12" customFormat="1" ht="15">
      <c r="A170" s="2229"/>
      <c r="B170" s="2231"/>
      <c r="C170" s="2251"/>
      <c r="D170" s="124">
        <v>4710</v>
      </c>
      <c r="E170" s="125">
        <v>10116</v>
      </c>
      <c r="F170" s="125">
        <v>10116</v>
      </c>
      <c r="G170" s="126"/>
      <c r="H170" s="126">
        <v>10860</v>
      </c>
      <c r="I170" s="127">
        <f t="shared" si="20"/>
        <v>1.0735468564650059</v>
      </c>
      <c r="J170" s="126">
        <v>210</v>
      </c>
      <c r="K170" s="126">
        <f t="shared" si="21"/>
        <v>11070</v>
      </c>
      <c r="L170" s="2233"/>
    </row>
    <row r="171" spans="1:12" customFormat="1" ht="15">
      <c r="A171" s="2229"/>
      <c r="B171" s="2231"/>
      <c r="C171" s="2242" t="s">
        <v>21</v>
      </c>
      <c r="D171" s="129" t="s">
        <v>22</v>
      </c>
      <c r="E171" s="130">
        <f>SUM(E172:E183)</f>
        <v>214062</v>
      </c>
      <c r="F171" s="130">
        <f>SUM(F172:F183)</f>
        <v>214062</v>
      </c>
      <c r="G171" s="130">
        <f>SUM(G172:G183)</f>
        <v>0</v>
      </c>
      <c r="H171" s="130">
        <f>SUM(H172:H183)</f>
        <v>246206</v>
      </c>
      <c r="I171" s="123">
        <f t="shared" ref="I171:I183" si="22">H171/E171</f>
        <v>1.1501621025684148</v>
      </c>
      <c r="J171" s="130">
        <f>SUM(J172:J183)</f>
        <v>0</v>
      </c>
      <c r="K171" s="130">
        <f>SUM(K172:K183)</f>
        <v>246206</v>
      </c>
      <c r="L171" s="2233"/>
    </row>
    <row r="172" spans="1:12" customFormat="1" ht="15">
      <c r="A172" s="2229"/>
      <c r="B172" s="2231"/>
      <c r="C172" s="2242"/>
      <c r="D172" s="131">
        <v>4210</v>
      </c>
      <c r="E172" s="132">
        <v>39613</v>
      </c>
      <c r="F172" s="132">
        <v>39613</v>
      </c>
      <c r="G172" s="126"/>
      <c r="H172" s="126">
        <v>64740</v>
      </c>
      <c r="I172" s="127">
        <f t="shared" si="22"/>
        <v>1.634311968293237</v>
      </c>
      <c r="J172" s="126"/>
      <c r="K172" s="126">
        <f>H172+J172</f>
        <v>64740</v>
      </c>
      <c r="L172" s="2233"/>
    </row>
    <row r="173" spans="1:12" customFormat="1" ht="15">
      <c r="A173" s="2229"/>
      <c r="B173" s="2231"/>
      <c r="C173" s="2242"/>
      <c r="D173" s="131">
        <v>4220</v>
      </c>
      <c r="E173" s="132">
        <v>500</v>
      </c>
      <c r="F173" s="132">
        <v>500</v>
      </c>
      <c r="G173" s="126"/>
      <c r="H173" s="126">
        <v>500</v>
      </c>
      <c r="I173" s="127">
        <f t="shared" si="22"/>
        <v>1</v>
      </c>
      <c r="J173" s="126"/>
      <c r="K173" s="126">
        <f t="shared" ref="K173:K183" si="23">H173+J173</f>
        <v>500</v>
      </c>
      <c r="L173" s="2233"/>
    </row>
    <row r="174" spans="1:12" customFormat="1" ht="15">
      <c r="A174" s="2229"/>
      <c r="B174" s="2231"/>
      <c r="C174" s="2242"/>
      <c r="D174" s="131">
        <v>4260</v>
      </c>
      <c r="E174" s="132">
        <v>41000</v>
      </c>
      <c r="F174" s="132">
        <v>41000</v>
      </c>
      <c r="G174" s="126"/>
      <c r="H174" s="126">
        <v>59800</v>
      </c>
      <c r="I174" s="127">
        <f t="shared" si="22"/>
        <v>1.4585365853658536</v>
      </c>
      <c r="J174" s="126"/>
      <c r="K174" s="126">
        <f t="shared" si="23"/>
        <v>59800</v>
      </c>
      <c r="L174" s="2233"/>
    </row>
    <row r="175" spans="1:12" customFormat="1" ht="15">
      <c r="A175" s="2229"/>
      <c r="B175" s="2231"/>
      <c r="C175" s="2242"/>
      <c r="D175" s="131">
        <v>4270</v>
      </c>
      <c r="E175" s="132">
        <v>9687</v>
      </c>
      <c r="F175" s="132">
        <v>9687</v>
      </c>
      <c r="G175" s="126"/>
      <c r="H175" s="126">
        <v>6540</v>
      </c>
      <c r="I175" s="127">
        <f t="shared" si="22"/>
        <v>0.67513161969650048</v>
      </c>
      <c r="J175" s="126"/>
      <c r="K175" s="126">
        <f t="shared" si="23"/>
        <v>6540</v>
      </c>
      <c r="L175" s="2233"/>
    </row>
    <row r="176" spans="1:12" customFormat="1" ht="15">
      <c r="A176" s="2229"/>
      <c r="B176" s="2231"/>
      <c r="C176" s="2242"/>
      <c r="D176" s="131">
        <v>4280</v>
      </c>
      <c r="E176" s="132">
        <v>1500</v>
      </c>
      <c r="F176" s="132">
        <v>1500</v>
      </c>
      <c r="G176" s="126"/>
      <c r="H176" s="126">
        <v>1000</v>
      </c>
      <c r="I176" s="127">
        <f t="shared" si="22"/>
        <v>0.66666666666666663</v>
      </c>
      <c r="J176" s="126"/>
      <c r="K176" s="126">
        <f t="shared" si="23"/>
        <v>1000</v>
      </c>
      <c r="L176" s="2233"/>
    </row>
    <row r="177" spans="1:12" customFormat="1" ht="15">
      <c r="A177" s="2229"/>
      <c r="B177" s="2231"/>
      <c r="C177" s="2242"/>
      <c r="D177" s="131">
        <v>4300</v>
      </c>
      <c r="E177" s="132">
        <v>88526</v>
      </c>
      <c r="F177" s="132">
        <v>88526</v>
      </c>
      <c r="G177" s="126"/>
      <c r="H177" s="126">
        <v>81240</v>
      </c>
      <c r="I177" s="127">
        <f t="shared" si="22"/>
        <v>0.91769649594469427</v>
      </c>
      <c r="J177" s="126"/>
      <c r="K177" s="126">
        <f t="shared" si="23"/>
        <v>81240</v>
      </c>
      <c r="L177" s="2233"/>
    </row>
    <row r="178" spans="1:12" customFormat="1" ht="15">
      <c r="A178" s="2229"/>
      <c r="B178" s="2231"/>
      <c r="C178" s="2242"/>
      <c r="D178" s="131">
        <v>4360</v>
      </c>
      <c r="E178" s="132">
        <v>5500</v>
      </c>
      <c r="F178" s="132">
        <v>5500</v>
      </c>
      <c r="G178" s="126"/>
      <c r="H178" s="126">
        <v>1150</v>
      </c>
      <c r="I178" s="127">
        <f t="shared" si="22"/>
        <v>0.20909090909090908</v>
      </c>
      <c r="J178" s="126"/>
      <c r="K178" s="126">
        <f t="shared" si="23"/>
        <v>1150</v>
      </c>
      <c r="L178" s="2233"/>
    </row>
    <row r="179" spans="1:12" customFormat="1" ht="15">
      <c r="A179" s="2229"/>
      <c r="B179" s="2231"/>
      <c r="C179" s="2242"/>
      <c r="D179" s="131">
        <v>4410</v>
      </c>
      <c r="E179" s="132">
        <v>3500</v>
      </c>
      <c r="F179" s="132">
        <v>3500</v>
      </c>
      <c r="G179" s="126"/>
      <c r="H179" s="126">
        <v>2700</v>
      </c>
      <c r="I179" s="127">
        <f t="shared" si="22"/>
        <v>0.77142857142857146</v>
      </c>
      <c r="J179" s="126"/>
      <c r="K179" s="126">
        <f t="shared" si="23"/>
        <v>2700</v>
      </c>
      <c r="L179" s="2233"/>
    </row>
    <row r="180" spans="1:12" customFormat="1" ht="15">
      <c r="A180" s="2229"/>
      <c r="B180" s="2231"/>
      <c r="C180" s="2242"/>
      <c r="D180" s="131">
        <v>4430</v>
      </c>
      <c r="E180" s="132">
        <v>2200</v>
      </c>
      <c r="F180" s="132">
        <v>2200</v>
      </c>
      <c r="G180" s="126"/>
      <c r="H180" s="126">
        <v>2200</v>
      </c>
      <c r="I180" s="127">
        <f t="shared" si="22"/>
        <v>1</v>
      </c>
      <c r="J180" s="126"/>
      <c r="K180" s="126">
        <f t="shared" si="23"/>
        <v>2200</v>
      </c>
      <c r="L180" s="2233"/>
    </row>
    <row r="181" spans="1:12" customFormat="1" ht="15">
      <c r="A181" s="2229"/>
      <c r="B181" s="2231"/>
      <c r="C181" s="2242"/>
      <c r="D181" s="131">
        <v>4440</v>
      </c>
      <c r="E181" s="132">
        <v>14136</v>
      </c>
      <c r="F181" s="132">
        <v>14136</v>
      </c>
      <c r="G181" s="126"/>
      <c r="H181" s="126">
        <v>14136</v>
      </c>
      <c r="I181" s="127">
        <f t="shared" si="22"/>
        <v>1</v>
      </c>
      <c r="J181" s="126"/>
      <c r="K181" s="126">
        <f t="shared" si="23"/>
        <v>14136</v>
      </c>
      <c r="L181" s="2233"/>
    </row>
    <row r="182" spans="1:12" customFormat="1" ht="15">
      <c r="A182" s="2229"/>
      <c r="B182" s="2231"/>
      <c r="C182" s="2242"/>
      <c r="D182" s="131">
        <v>4480</v>
      </c>
      <c r="E182" s="132">
        <v>1900</v>
      </c>
      <c r="F182" s="132">
        <v>1900</v>
      </c>
      <c r="G182" s="126"/>
      <c r="H182" s="126">
        <v>2200</v>
      </c>
      <c r="I182" s="127">
        <f t="shared" si="22"/>
        <v>1.1578947368421053</v>
      </c>
      <c r="J182" s="126"/>
      <c r="K182" s="126">
        <f t="shared" si="23"/>
        <v>2200</v>
      </c>
      <c r="L182" s="2233"/>
    </row>
    <row r="183" spans="1:12" customFormat="1" ht="15">
      <c r="A183" s="2229"/>
      <c r="B183" s="2231"/>
      <c r="C183" s="2242"/>
      <c r="D183" s="131">
        <v>4700</v>
      </c>
      <c r="E183" s="132">
        <v>6000</v>
      </c>
      <c r="F183" s="132">
        <v>6000</v>
      </c>
      <c r="G183" s="126"/>
      <c r="H183" s="126">
        <v>10000</v>
      </c>
      <c r="I183" s="127">
        <f t="shared" si="22"/>
        <v>1.6666666666666667</v>
      </c>
      <c r="J183" s="126"/>
      <c r="K183" s="126">
        <f t="shared" si="23"/>
        <v>10000</v>
      </c>
      <c r="L183" s="2233"/>
    </row>
    <row r="184" spans="1:12" customFormat="1" ht="15">
      <c r="A184" s="2229"/>
      <c r="B184" s="2231"/>
      <c r="C184" s="120" t="s">
        <v>23</v>
      </c>
      <c r="D184" s="121"/>
      <c r="E184" s="122"/>
      <c r="F184" s="122"/>
      <c r="G184" s="134"/>
      <c r="H184" s="134"/>
      <c r="I184" s="123"/>
      <c r="J184" s="134"/>
      <c r="K184" s="134"/>
      <c r="L184" s="2233"/>
    </row>
    <row r="185" spans="1:12" customFormat="1" ht="15">
      <c r="A185" s="2229"/>
      <c r="B185" s="2231"/>
      <c r="C185" s="120" t="s">
        <v>24</v>
      </c>
      <c r="D185" s="121">
        <v>3020</v>
      </c>
      <c r="E185" s="122">
        <v>900</v>
      </c>
      <c r="F185" s="122">
        <v>900</v>
      </c>
      <c r="G185" s="134"/>
      <c r="H185" s="134">
        <v>1000</v>
      </c>
      <c r="I185" s="123">
        <f>H185/E185</f>
        <v>1.1111111111111112</v>
      </c>
      <c r="J185" s="134"/>
      <c r="K185" s="134">
        <f>H185+J185</f>
        <v>1000</v>
      </c>
      <c r="L185" s="2233"/>
    </row>
    <row r="186" spans="1:12" customFormat="1" ht="24" customHeight="1">
      <c r="A186" s="2229"/>
      <c r="B186" s="2231"/>
      <c r="C186" s="148" t="s">
        <v>54</v>
      </c>
      <c r="D186" s="129"/>
      <c r="E186" s="130"/>
      <c r="F186" s="130"/>
      <c r="G186" s="130"/>
      <c r="H186" s="130"/>
      <c r="I186" s="123"/>
      <c r="J186" s="134"/>
      <c r="K186" s="134"/>
      <c r="L186" s="2233"/>
    </row>
    <row r="187" spans="1:12" customFormat="1" ht="15">
      <c r="A187" s="2229"/>
      <c r="B187" s="2231"/>
      <c r="C187" s="120" t="s">
        <v>26</v>
      </c>
      <c r="D187" s="121"/>
      <c r="E187" s="122"/>
      <c r="F187" s="122"/>
      <c r="G187" s="134"/>
      <c r="H187" s="134"/>
      <c r="I187" s="123"/>
      <c r="J187" s="134"/>
      <c r="K187" s="134"/>
      <c r="L187" s="2233"/>
    </row>
    <row r="188" spans="1:12" customFormat="1" ht="15">
      <c r="A188" s="2229"/>
      <c r="B188" s="2231"/>
      <c r="C188" s="120" t="s">
        <v>27</v>
      </c>
      <c r="D188" s="121"/>
      <c r="E188" s="122"/>
      <c r="F188" s="122"/>
      <c r="G188" s="134"/>
      <c r="H188" s="134"/>
      <c r="I188" s="123"/>
      <c r="J188" s="134"/>
      <c r="K188" s="134"/>
      <c r="L188" s="2233"/>
    </row>
    <row r="189" spans="1:12" customFormat="1" ht="18.75" customHeight="1">
      <c r="A189" s="2229"/>
      <c r="B189" s="2231"/>
      <c r="C189" s="136" t="s">
        <v>28</v>
      </c>
      <c r="D189" s="137"/>
      <c r="E189" s="138">
        <f>SUM(E190,E192,E193)</f>
        <v>33000</v>
      </c>
      <c r="F189" s="138">
        <f>SUM(F190,F192,F193)</f>
        <v>33000</v>
      </c>
      <c r="G189" s="138">
        <f>SUM(G190,G192,G193)</f>
        <v>0</v>
      </c>
      <c r="H189" s="138">
        <f>SUM(H190,H192,H193)</f>
        <v>36300</v>
      </c>
      <c r="I189" s="119">
        <f>H189/E189</f>
        <v>1.1000000000000001</v>
      </c>
      <c r="J189" s="138">
        <f>SUM(J190,J192,J193)</f>
        <v>0</v>
      </c>
      <c r="K189" s="138">
        <f>SUM(K190,K192,K193)</f>
        <v>36300</v>
      </c>
      <c r="L189" s="2233"/>
    </row>
    <row r="190" spans="1:12" customFormat="1" ht="15">
      <c r="A190" s="2229"/>
      <c r="B190" s="2231"/>
      <c r="C190" s="120" t="s">
        <v>29</v>
      </c>
      <c r="D190" s="121">
        <v>6060</v>
      </c>
      <c r="E190" s="122">
        <v>33000</v>
      </c>
      <c r="F190" s="122">
        <v>33000</v>
      </c>
      <c r="G190" s="134"/>
      <c r="H190" s="134">
        <v>36300</v>
      </c>
      <c r="I190" s="123">
        <f>H190/E190</f>
        <v>1.1000000000000001</v>
      </c>
      <c r="J190" s="134"/>
      <c r="K190" s="134">
        <f>H190+J190</f>
        <v>36300</v>
      </c>
      <c r="L190" s="2233"/>
    </row>
    <row r="191" spans="1:12" customFormat="1" ht="22.5">
      <c r="A191" s="2229"/>
      <c r="B191" s="2231"/>
      <c r="C191" s="135" t="s">
        <v>89</v>
      </c>
      <c r="D191" s="129"/>
      <c r="E191" s="130"/>
      <c r="F191" s="130"/>
      <c r="G191" s="134"/>
      <c r="H191" s="134"/>
      <c r="I191" s="123"/>
      <c r="J191" s="134"/>
      <c r="K191" s="134"/>
      <c r="L191" s="2233"/>
    </row>
    <row r="192" spans="1:12" customFormat="1" ht="16.5" customHeight="1">
      <c r="A192" s="2229"/>
      <c r="B192" s="2231"/>
      <c r="C192" s="120" t="s">
        <v>31</v>
      </c>
      <c r="D192" s="121"/>
      <c r="E192" s="122"/>
      <c r="F192" s="122"/>
      <c r="G192" s="134"/>
      <c r="H192" s="134"/>
      <c r="I192" s="123"/>
      <c r="J192" s="134"/>
      <c r="K192" s="134"/>
      <c r="L192" s="2233"/>
    </row>
    <row r="193" spans="1:12" customFormat="1" ht="15" customHeight="1" thickBot="1">
      <c r="A193" s="2230"/>
      <c r="B193" s="2232"/>
      <c r="C193" s="319" t="s">
        <v>32</v>
      </c>
      <c r="D193" s="320"/>
      <c r="E193" s="321"/>
      <c r="F193" s="321"/>
      <c r="G193" s="322"/>
      <c r="H193" s="322"/>
      <c r="I193" s="323"/>
      <c r="J193" s="322"/>
      <c r="K193" s="322"/>
      <c r="L193" s="2234"/>
    </row>
    <row r="194" spans="1:12" customFormat="1" ht="15">
      <c r="A194" s="2268"/>
      <c r="B194" s="2244" t="s">
        <v>67</v>
      </c>
      <c r="C194" s="324" t="s">
        <v>68</v>
      </c>
      <c r="D194" s="325"/>
      <c r="E194" s="326">
        <f>SUM(E195,E207)</f>
        <v>233653</v>
      </c>
      <c r="F194" s="326">
        <f>SUM(F195,F207)</f>
        <v>258653</v>
      </c>
      <c r="G194" s="326">
        <f>SUM(G195,G207)</f>
        <v>0</v>
      </c>
      <c r="H194" s="326">
        <f>SUM(H195,H207)</f>
        <v>268701</v>
      </c>
      <c r="I194" s="327">
        <f>H194/E194</f>
        <v>1.1500002139925445</v>
      </c>
      <c r="J194" s="326">
        <f>SUM(J195,J207)</f>
        <v>0</v>
      </c>
      <c r="K194" s="326">
        <f>SUM(K195,K207)</f>
        <v>268701</v>
      </c>
      <c r="L194" s="2243" t="s">
        <v>177</v>
      </c>
    </row>
    <row r="195" spans="1:12" customFormat="1" ht="15">
      <c r="A195" s="2229"/>
      <c r="B195" s="2231"/>
      <c r="C195" s="117" t="s">
        <v>18</v>
      </c>
      <c r="D195" s="111"/>
      <c r="E195" s="118">
        <f>SUM(E196,E202,E203,E204,E205,E206)</f>
        <v>233653</v>
      </c>
      <c r="F195" s="118">
        <f>SUM(F196,F202,F203,F204,F205,F206)</f>
        <v>258653</v>
      </c>
      <c r="G195" s="118">
        <f>SUM(G196,G202,G203,G204,G205,G206)</f>
        <v>0</v>
      </c>
      <c r="H195" s="118">
        <f>SUM(H196,H202,H203,H204,H205,H206)</f>
        <v>268701</v>
      </c>
      <c r="I195" s="119">
        <f>H195/E195</f>
        <v>1.1500002139925445</v>
      </c>
      <c r="J195" s="118">
        <f>SUM(J196,J202,J203,J204,J205,J206)</f>
        <v>0</v>
      </c>
      <c r="K195" s="118">
        <f>SUM(K196,K202,K203,K204,K205,K206)</f>
        <v>268701</v>
      </c>
      <c r="L195" s="2233"/>
    </row>
    <row r="196" spans="1:12" customFormat="1" ht="15">
      <c r="A196" s="2229"/>
      <c r="B196" s="2231"/>
      <c r="C196" s="120" t="s">
        <v>19</v>
      </c>
      <c r="D196" s="121"/>
      <c r="E196" s="122">
        <f>SUM(E197,E198)</f>
        <v>233653</v>
      </c>
      <c r="F196" s="122">
        <f>SUM(F197,F198)</f>
        <v>258653</v>
      </c>
      <c r="G196" s="122">
        <f>SUM(G197,G198)</f>
        <v>0</v>
      </c>
      <c r="H196" s="122">
        <f>SUM(H197,H198)</f>
        <v>268701</v>
      </c>
      <c r="I196" s="123">
        <f>H196/E196</f>
        <v>1.1500002139925445</v>
      </c>
      <c r="J196" s="122">
        <f>SUM(J197,J198)</f>
        <v>0</v>
      </c>
      <c r="K196" s="122">
        <f>SUM(K197,K198)</f>
        <v>268701</v>
      </c>
      <c r="L196" s="2233"/>
    </row>
    <row r="197" spans="1:12" customFormat="1" ht="15">
      <c r="A197" s="2229"/>
      <c r="B197" s="2231"/>
      <c r="C197" s="120" t="s">
        <v>20</v>
      </c>
      <c r="D197" s="121"/>
      <c r="E197" s="120"/>
      <c r="F197" s="134"/>
      <c r="G197" s="134"/>
      <c r="H197" s="134"/>
      <c r="I197" s="123"/>
      <c r="J197" s="134"/>
      <c r="K197" s="134"/>
      <c r="L197" s="2233"/>
    </row>
    <row r="198" spans="1:12" customFormat="1" ht="15">
      <c r="A198" s="2229"/>
      <c r="B198" s="2231"/>
      <c r="C198" s="2242" t="s">
        <v>21</v>
      </c>
      <c r="D198" s="129" t="s">
        <v>22</v>
      </c>
      <c r="E198" s="130">
        <f>SUM(E199:E201)</f>
        <v>233653</v>
      </c>
      <c r="F198" s="130">
        <f>SUM(F199:F201)</f>
        <v>258653</v>
      </c>
      <c r="G198" s="130">
        <f>SUM(G199:G201)</f>
        <v>0</v>
      </c>
      <c r="H198" s="130">
        <f>SUM(H199:H201)</f>
        <v>268701</v>
      </c>
      <c r="I198" s="123">
        <f>H198/E198</f>
        <v>1.1500002139925445</v>
      </c>
      <c r="J198" s="130">
        <f>SUM(J199:J201)</f>
        <v>0</v>
      </c>
      <c r="K198" s="130">
        <f>SUM(K199:K201)</f>
        <v>268701</v>
      </c>
      <c r="L198" s="2233"/>
    </row>
    <row r="199" spans="1:12" customFormat="1" ht="15">
      <c r="A199" s="2229"/>
      <c r="B199" s="2231"/>
      <c r="C199" s="2242"/>
      <c r="D199" s="131">
        <v>4190</v>
      </c>
      <c r="E199" s="132">
        <v>56493</v>
      </c>
      <c r="F199" s="132">
        <v>51400</v>
      </c>
      <c r="G199" s="132"/>
      <c r="H199" s="132">
        <v>61000</v>
      </c>
      <c r="I199" s="127">
        <f t="shared" ref="I199:I200" si="24">H199/E199</f>
        <v>1.0797797957269042</v>
      </c>
      <c r="J199" s="132"/>
      <c r="K199" s="132">
        <f>H199+J199</f>
        <v>61000</v>
      </c>
      <c r="L199" s="2233"/>
    </row>
    <row r="200" spans="1:12" customFormat="1" ht="15">
      <c r="A200" s="2229"/>
      <c r="B200" s="2231"/>
      <c r="C200" s="2242"/>
      <c r="D200" s="131">
        <v>4210</v>
      </c>
      <c r="E200" s="132">
        <v>18540</v>
      </c>
      <c r="F200" s="132">
        <v>18540</v>
      </c>
      <c r="G200" s="132"/>
      <c r="H200" s="132">
        <v>29701</v>
      </c>
      <c r="I200" s="127">
        <f t="shared" si="24"/>
        <v>1.6019956850053938</v>
      </c>
      <c r="J200" s="132"/>
      <c r="K200" s="132">
        <f t="shared" ref="K200:K201" si="25">H200+J200</f>
        <v>29701</v>
      </c>
      <c r="L200" s="2233"/>
    </row>
    <row r="201" spans="1:12" customFormat="1" ht="15">
      <c r="A201" s="2229"/>
      <c r="B201" s="2231"/>
      <c r="C201" s="2242"/>
      <c r="D201" s="131">
        <v>4300</v>
      </c>
      <c r="E201" s="132">
        <v>158620</v>
      </c>
      <c r="F201" s="126">
        <v>188713</v>
      </c>
      <c r="G201" s="126"/>
      <c r="H201" s="126">
        <v>178000</v>
      </c>
      <c r="I201" s="127">
        <f>H201/E201</f>
        <v>1.1221787920817048</v>
      </c>
      <c r="J201" s="126"/>
      <c r="K201" s="132">
        <f t="shared" si="25"/>
        <v>178000</v>
      </c>
      <c r="L201" s="2233"/>
    </row>
    <row r="202" spans="1:12" customFormat="1" ht="15">
      <c r="A202" s="2229"/>
      <c r="B202" s="2231"/>
      <c r="C202" s="120" t="s">
        <v>23</v>
      </c>
      <c r="D202" s="121"/>
      <c r="E202" s="120"/>
      <c r="F202" s="134"/>
      <c r="G202" s="134"/>
      <c r="H202" s="134"/>
      <c r="I202" s="123"/>
      <c r="J202" s="134"/>
      <c r="K202" s="134"/>
      <c r="L202" s="2233"/>
    </row>
    <row r="203" spans="1:12" customFormat="1" ht="15">
      <c r="A203" s="2229"/>
      <c r="B203" s="2231"/>
      <c r="C203" s="120" t="s">
        <v>24</v>
      </c>
      <c r="D203" s="121"/>
      <c r="E203" s="120"/>
      <c r="F203" s="134"/>
      <c r="G203" s="134"/>
      <c r="H203" s="134"/>
      <c r="I203" s="123"/>
      <c r="J203" s="134"/>
      <c r="K203" s="134"/>
      <c r="L203" s="2233"/>
    </row>
    <row r="204" spans="1:12" customFormat="1" ht="24.75" customHeight="1">
      <c r="A204" s="2229"/>
      <c r="B204" s="2231"/>
      <c r="C204" s="135" t="s">
        <v>90</v>
      </c>
      <c r="D204" s="129"/>
      <c r="E204" s="135"/>
      <c r="F204" s="134"/>
      <c r="G204" s="134"/>
      <c r="H204" s="134"/>
      <c r="I204" s="123"/>
      <c r="J204" s="134"/>
      <c r="K204" s="134"/>
      <c r="L204" s="2233"/>
    </row>
    <row r="205" spans="1:12" customFormat="1" ht="15">
      <c r="A205" s="2229"/>
      <c r="B205" s="2231"/>
      <c r="C205" s="120" t="s">
        <v>26</v>
      </c>
      <c r="D205" s="121"/>
      <c r="E205" s="120"/>
      <c r="F205" s="134"/>
      <c r="G205" s="134"/>
      <c r="H205" s="134"/>
      <c r="I205" s="123"/>
      <c r="J205" s="134"/>
      <c r="K205" s="134"/>
      <c r="L205" s="2233"/>
    </row>
    <row r="206" spans="1:12" customFormat="1" ht="15">
      <c r="A206" s="2229"/>
      <c r="B206" s="2231"/>
      <c r="C206" s="120" t="s">
        <v>27</v>
      </c>
      <c r="D206" s="121"/>
      <c r="E206" s="120"/>
      <c r="F206" s="134"/>
      <c r="G206" s="134"/>
      <c r="H206" s="134"/>
      <c r="I206" s="123"/>
      <c r="J206" s="134"/>
      <c r="K206" s="134"/>
      <c r="L206" s="2233"/>
    </row>
    <row r="207" spans="1:12" customFormat="1" ht="15">
      <c r="A207" s="2229"/>
      <c r="B207" s="2231"/>
      <c r="C207" s="136" t="s">
        <v>28</v>
      </c>
      <c r="D207" s="137"/>
      <c r="E207" s="136">
        <f>SUM(E208,E210,E211)</f>
        <v>0</v>
      </c>
      <c r="F207" s="136">
        <f>SUM(F208,F210,F211)</f>
        <v>0</v>
      </c>
      <c r="G207" s="136">
        <f>SUM(G208,G210,G211)</f>
        <v>0</v>
      </c>
      <c r="H207" s="136">
        <f>SUM(H208,H210,H211)</f>
        <v>0</v>
      </c>
      <c r="I207" s="123"/>
      <c r="J207" s="136">
        <f>SUM(J208,J210,J211)</f>
        <v>0</v>
      </c>
      <c r="K207" s="136">
        <f>SUM(K208,K210,K211)</f>
        <v>0</v>
      </c>
      <c r="L207" s="2233"/>
    </row>
    <row r="208" spans="1:12" customFormat="1" ht="15">
      <c r="A208" s="2229"/>
      <c r="B208" s="2231"/>
      <c r="C208" s="120" t="s">
        <v>29</v>
      </c>
      <c r="D208" s="121"/>
      <c r="E208" s="120"/>
      <c r="F208" s="134"/>
      <c r="G208" s="134"/>
      <c r="H208" s="134"/>
      <c r="I208" s="123"/>
      <c r="J208" s="134"/>
      <c r="K208" s="134"/>
      <c r="L208" s="2233"/>
    </row>
    <row r="209" spans="1:12" customFormat="1" ht="22.5">
      <c r="A209" s="2229"/>
      <c r="B209" s="2231"/>
      <c r="C209" s="135" t="s">
        <v>87</v>
      </c>
      <c r="D209" s="129"/>
      <c r="E209" s="135"/>
      <c r="F209" s="134"/>
      <c r="G209" s="134"/>
      <c r="H209" s="134"/>
      <c r="I209" s="123"/>
      <c r="J209" s="134"/>
      <c r="K209" s="134"/>
      <c r="L209" s="2233"/>
    </row>
    <row r="210" spans="1:12" customFormat="1" ht="15">
      <c r="A210" s="2229"/>
      <c r="B210" s="2231"/>
      <c r="C210" s="120" t="s">
        <v>31</v>
      </c>
      <c r="D210" s="121"/>
      <c r="E210" s="120"/>
      <c r="F210" s="134"/>
      <c r="G210" s="134"/>
      <c r="H210" s="134"/>
      <c r="I210" s="123"/>
      <c r="J210" s="134"/>
      <c r="K210" s="134"/>
      <c r="L210" s="2233"/>
    </row>
    <row r="211" spans="1:12" customFormat="1" ht="15.75" thickBot="1">
      <c r="A211" s="2229"/>
      <c r="B211" s="2231"/>
      <c r="C211" s="120" t="s">
        <v>32</v>
      </c>
      <c r="D211" s="121"/>
      <c r="E211" s="120"/>
      <c r="F211" s="118"/>
      <c r="G211" s="118"/>
      <c r="H211" s="118"/>
      <c r="I211" s="123"/>
      <c r="J211" s="118"/>
      <c r="K211" s="118"/>
      <c r="L211" s="2233"/>
    </row>
    <row r="212" spans="1:12" customFormat="1" ht="0.75" hidden="1" customHeight="1" thickBot="1">
      <c r="A212" s="330" t="s">
        <v>100</v>
      </c>
      <c r="B212" s="143"/>
      <c r="C212" s="156" t="s">
        <v>101</v>
      </c>
      <c r="D212" s="143"/>
      <c r="E212" s="145">
        <f>SUM(E213)</f>
        <v>0</v>
      </c>
      <c r="F212" s="145">
        <f>SUM(F213)</f>
        <v>0</v>
      </c>
      <c r="G212" s="145">
        <f>SUM(G213)</f>
        <v>0</v>
      </c>
      <c r="H212" s="145">
        <f>SUM(H213)</f>
        <v>0</v>
      </c>
      <c r="I212" s="146" t="e">
        <f>H212/E212</f>
        <v>#DIV/0!</v>
      </c>
      <c r="J212" s="145">
        <f>SUM(J213)</f>
        <v>0</v>
      </c>
      <c r="K212" s="145">
        <f>SUM(K213)</f>
        <v>0</v>
      </c>
      <c r="L212" s="331"/>
    </row>
    <row r="213" spans="1:12" customFormat="1" ht="15.75" hidden="1" thickBot="1">
      <c r="A213" s="2271"/>
      <c r="B213" s="2272" t="s">
        <v>136</v>
      </c>
      <c r="C213" s="112" t="s">
        <v>135</v>
      </c>
      <c r="D213" s="113"/>
      <c r="E213" s="114">
        <f>SUM(E214,E225)</f>
        <v>0</v>
      </c>
      <c r="F213" s="114">
        <f>SUM(F214,F225)</f>
        <v>0</v>
      </c>
      <c r="G213" s="114">
        <f>SUM(G214,G225)</f>
        <v>0</v>
      </c>
      <c r="H213" s="114">
        <f>SUM(H214,H225)</f>
        <v>0</v>
      </c>
      <c r="I213" s="115" t="e">
        <f>H213/E213</f>
        <v>#DIV/0!</v>
      </c>
      <c r="J213" s="114">
        <f>SUM(J214,J225)</f>
        <v>0</v>
      </c>
      <c r="K213" s="114">
        <f>SUM(K214,K225)</f>
        <v>0</v>
      </c>
      <c r="L213" s="2273" t="s">
        <v>137</v>
      </c>
    </row>
    <row r="214" spans="1:12" customFormat="1" ht="15.75" hidden="1" thickBot="1">
      <c r="A214" s="2271"/>
      <c r="B214" s="2272"/>
      <c r="C214" s="117" t="s">
        <v>18</v>
      </c>
      <c r="D214" s="111"/>
      <c r="E214" s="118">
        <f>SUM(E215,E220,E221,E222,E223,E224)</f>
        <v>0</v>
      </c>
      <c r="F214" s="118">
        <f>SUM(F215,F220,F221,F222,F223,F224)</f>
        <v>0</v>
      </c>
      <c r="G214" s="118">
        <f>SUM(G215,G220,G221,G222,G223,G224)</f>
        <v>0</v>
      </c>
      <c r="H214" s="118">
        <f>SUM(H215,H220,H221,H222,H223,H224)</f>
        <v>0</v>
      </c>
      <c r="I214" s="119"/>
      <c r="J214" s="118">
        <f>SUM(J215,J220,J221,J222,J223,J224)</f>
        <v>0</v>
      </c>
      <c r="K214" s="118">
        <f>SUM(K215,K220,K221,K222,K223,K224)</f>
        <v>0</v>
      </c>
      <c r="L214" s="2273"/>
    </row>
    <row r="215" spans="1:12" customFormat="1" ht="15.75" hidden="1" thickBot="1">
      <c r="A215" s="2271"/>
      <c r="B215" s="2272"/>
      <c r="C215" s="120" t="s">
        <v>19</v>
      </c>
      <c r="D215" s="121"/>
      <c r="E215" s="122"/>
      <c r="F215" s="122"/>
      <c r="G215" s="122"/>
      <c r="H215" s="122"/>
      <c r="I215" s="123"/>
      <c r="J215" s="122"/>
      <c r="K215" s="122"/>
      <c r="L215" s="2273"/>
    </row>
    <row r="216" spans="1:12" customFormat="1" ht="15.75" hidden="1" thickBot="1">
      <c r="A216" s="2271"/>
      <c r="B216" s="2272"/>
      <c r="C216" s="120" t="s">
        <v>20</v>
      </c>
      <c r="D216" s="121"/>
      <c r="E216" s="120"/>
      <c r="F216" s="134"/>
      <c r="G216" s="134"/>
      <c r="H216" s="134"/>
      <c r="I216" s="123"/>
      <c r="J216" s="134"/>
      <c r="K216" s="134"/>
      <c r="L216" s="2273"/>
    </row>
    <row r="217" spans="1:12" customFormat="1" ht="15" hidden="1" customHeight="1" thickBot="1">
      <c r="A217" s="2271"/>
      <c r="B217" s="2272"/>
      <c r="C217" s="2265" t="s">
        <v>21</v>
      </c>
      <c r="D217" s="121"/>
      <c r="E217" s="122"/>
      <c r="F217" s="122"/>
      <c r="G217" s="122" t="e">
        <f>SUM(G218:G219)</f>
        <v>#REF!</v>
      </c>
      <c r="H217" s="122"/>
      <c r="I217" s="227"/>
      <c r="J217" s="134"/>
      <c r="K217" s="134"/>
      <c r="L217" s="2273"/>
    </row>
    <row r="218" spans="1:12" customFormat="1" ht="12.75" hidden="1" customHeight="1" thickBot="1">
      <c r="A218" s="2271"/>
      <c r="B218" s="2272"/>
      <c r="C218" s="2266"/>
      <c r="D218" s="124"/>
      <c r="E218" s="125"/>
      <c r="F218" s="126"/>
      <c r="G218" s="126"/>
      <c r="H218" s="126"/>
      <c r="I218" s="221"/>
      <c r="J218" s="126"/>
      <c r="K218" s="126"/>
      <c r="L218" s="2273"/>
    </row>
    <row r="219" spans="1:12" customFormat="1" ht="12.75" hidden="1" customHeight="1" thickBot="1">
      <c r="A219" s="2271"/>
      <c r="B219" s="2272"/>
      <c r="C219" s="2267"/>
      <c r="D219" s="131"/>
      <c r="E219" s="132"/>
      <c r="F219" s="132"/>
      <c r="G219" s="132" t="e">
        <f>SUM(#REF!)</f>
        <v>#REF!</v>
      </c>
      <c r="H219" s="132"/>
      <c r="I219" s="221"/>
      <c r="J219" s="132"/>
      <c r="K219" s="132"/>
      <c r="L219" s="2273"/>
    </row>
    <row r="220" spans="1:12" customFormat="1" ht="15.75" hidden="1" thickBot="1">
      <c r="A220" s="2271"/>
      <c r="B220" s="2272"/>
      <c r="C220" s="120" t="s">
        <v>23</v>
      </c>
      <c r="D220" s="121"/>
      <c r="E220" s="120"/>
      <c r="F220" s="134"/>
      <c r="G220" s="134"/>
      <c r="H220" s="134"/>
      <c r="I220" s="123"/>
      <c r="J220" s="134"/>
      <c r="K220" s="134"/>
      <c r="L220" s="2273"/>
    </row>
    <row r="221" spans="1:12" customFormat="1" ht="15.75" hidden="1" thickBot="1">
      <c r="A221" s="2271"/>
      <c r="B221" s="2272"/>
      <c r="C221" s="120" t="s">
        <v>24</v>
      </c>
      <c r="D221" s="121"/>
      <c r="E221" s="120"/>
      <c r="F221" s="134"/>
      <c r="G221" s="134"/>
      <c r="H221" s="134"/>
      <c r="I221" s="123"/>
      <c r="J221" s="134"/>
      <c r="K221" s="134"/>
      <c r="L221" s="2273"/>
    </row>
    <row r="222" spans="1:12" customFormat="1" ht="24.75" hidden="1" customHeight="1" thickBot="1">
      <c r="A222" s="2271"/>
      <c r="B222" s="2272"/>
      <c r="C222" s="135" t="s">
        <v>90</v>
      </c>
      <c r="D222" s="129"/>
      <c r="E222" s="135"/>
      <c r="F222" s="134"/>
      <c r="G222" s="134"/>
      <c r="H222" s="134"/>
      <c r="I222" s="123"/>
      <c r="J222" s="134"/>
      <c r="K222" s="134"/>
      <c r="L222" s="2273"/>
    </row>
    <row r="223" spans="1:12" customFormat="1" ht="15.75" hidden="1" thickBot="1">
      <c r="A223" s="2271"/>
      <c r="B223" s="2272"/>
      <c r="C223" s="120" t="s">
        <v>26</v>
      </c>
      <c r="D223" s="121"/>
      <c r="E223" s="120"/>
      <c r="F223" s="134"/>
      <c r="G223" s="134"/>
      <c r="H223" s="134"/>
      <c r="I223" s="123"/>
      <c r="J223" s="134"/>
      <c r="K223" s="134"/>
      <c r="L223" s="2273"/>
    </row>
    <row r="224" spans="1:12" customFormat="1" ht="15.75" hidden="1" thickBot="1">
      <c r="A224" s="2271"/>
      <c r="B224" s="2272"/>
      <c r="C224" s="120" t="s">
        <v>27</v>
      </c>
      <c r="D224" s="121"/>
      <c r="E224" s="120"/>
      <c r="F224" s="134"/>
      <c r="G224" s="134"/>
      <c r="H224" s="134"/>
      <c r="I224" s="123"/>
      <c r="J224" s="134"/>
      <c r="K224" s="134"/>
      <c r="L224" s="2273"/>
    </row>
    <row r="225" spans="1:12" customFormat="1" ht="15.75" hidden="1" thickBot="1">
      <c r="A225" s="2271"/>
      <c r="B225" s="2272"/>
      <c r="C225" s="136" t="s">
        <v>28</v>
      </c>
      <c r="D225" s="137"/>
      <c r="E225" s="138">
        <f>SUM(E226,E228,E229)</f>
        <v>0</v>
      </c>
      <c r="F225" s="138">
        <f>SUM(F226,F228,F229)</f>
        <v>0</v>
      </c>
      <c r="G225" s="136">
        <f>SUM(G226,G228,G229)</f>
        <v>0</v>
      </c>
      <c r="H225" s="138">
        <f>SUM(H226,H228,H229)</f>
        <v>0</v>
      </c>
      <c r="I225" s="119"/>
      <c r="J225" s="136">
        <f>SUM(J226,J228,J229)</f>
        <v>0</v>
      </c>
      <c r="K225" s="136">
        <f>SUM(K226,K228,K229)</f>
        <v>0</v>
      </c>
      <c r="L225" s="2273"/>
    </row>
    <row r="226" spans="1:12" customFormat="1" ht="15.75" hidden="1" thickBot="1">
      <c r="A226" s="2271"/>
      <c r="B226" s="2272"/>
      <c r="C226" s="120" t="s">
        <v>29</v>
      </c>
      <c r="D226" s="121"/>
      <c r="E226" s="122"/>
      <c r="F226" s="134"/>
      <c r="G226" s="134"/>
      <c r="H226" s="134"/>
      <c r="I226" s="123"/>
      <c r="J226" s="134"/>
      <c r="K226" s="134"/>
      <c r="L226" s="2273"/>
    </row>
    <row r="227" spans="1:12" customFormat="1" ht="23.25" hidden="1" thickBot="1">
      <c r="A227" s="2271"/>
      <c r="B227" s="2272"/>
      <c r="C227" s="135" t="s">
        <v>87</v>
      </c>
      <c r="D227" s="129"/>
      <c r="E227" s="130"/>
      <c r="F227" s="134"/>
      <c r="G227" s="134"/>
      <c r="H227" s="134"/>
      <c r="I227" s="123"/>
      <c r="J227" s="134"/>
      <c r="K227" s="134"/>
      <c r="L227" s="2273"/>
    </row>
    <row r="228" spans="1:12" customFormat="1" ht="15.75" hidden="1" thickBot="1">
      <c r="A228" s="2271"/>
      <c r="B228" s="2272"/>
      <c r="C228" s="120" t="s">
        <v>31</v>
      </c>
      <c r="D228" s="121"/>
      <c r="E228" s="122"/>
      <c r="F228" s="134"/>
      <c r="G228" s="134"/>
      <c r="H228" s="134"/>
      <c r="I228" s="123"/>
      <c r="J228" s="134"/>
      <c r="K228" s="134"/>
      <c r="L228" s="2273"/>
    </row>
    <row r="229" spans="1:12" customFormat="1" ht="15.75" hidden="1" thickBot="1">
      <c r="A229" s="2271"/>
      <c r="B229" s="2272"/>
      <c r="C229" s="120" t="s">
        <v>32</v>
      </c>
      <c r="D229" s="121"/>
      <c r="E229" s="122"/>
      <c r="F229" s="118"/>
      <c r="G229" s="118"/>
      <c r="H229" s="118"/>
      <c r="I229" s="119"/>
      <c r="J229" s="118"/>
      <c r="K229" s="118"/>
      <c r="L229" s="2273"/>
    </row>
    <row r="230" spans="1:12" s="110" customFormat="1" ht="21.75" customHeight="1" thickBot="1">
      <c r="A230" s="2269" t="s">
        <v>33</v>
      </c>
      <c r="B230" s="2270"/>
      <c r="C230" s="2270"/>
      <c r="D230" s="334"/>
      <c r="E230" s="335">
        <f>SUM(E212,E160,E116,E91,E6,E138)</f>
        <v>38285213</v>
      </c>
      <c r="F230" s="335">
        <f>SUM(F212,F160,F116,F91,F6,F138)</f>
        <v>60483011</v>
      </c>
      <c r="G230" s="335" t="e">
        <f>SUM(G212,G160,G116,G91,#REF!,G6,G138)</f>
        <v>#REF!</v>
      </c>
      <c r="H230" s="335">
        <f>SUM(H212,H160,H116,H91,H6,H138)</f>
        <v>41044881</v>
      </c>
      <c r="I230" s="336">
        <f>H230/E230</f>
        <v>1.0720818243847827</v>
      </c>
      <c r="J230" s="335">
        <f>SUM(J212,J160,J116,J91,J6,J138)</f>
        <v>1086000</v>
      </c>
      <c r="K230" s="335">
        <f>SUM(K212,K160,K116,K91,K6,K138)</f>
        <v>42130881</v>
      </c>
      <c r="L230" s="337"/>
    </row>
    <row r="231" spans="1:12" customFormat="1" ht="15">
      <c r="A231" s="101"/>
      <c r="B231" s="101"/>
      <c r="C231" s="101"/>
      <c r="D231" s="101"/>
      <c r="E231" s="101"/>
      <c r="F231" s="151"/>
      <c r="G231" s="151"/>
      <c r="H231" s="151"/>
      <c r="I231" s="151"/>
      <c r="J231" s="151"/>
      <c r="K231" s="151"/>
      <c r="L231" s="239"/>
    </row>
    <row r="232" spans="1:12">
      <c r="E232" s="128"/>
      <c r="F232" s="128"/>
    </row>
    <row r="234" spans="1:12" customFormat="1" ht="15">
      <c r="A234" s="101"/>
      <c r="B234" s="101"/>
      <c r="C234" s="101"/>
      <c r="D234" s="101"/>
      <c r="E234" s="128"/>
      <c r="F234" s="128"/>
      <c r="G234" s="128"/>
      <c r="H234" s="128"/>
      <c r="I234" s="128"/>
      <c r="J234" s="128"/>
      <c r="K234" s="128"/>
      <c r="L234" s="239"/>
    </row>
  </sheetData>
  <mergeCells count="57">
    <mergeCell ref="C164:C170"/>
    <mergeCell ref="C171:C183"/>
    <mergeCell ref="L194:L211"/>
    <mergeCell ref="C198:C201"/>
    <mergeCell ref="L213:L229"/>
    <mergeCell ref="C217:C219"/>
    <mergeCell ref="A194:A211"/>
    <mergeCell ref="B194:B211"/>
    <mergeCell ref="A230:C230"/>
    <mergeCell ref="A213:A229"/>
    <mergeCell ref="B213:B229"/>
    <mergeCell ref="A117:A137"/>
    <mergeCell ref="B117:B137"/>
    <mergeCell ref="L117:L137"/>
    <mergeCell ref="A139:A159"/>
    <mergeCell ref="B139:B159"/>
    <mergeCell ref="C120:C123"/>
    <mergeCell ref="C124:C127"/>
    <mergeCell ref="L92:L115"/>
    <mergeCell ref="C96:C105"/>
    <mergeCell ref="L139:L159"/>
    <mergeCell ref="C150:C153"/>
    <mergeCell ref="C154:C157"/>
    <mergeCell ref="A92:A115"/>
    <mergeCell ref="B92:B115"/>
    <mergeCell ref="B7:B45"/>
    <mergeCell ref="A7:A45"/>
    <mergeCell ref="A46:A67"/>
    <mergeCell ref="A68:A90"/>
    <mergeCell ref="L7:L45"/>
    <mergeCell ref="C17:C35"/>
    <mergeCell ref="L68:L90"/>
    <mergeCell ref="C72:C78"/>
    <mergeCell ref="B46:B67"/>
    <mergeCell ref="L46:L67"/>
    <mergeCell ref="C50:C52"/>
    <mergeCell ref="C53:C55"/>
    <mergeCell ref="C61:C64"/>
    <mergeCell ref="B68:B90"/>
    <mergeCell ref="C10:C16"/>
    <mergeCell ref="C79:C81"/>
    <mergeCell ref="A161:A193"/>
    <mergeCell ref="B161:B193"/>
    <mergeCell ref="L161:L193"/>
    <mergeCell ref="A1:L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5:C5"/>
  </mergeCells>
  <printOptions horizontalCentered="1"/>
  <pageMargins left="0" right="0" top="0.59055118110236227" bottom="0" header="0.51181102362204722" footer="0"/>
  <pageSetup paperSize="9" scale="75" fitToWidth="0" fitToHeight="0" orientation="landscape" horizontalDpi="4294967295" verticalDpi="4294967295" r:id="rId1"/>
  <rowBreaks count="3" manualBreakCount="3">
    <brk id="67" max="11" man="1"/>
    <brk id="90" max="11" man="1"/>
    <brk id="1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Nazwane zakresy</vt:lpstr>
      </vt:variant>
      <vt:variant>
        <vt:i4>41</vt:i4>
      </vt:variant>
    </vt:vector>
  </HeadingPairs>
  <TitlesOfParts>
    <vt:vector size="62" baseType="lpstr">
      <vt:lpstr>KS</vt:lpstr>
      <vt:lpstr>KZ</vt:lpstr>
      <vt:lpstr>OR</vt:lpstr>
      <vt:lpstr>RR</vt:lpstr>
      <vt:lpstr>RP</vt:lpstr>
      <vt:lpstr>GR</vt:lpstr>
      <vt:lpstr>WP</vt:lpstr>
      <vt:lpstr>OZ</vt:lpstr>
      <vt:lpstr>RG</vt:lpstr>
      <vt:lpstr>OS</vt:lpstr>
      <vt:lpstr>OW</vt:lpstr>
      <vt:lpstr>DT </vt:lpstr>
      <vt:lpstr>EN</vt:lpstr>
      <vt:lpstr>DO</vt:lpstr>
      <vt:lpstr>PG </vt:lpstr>
      <vt:lpstr>SI</vt:lpstr>
      <vt:lpstr>NW</vt:lpstr>
      <vt:lpstr>BI</vt:lpstr>
      <vt:lpstr>OT</vt:lpstr>
      <vt:lpstr>REZ</vt:lpstr>
      <vt:lpstr>DŁUG</vt:lpstr>
      <vt:lpstr>BI!Obszar_wydruku</vt:lpstr>
      <vt:lpstr>DŁUG!Obszar_wydruku</vt:lpstr>
      <vt:lpstr>DO!Obszar_wydruku</vt:lpstr>
      <vt:lpstr>'DT '!Obszar_wydruku</vt:lpstr>
      <vt:lpstr>EN!Obszar_wydruku</vt:lpstr>
      <vt:lpstr>GR!Obszar_wydruku</vt:lpstr>
      <vt:lpstr>KS!Obszar_wydruku</vt:lpstr>
      <vt:lpstr>KZ!Obszar_wydruku</vt:lpstr>
      <vt:lpstr>NW!Obszar_wydruku</vt:lpstr>
      <vt:lpstr>OR!Obszar_wydruku</vt:lpstr>
      <vt:lpstr>OS!Obszar_wydruku</vt:lpstr>
      <vt:lpstr>OT!Obszar_wydruku</vt:lpstr>
      <vt:lpstr>OW!Obszar_wydruku</vt:lpstr>
      <vt:lpstr>OZ!Obszar_wydruku</vt:lpstr>
      <vt:lpstr>'PG '!Obszar_wydruku</vt:lpstr>
      <vt:lpstr>REZ!Obszar_wydruku</vt:lpstr>
      <vt:lpstr>RG!Obszar_wydruku</vt:lpstr>
      <vt:lpstr>RP!Obszar_wydruku</vt:lpstr>
      <vt:lpstr>RR!Obszar_wydruku</vt:lpstr>
      <vt:lpstr>SI!Obszar_wydruku</vt:lpstr>
      <vt:lpstr>WP!Obszar_wydruku</vt:lpstr>
      <vt:lpstr>DŁUG!Tytuły_wydruku</vt:lpstr>
      <vt:lpstr>DO!Tytuły_wydruku</vt:lpstr>
      <vt:lpstr>'DT '!Tytuły_wydruku</vt:lpstr>
      <vt:lpstr>EN!Tytuły_wydruku</vt:lpstr>
      <vt:lpstr>GR!Tytuły_wydruku</vt:lpstr>
      <vt:lpstr>KS!Tytuły_wydruku</vt:lpstr>
      <vt:lpstr>KZ!Tytuły_wydruku</vt:lpstr>
      <vt:lpstr>NW!Tytuły_wydruku</vt:lpstr>
      <vt:lpstr>OR!Tytuły_wydruku</vt:lpstr>
      <vt:lpstr>OS!Tytuły_wydruku</vt:lpstr>
      <vt:lpstr>OT!Tytuły_wydruku</vt:lpstr>
      <vt:lpstr>OW!Tytuły_wydruku</vt:lpstr>
      <vt:lpstr>OZ!Tytuły_wydruku</vt:lpstr>
      <vt:lpstr>'PG '!Tytuły_wydruku</vt:lpstr>
      <vt:lpstr>REZ!Tytuły_wydruku</vt:lpstr>
      <vt:lpstr>RG!Tytuły_wydruku</vt:lpstr>
      <vt:lpstr>RP!Tytuły_wydruku</vt:lpstr>
      <vt:lpstr>RR!Tytuły_wydruku</vt:lpstr>
      <vt:lpstr>SI!Tytuły_wydruku</vt:lpstr>
      <vt:lpstr>WP!Tytuły_wydruku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Gruszczyńska Diana</dc:creator>
  <cp:lastModifiedBy>Gruszczyńska Diana</cp:lastModifiedBy>
  <cp:lastPrinted>2022-11-14T14:06:23Z</cp:lastPrinted>
  <dcterms:created xsi:type="dcterms:W3CDTF">2016-09-23T07:22:21Z</dcterms:created>
  <dcterms:modified xsi:type="dcterms:W3CDTF">2022-11-14T14:08:55Z</dcterms:modified>
</cp:coreProperties>
</file>